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Lucas\TA_results_final_6\"/>
    </mc:Choice>
  </mc:AlternateContent>
  <xr:revisionPtr revIDLastSave="0" documentId="8_{955110AC-B410-4C0F-9CDF-6C37F9E3EBC1}" xr6:coauthVersionLast="47" xr6:coauthVersionMax="47" xr10:uidLastSave="{00000000-0000-0000-0000-000000000000}"/>
  <bookViews>
    <workbookView xWindow="1788" yWindow="-17388" windowWidth="30936" windowHeight="16776" activeTab="1" xr2:uid="{FF64AF30-3015-1142-92FA-2A2ED079457A}"/>
  </bookViews>
  <sheets>
    <sheet name="Variable_List" sheetId="2" r:id="rId1"/>
    <sheet name="SPS1" sheetId="1" r:id="rId2"/>
    <sheet name="check" sheetId="4" r:id="rId3"/>
  </sheets>
  <externalReferences>
    <externalReference r:id="rId4"/>
  </externalReferences>
  <definedNames>
    <definedName name="_xlnm._FilterDatabase" localSheetId="1" hidden="1">'SPS1'!$B$1:$L$1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113" i="1" l="1"/>
  <c r="P2113" i="1"/>
  <c r="O2113" i="1"/>
  <c r="N2113" i="1"/>
  <c r="M2113" i="1"/>
  <c r="L2113" i="1"/>
  <c r="K2113" i="1"/>
  <c r="J2113" i="1"/>
  <c r="I2113" i="1"/>
  <c r="H2113" i="1"/>
  <c r="G2113" i="1"/>
  <c r="F2113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N1693" i="1" a="1"/>
  <c r="N1693" i="1" s="1"/>
  <c r="O1693" i="1" a="1"/>
  <c r="O1693" i="1"/>
  <c r="M1693" i="1" a="1"/>
  <c r="M1693" i="1" s="1"/>
  <c r="L1693" i="1" a="1"/>
  <c r="L1693" i="1" s="1"/>
  <c r="I1693" i="1" a="1"/>
  <c r="I1693" i="1" s="1"/>
  <c r="P1693" i="1" a="1"/>
  <c r="P1693" i="1" s="1"/>
  <c r="Q1693" i="1" a="1"/>
  <c r="Q1693" i="1" s="1"/>
  <c r="J1693" i="1" a="1"/>
  <c r="J1693" i="1" s="1"/>
  <c r="F1693" i="1" a="1"/>
  <c r="F1693" i="1" s="1"/>
  <c r="H1693" i="1" a="1"/>
  <c r="H1693" i="1" s="1"/>
  <c r="G1693" i="1" a="1"/>
  <c r="G1693" i="1"/>
  <c r="K1693" i="1" a="1"/>
  <c r="K1693" i="1" s="1"/>
  <c r="Q1705" i="1"/>
  <c r="P1705" i="1"/>
  <c r="O1705" i="1"/>
  <c r="N1705" i="1"/>
  <c r="M1705" i="1"/>
  <c r="L1705" i="1"/>
  <c r="K1705" i="1"/>
  <c r="J1705" i="1"/>
  <c r="Q1704" i="1"/>
  <c r="P1704" i="1"/>
  <c r="O1704" i="1"/>
  <c r="N1704" i="1"/>
  <c r="M1704" i="1"/>
  <c r="L1704" i="1"/>
  <c r="K1704" i="1"/>
  <c r="J1704" i="1"/>
  <c r="Q1703" i="1"/>
  <c r="P1703" i="1"/>
  <c r="O1703" i="1"/>
  <c r="N1703" i="1"/>
  <c r="M1703" i="1"/>
  <c r="L1703" i="1"/>
  <c r="K1703" i="1"/>
  <c r="J1703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Q1494" i="1" a="1"/>
  <c r="Q1494" i="1" s="1"/>
  <c r="F1494" i="1" a="1"/>
  <c r="F1494" i="1" s="1"/>
  <c r="P1492" i="1" a="1"/>
  <c r="P1492" i="1" s="1"/>
  <c r="I1500" i="1" a="1"/>
  <c r="I1500" i="1"/>
  <c r="N1494" i="1" a="1"/>
  <c r="N1494" i="1"/>
  <c r="O1499" i="1" a="1"/>
  <c r="O1499" i="1" s="1"/>
  <c r="N1499" i="1" a="1"/>
  <c r="N1499" i="1"/>
  <c r="O1494" i="1" a="1"/>
  <c r="O1494" i="1" s="1"/>
  <c r="Q1492" i="1" a="1"/>
  <c r="Q1492" i="1" s="1"/>
  <c r="N1492" i="1" a="1"/>
  <c r="N1492" i="1" s="1"/>
  <c r="M1499" i="1" a="1"/>
  <c r="M1499" i="1" s="1"/>
  <c r="L1499" i="1" a="1"/>
  <c r="L1499" i="1" s="1"/>
  <c r="H1499" i="1" a="1"/>
  <c r="H1499" i="1"/>
  <c r="K1499" i="1" a="1"/>
  <c r="K1499" i="1" s="1"/>
  <c r="K1494" i="1" a="1"/>
  <c r="K1494" i="1" s="1"/>
  <c r="O1492" i="1" a="1"/>
  <c r="O1492" i="1"/>
  <c r="M1494" i="1" a="1"/>
  <c r="M1494" i="1"/>
  <c r="P1500" i="1" a="1"/>
  <c r="P1500" i="1"/>
  <c r="G1500" i="1" a="1"/>
  <c r="G1500" i="1"/>
  <c r="I1494" i="1" a="1"/>
  <c r="I1494" i="1"/>
  <c r="H1500" i="1" a="1"/>
  <c r="H1500" i="1" s="1"/>
  <c r="P1494" i="1" a="1"/>
  <c r="P1494" i="1"/>
  <c r="F1499" i="1" a="1"/>
  <c r="F1499" i="1" s="1"/>
  <c r="P1499" i="1" a="1"/>
  <c r="P1499" i="1" s="1"/>
  <c r="J1499" i="1" a="1"/>
  <c r="J1499" i="1" s="1"/>
  <c r="M1492" i="1" a="1"/>
  <c r="M1492" i="1" s="1"/>
  <c r="O1500" i="1" a="1"/>
  <c r="O1500" i="1" s="1"/>
  <c r="L1500" i="1" a="1"/>
  <c r="L1500" i="1"/>
  <c r="G1494" i="1" a="1"/>
  <c r="G1494" i="1"/>
  <c r="F1500" i="1" a="1"/>
  <c r="F1500" i="1"/>
  <c r="I1499" i="1" a="1"/>
  <c r="I1499" i="1" s="1"/>
  <c r="L1494" i="1" a="1"/>
  <c r="L1494" i="1" s="1"/>
  <c r="G1501" i="1" a="1"/>
  <c r="G1501" i="1" s="1"/>
  <c r="F1501" i="1" a="1"/>
  <c r="F1501" i="1" s="1"/>
  <c r="Q1499" i="1" a="1"/>
  <c r="Q1499" i="1"/>
  <c r="Q1500" i="1" a="1"/>
  <c r="Q1500" i="1" s="1"/>
  <c r="N1500" i="1" a="1"/>
  <c r="N1500" i="1" s="1"/>
  <c r="M1500" i="1" a="1"/>
  <c r="M1500" i="1" s="1"/>
  <c r="K1500" i="1" a="1"/>
  <c r="K1500" i="1" s="1"/>
  <c r="J1500" i="1" a="1"/>
  <c r="J1500" i="1" s="1"/>
  <c r="G1499" i="1" a="1"/>
  <c r="G1499" i="1"/>
  <c r="H1494" i="1" a="1"/>
  <c r="H1494" i="1"/>
  <c r="J1494" i="1" a="1"/>
  <c r="J1494" i="1" s="1"/>
  <c r="Q1485" i="1" a="1"/>
  <c r="Q1485" i="1"/>
  <c r="F1487" i="1" a="1"/>
  <c r="F1487" i="1" s="1"/>
  <c r="J1485" i="1" a="1"/>
  <c r="J1485" i="1" s="1"/>
  <c r="G1485" i="1" a="1"/>
  <c r="G1485" i="1"/>
  <c r="K1485" i="1" a="1"/>
  <c r="K1485" i="1"/>
  <c r="N1487" i="1" a="1"/>
  <c r="N1487" i="1"/>
  <c r="M1487" i="1" a="1"/>
  <c r="M1487" i="1" s="1"/>
  <c r="I1485" i="1" a="1"/>
  <c r="I1485" i="1" s="1"/>
  <c r="L1487" i="1" a="1"/>
  <c r="L1487" i="1" s="1"/>
  <c r="I1487" i="1" a="1"/>
  <c r="I1487" i="1" s="1"/>
  <c r="G1487" i="1" a="1"/>
  <c r="G1487" i="1" s="1"/>
  <c r="N1485" i="1" a="1"/>
  <c r="N1485" i="1" s="1"/>
  <c r="J1492" i="1" a="1"/>
  <c r="J1492" i="1" s="1"/>
  <c r="F1492" i="1" a="1"/>
  <c r="F1492" i="1"/>
  <c r="P1487" i="1" a="1"/>
  <c r="P1487" i="1" s="1"/>
  <c r="H1485" i="1" a="1"/>
  <c r="H1485" i="1"/>
  <c r="O1487" i="1" a="1"/>
  <c r="O1487" i="1"/>
  <c r="J1487" i="1" a="1"/>
  <c r="J1487" i="1"/>
  <c r="L1485" i="1" a="1"/>
  <c r="L1485" i="1" s="1"/>
  <c r="Q1487" i="1" a="1"/>
  <c r="Q1487" i="1" s="1"/>
  <c r="O1485" i="1" a="1"/>
  <c r="O1485" i="1" s="1"/>
  <c r="K1487" i="1" a="1"/>
  <c r="K1487" i="1" s="1"/>
  <c r="P1485" i="1" a="1"/>
  <c r="P1485" i="1" s="1"/>
  <c r="H1487" i="1" a="1"/>
  <c r="H1487" i="1" s="1"/>
  <c r="M1485" i="1" a="1"/>
  <c r="M1485" i="1"/>
  <c r="F1485" i="1" a="1"/>
  <c r="F1485" i="1"/>
  <c r="L1492" i="1" a="1"/>
  <c r="L1492" i="1" s="1"/>
  <c r="K1492" i="1" a="1"/>
  <c r="K1492" i="1" s="1"/>
  <c r="I1492" i="1" a="1"/>
  <c r="I1492" i="1"/>
  <c r="H1492" i="1" a="1"/>
  <c r="H1492" i="1"/>
  <c r="G1492" i="1" a="1"/>
  <c r="G1492" i="1" s="1"/>
  <c r="P1457" i="1" a="1"/>
  <c r="P1457" i="1"/>
  <c r="K1457" i="1" a="1"/>
  <c r="K1457" i="1" s="1"/>
  <c r="N1455" i="1" a="1"/>
  <c r="N1455" i="1" s="1"/>
  <c r="I1455" i="1" a="1"/>
  <c r="I1455" i="1"/>
  <c r="H1455" i="1" a="1"/>
  <c r="H1455" i="1" s="1"/>
  <c r="N1458" i="1" a="1"/>
  <c r="N1458" i="1" s="1"/>
  <c r="M1458" i="1" a="1"/>
  <c r="M1458" i="1" s="1"/>
  <c r="L1458" i="1" a="1"/>
  <c r="L1458" i="1" s="1"/>
  <c r="F1456" i="1" a="1"/>
  <c r="F1456" i="1"/>
  <c r="H1458" i="1" a="1"/>
  <c r="H1458" i="1" s="1"/>
  <c r="Q1457" i="1" a="1"/>
  <c r="Q1457" i="1" s="1"/>
  <c r="N1456" i="1" a="1"/>
  <c r="N1456" i="1" s="1"/>
  <c r="H1457" i="1" a="1"/>
  <c r="H1457" i="1" s="1"/>
  <c r="F1455" i="1" a="1"/>
  <c r="F1455" i="1" s="1"/>
  <c r="F1457" i="1" a="1"/>
  <c r="F1457" i="1" s="1"/>
  <c r="H1456" i="1" a="1"/>
  <c r="H1456" i="1"/>
  <c r="G1455" i="1" a="1"/>
  <c r="G1455" i="1"/>
  <c r="O1457" i="1" a="1"/>
  <c r="O1457" i="1"/>
  <c r="J1456" i="1" a="1"/>
  <c r="J1456" i="1" s="1"/>
  <c r="G1457" i="1" a="1"/>
  <c r="G1457" i="1" s="1"/>
  <c r="L1456" i="1" a="1"/>
  <c r="L1456" i="1" s="1"/>
  <c r="O1456" i="1" a="1"/>
  <c r="O1456" i="1"/>
  <c r="N1457" i="1" a="1"/>
  <c r="N1457" i="1"/>
  <c r="M1457" i="1" a="1"/>
  <c r="M1457" i="1"/>
  <c r="G1454" i="1" a="1"/>
  <c r="G1454" i="1" s="1"/>
  <c r="J1457" i="1" a="1"/>
  <c r="J1457" i="1"/>
  <c r="O1454" i="1" a="1"/>
  <c r="O1454" i="1" s="1"/>
  <c r="Q1455" i="1" a="1"/>
  <c r="Q1455" i="1" s="1"/>
  <c r="I1456" i="1" a="1"/>
  <c r="I1456" i="1" s="1"/>
  <c r="G1456" i="1" a="1"/>
  <c r="G1456" i="1" s="1"/>
  <c r="N1454" i="1" a="1"/>
  <c r="N1454" i="1" s="1"/>
  <c r="L1454" i="1" a="1"/>
  <c r="L1454" i="1"/>
  <c r="H1454" i="1" a="1"/>
  <c r="H1454" i="1" s="1"/>
  <c r="P1458" i="1" a="1"/>
  <c r="P1458" i="1" s="1"/>
  <c r="M1454" i="1" a="1"/>
  <c r="M1454" i="1" s="1"/>
  <c r="J1454" i="1" a="1"/>
  <c r="J1454" i="1" s="1"/>
  <c r="O1455" i="1" a="1"/>
  <c r="O1455" i="1" s="1"/>
  <c r="Q1454" i="1" a="1"/>
  <c r="Q1454" i="1" s="1"/>
  <c r="I1457" i="1" a="1"/>
  <c r="I1457" i="1" s="1"/>
  <c r="P1456" i="1" a="1"/>
  <c r="P1456" i="1"/>
  <c r="P1455" i="1" a="1"/>
  <c r="P1455" i="1"/>
  <c r="M1456" i="1" a="1"/>
  <c r="M1456" i="1" s="1"/>
  <c r="F1458" i="1" a="1"/>
  <c r="F1458" i="1" s="1"/>
  <c r="Q1456" i="1" a="1"/>
  <c r="Q1456" i="1" s="1"/>
  <c r="L1455" i="1" a="1"/>
  <c r="L1455" i="1"/>
  <c r="J1455" i="1" a="1"/>
  <c r="J1455" i="1" s="1"/>
  <c r="P1454" i="1" a="1"/>
  <c r="P1454" i="1" s="1"/>
  <c r="Q1458" i="1" a="1"/>
  <c r="Q1458" i="1" s="1"/>
  <c r="J1458" i="1" a="1"/>
  <c r="J1458" i="1" s="1"/>
  <c r="I1458" i="1" a="1"/>
  <c r="I1458" i="1" s="1"/>
  <c r="I1454" i="1" a="1"/>
  <c r="I1454" i="1" s="1"/>
  <c r="K1456" i="1" a="1"/>
  <c r="K1456" i="1"/>
  <c r="M1455" i="1" a="1"/>
  <c r="M1455" i="1"/>
  <c r="K1454" i="1" a="1"/>
  <c r="K1454" i="1"/>
  <c r="O1458" i="1" a="1"/>
  <c r="O1458" i="1"/>
  <c r="K1455" i="1" a="1"/>
  <c r="K1455" i="1" s="1"/>
  <c r="K1458" i="1" a="1"/>
  <c r="K1458" i="1"/>
  <c r="G1458" i="1" a="1"/>
  <c r="G1458" i="1" s="1"/>
  <c r="L1457" i="1" a="1"/>
  <c r="L1457" i="1" s="1"/>
  <c r="Q1451" i="1" a="1"/>
  <c r="Q1451" i="1" s="1"/>
  <c r="L1451" i="1" a="1"/>
  <c r="L1451" i="1" s="1"/>
  <c r="F1450" i="1" a="1"/>
  <c r="F1450" i="1" s="1"/>
  <c r="F1454" i="1" a="1"/>
  <c r="F1454" i="1" s="1"/>
  <c r="F1451" i="1" a="1"/>
  <c r="F1451" i="1"/>
  <c r="Q1453" i="1" a="1"/>
  <c r="Q1453" i="1"/>
  <c r="I1449" i="1" a="1"/>
  <c r="I1449" i="1"/>
  <c r="L1453" i="1" a="1"/>
  <c r="L1453" i="1" s="1"/>
  <c r="I1451" i="1" a="1"/>
  <c r="I1451" i="1" s="1"/>
  <c r="Q1449" i="1" a="1"/>
  <c r="Q1449" i="1" s="1"/>
  <c r="O1449" i="1" a="1"/>
  <c r="O1449" i="1" s="1"/>
  <c r="P1453" i="1" a="1"/>
  <c r="P1453" i="1"/>
  <c r="G1452" i="1" a="1"/>
  <c r="G1452" i="1"/>
  <c r="Q1450" i="1" a="1"/>
  <c r="Q1450" i="1" s="1"/>
  <c r="N1452" i="1" a="1"/>
  <c r="N1452" i="1"/>
  <c r="K1451" i="1" a="1"/>
  <c r="K1451" i="1" s="1"/>
  <c r="G1451" i="1" a="1"/>
  <c r="G1451" i="1" s="1"/>
  <c r="K1449" i="1" a="1"/>
  <c r="K1449" i="1" s="1"/>
  <c r="O1453" i="1" a="1"/>
  <c r="O1453" i="1"/>
  <c r="N1451" i="1" a="1"/>
  <c r="N1451" i="1" s="1"/>
  <c r="N1453" i="1" a="1"/>
  <c r="N1453" i="1"/>
  <c r="J1450" i="1" a="1"/>
  <c r="J1450" i="1" s="1"/>
  <c r="M1453" i="1" a="1"/>
  <c r="M1453" i="1" s="1"/>
  <c r="O1451" i="1" a="1"/>
  <c r="O1451" i="1"/>
  <c r="F1453" i="1" a="1"/>
  <c r="F1453" i="1"/>
  <c r="K1453" i="1" a="1"/>
  <c r="K1453" i="1"/>
  <c r="H1450" i="1" a="1"/>
  <c r="H1450" i="1"/>
  <c r="J1453" i="1" a="1"/>
  <c r="J1453" i="1" s="1"/>
  <c r="L1452" i="1" a="1"/>
  <c r="L1452" i="1" s="1"/>
  <c r="L1449" i="1" a="1"/>
  <c r="L1449" i="1" s="1"/>
  <c r="J1451" i="1" a="1"/>
  <c r="J1451" i="1" s="1"/>
  <c r="P1450" i="1" a="1"/>
  <c r="P1450" i="1" s="1"/>
  <c r="K1450" i="1" a="1"/>
  <c r="K1450" i="1" s="1"/>
  <c r="I1453" i="1" a="1"/>
  <c r="I1453" i="1"/>
  <c r="H1453" i="1" a="1"/>
  <c r="H1453" i="1" s="1"/>
  <c r="G1453" i="1" a="1"/>
  <c r="G1453" i="1"/>
  <c r="Q1452" i="1" a="1"/>
  <c r="Q1452" i="1"/>
  <c r="P1452" i="1" a="1"/>
  <c r="P1452" i="1"/>
  <c r="O1452" i="1" a="1"/>
  <c r="O1452" i="1" s="1"/>
  <c r="P1451" i="1" a="1"/>
  <c r="P1451" i="1" s="1"/>
  <c r="F1452" i="1" a="1"/>
  <c r="F1452" i="1" s="1"/>
  <c r="M1452" i="1" a="1"/>
  <c r="M1452" i="1" s="1"/>
  <c r="K1452" i="1" a="1"/>
  <c r="K1452" i="1"/>
  <c r="G1450" i="1" a="1"/>
  <c r="G1450" i="1" s="1"/>
  <c r="M1449" i="1" a="1"/>
  <c r="M1449" i="1" s="1"/>
  <c r="J1449" i="1" a="1"/>
  <c r="J1449" i="1" s="1"/>
  <c r="J1452" i="1" a="1"/>
  <c r="J1452" i="1" s="1"/>
  <c r="I1452" i="1" a="1"/>
  <c r="I1452" i="1" s="1"/>
  <c r="M1451" i="1" a="1"/>
  <c r="M1451" i="1"/>
  <c r="H1451" i="1" a="1"/>
  <c r="H1451" i="1"/>
  <c r="N1450" i="1" a="1"/>
  <c r="N1450" i="1" s="1"/>
  <c r="H1452" i="1" a="1"/>
  <c r="H1452" i="1"/>
  <c r="O1450" i="1" a="1"/>
  <c r="O1450" i="1" s="1"/>
  <c r="M1450" i="1" a="1"/>
  <c r="M1450" i="1" s="1"/>
  <c r="P1449" i="1" a="1"/>
  <c r="P1449" i="1"/>
  <c r="L1450" i="1" a="1"/>
  <c r="L1450" i="1"/>
  <c r="I1450" i="1" a="1"/>
  <c r="I1450" i="1"/>
  <c r="N1449" i="1" a="1"/>
  <c r="N1449" i="1" s="1"/>
  <c r="J1448" i="1" a="1"/>
  <c r="J1448" i="1" s="1"/>
  <c r="H1448" i="1" a="1"/>
  <c r="H1448" i="1" s="1"/>
  <c r="J1446" i="1" a="1"/>
  <c r="J1446" i="1" s="1"/>
  <c r="N1447" i="1" a="1"/>
  <c r="N1447" i="1" s="1"/>
  <c r="P1446" i="1" a="1"/>
  <c r="P1446" i="1" s="1"/>
  <c r="M1447" i="1" a="1"/>
  <c r="M1447" i="1" s="1"/>
  <c r="K1447" i="1" a="1"/>
  <c r="K1447" i="1" s="1"/>
  <c r="I1447" i="1" a="1"/>
  <c r="I1447" i="1" s="1"/>
  <c r="F1447" i="1" a="1"/>
  <c r="F1447" i="1" s="1"/>
  <c r="Q1446" i="1" a="1"/>
  <c r="Q1446" i="1"/>
  <c r="I1446" i="1" a="1"/>
  <c r="I1446" i="1"/>
  <c r="G1447" i="1" a="1"/>
  <c r="G1447" i="1" s="1"/>
  <c r="O1446" i="1" a="1"/>
  <c r="O1446" i="1" s="1"/>
  <c r="M1446" i="1" a="1"/>
  <c r="M1446" i="1" s="1"/>
  <c r="K1446" i="1" a="1"/>
  <c r="K1446" i="1" s="1"/>
  <c r="F1446" i="1" a="1"/>
  <c r="F1446" i="1" s="1"/>
  <c r="O1448" i="1" a="1"/>
  <c r="O1448" i="1"/>
  <c r="I1448" i="1" a="1"/>
  <c r="I1448" i="1"/>
  <c r="Q1447" i="1" a="1"/>
  <c r="Q1447" i="1" s="1"/>
  <c r="H1447" i="1" a="1"/>
  <c r="H1447" i="1" s="1"/>
  <c r="N1446" i="1" a="1"/>
  <c r="N1446" i="1"/>
  <c r="O1447" i="1" a="1"/>
  <c r="O1447" i="1" s="1"/>
  <c r="L1448" i="1" a="1"/>
  <c r="L1448" i="1"/>
  <c r="F1448" i="1" a="1"/>
  <c r="F1448" i="1" s="1"/>
  <c r="H1449" i="1" a="1"/>
  <c r="H1449" i="1"/>
  <c r="L1446" i="1" a="1"/>
  <c r="L1446" i="1" s="1"/>
  <c r="H1446" i="1" a="1"/>
  <c r="H1446" i="1" s="1"/>
  <c r="G1449" i="1" a="1"/>
  <c r="G1449" i="1" s="1"/>
  <c r="F1449" i="1" a="1"/>
  <c r="F1449" i="1" s="1"/>
  <c r="Q1448" i="1" a="1"/>
  <c r="Q1448" i="1" s="1"/>
  <c r="P1448" i="1" a="1"/>
  <c r="P1448" i="1" s="1"/>
  <c r="N1448" i="1" a="1"/>
  <c r="N1448" i="1" s="1"/>
  <c r="G1448" i="1" a="1"/>
  <c r="G1448" i="1"/>
  <c r="P1447" i="1" a="1"/>
  <c r="P1447" i="1"/>
  <c r="L1447" i="1" a="1"/>
  <c r="L1447" i="1" s="1"/>
  <c r="J1447" i="1" a="1"/>
  <c r="J1447" i="1" s="1"/>
  <c r="G1446" i="1" a="1"/>
  <c r="G1446" i="1" s="1"/>
  <c r="M1448" i="1" a="1"/>
  <c r="M1448" i="1"/>
  <c r="K1448" i="1" a="1"/>
  <c r="K1448" i="1" s="1"/>
  <c r="G1676" i="1" a="1"/>
  <c r="G1676" i="1" s="1"/>
  <c r="F1676" i="1" a="1"/>
  <c r="F1676" i="1"/>
  <c r="P1675" i="1" a="1"/>
  <c r="P1675" i="1" s="1"/>
  <c r="O1675" i="1" a="1"/>
  <c r="O1675" i="1" s="1"/>
  <c r="K1675" i="1" a="1"/>
  <c r="K1675" i="1" s="1"/>
  <c r="J1675" i="1" a="1"/>
  <c r="J1675" i="1"/>
  <c r="N1674" i="1" a="1"/>
  <c r="N1674" i="1"/>
  <c r="O1674" i="1" a="1"/>
  <c r="O1674" i="1"/>
  <c r="Q1674" i="1" a="1"/>
  <c r="Q1674" i="1" s="1"/>
  <c r="K1674" i="1" a="1"/>
  <c r="K1674" i="1"/>
  <c r="O1673" i="1" a="1"/>
  <c r="O1673" i="1"/>
  <c r="L1676" i="1" a="1"/>
  <c r="L1676" i="1"/>
  <c r="I1674" i="1" a="1"/>
  <c r="I1674" i="1" s="1"/>
  <c r="P1676" i="1" a="1"/>
  <c r="P1676" i="1" s="1"/>
  <c r="Q1676" i="1" a="1"/>
  <c r="Q1676" i="1" s="1"/>
  <c r="I1676" i="1" a="1"/>
  <c r="I1676" i="1" s="1"/>
  <c r="I1675" i="1" a="1"/>
  <c r="I1675" i="1" s="1"/>
  <c r="F1674" i="1" a="1"/>
  <c r="F1674" i="1" s="1"/>
  <c r="M1675" i="1" a="1"/>
  <c r="M1675" i="1" s="1"/>
  <c r="P1674" i="1" a="1"/>
  <c r="P1674" i="1" s="1"/>
  <c r="G1674" i="1" a="1"/>
  <c r="G1674" i="1" s="1"/>
  <c r="O1676" i="1" a="1"/>
  <c r="O1676" i="1" s="1"/>
  <c r="I1673" i="1" a="1"/>
  <c r="I1673" i="1" s="1"/>
  <c r="Q1675" i="1" a="1"/>
  <c r="Q1675" i="1" s="1"/>
  <c r="F1675" i="1" a="1"/>
  <c r="F1675" i="1"/>
  <c r="M1676" i="1" a="1"/>
  <c r="M1676" i="1" s="1"/>
  <c r="K1676" i="1" a="1"/>
  <c r="K1676" i="1"/>
  <c r="J1676" i="1" a="1"/>
  <c r="J1676" i="1" s="1"/>
  <c r="N1675" i="1" a="1"/>
  <c r="N1675" i="1"/>
  <c r="K1673" i="1" a="1"/>
  <c r="K1673" i="1" s="1"/>
  <c r="N1676" i="1" a="1"/>
  <c r="N1676" i="1" s="1"/>
  <c r="L1675" i="1" a="1"/>
  <c r="L1675" i="1" s="1"/>
  <c r="H1675" i="1" a="1"/>
  <c r="H1675" i="1" s="1"/>
  <c r="H1673" i="1" a="1"/>
  <c r="H1673" i="1"/>
  <c r="G1673" i="1" a="1"/>
  <c r="G1673" i="1" s="1"/>
  <c r="G1675" i="1" a="1"/>
  <c r="G1675" i="1" s="1"/>
  <c r="J1674" i="1" a="1"/>
  <c r="J1674" i="1"/>
  <c r="N1673" i="1" a="1"/>
  <c r="N1673" i="1"/>
  <c r="N1672" i="1" a="1"/>
  <c r="N1672" i="1"/>
  <c r="F1673" i="1" a="1"/>
  <c r="F1673" i="1" s="1"/>
  <c r="Q1672" i="1" a="1"/>
  <c r="Q1672" i="1" s="1"/>
  <c r="H1674" i="1" a="1"/>
  <c r="H1674" i="1" s="1"/>
  <c r="P1673" i="1" a="1"/>
  <c r="P1673" i="1" s="1"/>
  <c r="M1673" i="1" a="1"/>
  <c r="M1673" i="1"/>
  <c r="J1673" i="1" a="1"/>
  <c r="J1673" i="1" s="1"/>
  <c r="M1672" i="1" a="1"/>
  <c r="M1672" i="1" s="1"/>
  <c r="L1674" i="1" a="1"/>
  <c r="L1674" i="1" s="1"/>
  <c r="Q1673" i="1" a="1"/>
  <c r="Q1673" i="1" s="1"/>
  <c r="M1674" i="1" a="1"/>
  <c r="M1674" i="1" s="1"/>
  <c r="P1672" i="1" a="1"/>
  <c r="P1672" i="1"/>
  <c r="O1672" i="1" a="1"/>
  <c r="O1672" i="1" s="1"/>
  <c r="L1673" i="1" a="1"/>
  <c r="L1673" i="1" s="1"/>
  <c r="H1676" i="1" a="1"/>
  <c r="H1676" i="1" s="1"/>
  <c r="H1669" i="1" a="1"/>
  <c r="H1669" i="1" s="1"/>
  <c r="I1672" i="1" a="1"/>
  <c r="I1672" i="1" s="1"/>
  <c r="H1672" i="1" a="1"/>
  <c r="H1672" i="1"/>
  <c r="F1672" i="1" a="1"/>
  <c r="F1672" i="1"/>
  <c r="Q1671" i="1" a="1"/>
  <c r="Q1671" i="1" s="1"/>
  <c r="P1671" i="1" a="1"/>
  <c r="P1671" i="1" s="1"/>
  <c r="H1670" i="1" a="1"/>
  <c r="H1670" i="1" s="1"/>
  <c r="G1669" i="1" a="1"/>
  <c r="G1669" i="1" s="1"/>
  <c r="M1667" i="1" a="1"/>
  <c r="M1667" i="1"/>
  <c r="N1668" i="1" a="1"/>
  <c r="N1668" i="1"/>
  <c r="G1670" i="1" a="1"/>
  <c r="G1670" i="1" s="1"/>
  <c r="M1669" i="1" a="1"/>
  <c r="M1669" i="1"/>
  <c r="K1669" i="1" a="1"/>
  <c r="K1669" i="1" s="1"/>
  <c r="L1669" i="1" a="1"/>
  <c r="L1669" i="1" s="1"/>
  <c r="F1670" i="1" a="1"/>
  <c r="F1670" i="1"/>
  <c r="G1668" i="1" a="1"/>
  <c r="G1668" i="1"/>
  <c r="N1671" i="1" a="1"/>
  <c r="N1671" i="1"/>
  <c r="J1669" i="1" a="1"/>
  <c r="J1669" i="1" s="1"/>
  <c r="O1671" i="1" a="1"/>
  <c r="O1671" i="1"/>
  <c r="O1670" i="1" a="1"/>
  <c r="O1670" i="1" s="1"/>
  <c r="I1668" i="1" a="1"/>
  <c r="I1668" i="1" s="1"/>
  <c r="J1671" i="1" a="1"/>
  <c r="J1671" i="1" s="1"/>
  <c r="K1670" i="1" a="1"/>
  <c r="K1670" i="1" s="1"/>
  <c r="N1667" i="1" a="1"/>
  <c r="N1667" i="1" s="1"/>
  <c r="Q1669" i="1" a="1"/>
  <c r="Q1669" i="1" s="1"/>
  <c r="O1669" i="1" a="1"/>
  <c r="O1669" i="1" s="1"/>
  <c r="K1668" i="1" a="1"/>
  <c r="K1668" i="1" s="1"/>
  <c r="H1668" i="1" a="1"/>
  <c r="H1668" i="1"/>
  <c r="I1669" i="1" a="1"/>
  <c r="I1669" i="1" s="1"/>
  <c r="I1671" i="1" a="1"/>
  <c r="I1671" i="1" s="1"/>
  <c r="G1671" i="1" a="1"/>
  <c r="G1671" i="1" s="1"/>
  <c r="O1668" i="1" a="1"/>
  <c r="O1668" i="1" s="1"/>
  <c r="O1667" i="1" a="1"/>
  <c r="O1667" i="1" s="1"/>
  <c r="L1671" i="1" a="1"/>
  <c r="L1671" i="1" s="1"/>
  <c r="M1668" i="1" a="1"/>
  <c r="M1668" i="1" s="1"/>
  <c r="F1668" i="1" a="1"/>
  <c r="F1668" i="1" s="1"/>
  <c r="H1671" i="1" a="1"/>
  <c r="H1671" i="1"/>
  <c r="Q1670" i="1" a="1"/>
  <c r="Q1670" i="1" s="1"/>
  <c r="N1670" i="1" a="1"/>
  <c r="N1670" i="1" s="1"/>
  <c r="J1668" i="1" a="1"/>
  <c r="J1668" i="1" s="1"/>
  <c r="L1667" i="1" a="1"/>
  <c r="L1667" i="1" s="1"/>
  <c r="N1669" i="1" a="1"/>
  <c r="N1669" i="1" s="1"/>
  <c r="P1670" i="1" a="1"/>
  <c r="P1670" i="1"/>
  <c r="M1670" i="1" a="1"/>
  <c r="M1670" i="1" s="1"/>
  <c r="P1669" i="1" a="1"/>
  <c r="P1669" i="1" s="1"/>
  <c r="P1667" i="1" a="1"/>
  <c r="P1667" i="1"/>
  <c r="Q1668" i="1" a="1"/>
  <c r="Q1668" i="1"/>
  <c r="L1672" i="1" a="1"/>
  <c r="L1672" i="1" s="1"/>
  <c r="M1671" i="1" a="1"/>
  <c r="M1671" i="1" s="1"/>
  <c r="K1671" i="1" a="1"/>
  <c r="K1671" i="1" s="1"/>
  <c r="F1669" i="1" a="1"/>
  <c r="F1669" i="1"/>
  <c r="P1668" i="1" a="1"/>
  <c r="P1668" i="1" s="1"/>
  <c r="F1671" i="1" a="1"/>
  <c r="F1671" i="1"/>
  <c r="K1672" i="1" a="1"/>
  <c r="K1672" i="1"/>
  <c r="L1670" i="1" a="1"/>
  <c r="L1670" i="1" s="1"/>
  <c r="J1670" i="1" a="1"/>
  <c r="J1670" i="1"/>
  <c r="Q1667" i="1" a="1"/>
  <c r="Q1667" i="1" s="1"/>
  <c r="L1668" i="1" a="1"/>
  <c r="L1668" i="1" s="1"/>
  <c r="G1672" i="1" a="1"/>
  <c r="G1672" i="1"/>
  <c r="J1672" i="1" a="1"/>
  <c r="J1672" i="1"/>
  <c r="I1670" i="1" a="1"/>
  <c r="I1670" i="1" s="1"/>
  <c r="Q1660" i="1" a="1"/>
  <c r="Q1660" i="1" s="1"/>
  <c r="G1660" i="1" a="1"/>
  <c r="G1660" i="1" s="1"/>
  <c r="I1667" i="1" a="1"/>
  <c r="I1667" i="1" s="1"/>
  <c r="I1661" i="1" a="1"/>
  <c r="I1661" i="1" s="1"/>
  <c r="H1667" i="1" a="1"/>
  <c r="H1667" i="1" s="1"/>
  <c r="O1662" i="1" a="1"/>
  <c r="O1662" i="1" s="1"/>
  <c r="Q1661" i="1" a="1"/>
  <c r="Q1661" i="1"/>
  <c r="J1661" i="1" a="1"/>
  <c r="J1661" i="1" s="1"/>
  <c r="K1661" i="1" a="1"/>
  <c r="K1661" i="1"/>
  <c r="P1661" i="1" a="1"/>
  <c r="P1661" i="1" s="1"/>
  <c r="H1661" i="1" a="1"/>
  <c r="H1661" i="1" s="1"/>
  <c r="K1667" i="1" a="1"/>
  <c r="K1667" i="1" s="1"/>
  <c r="K1662" i="1" a="1"/>
  <c r="K1662" i="1"/>
  <c r="J1667" i="1" a="1"/>
  <c r="J1667" i="1" s="1"/>
  <c r="P1660" i="1" a="1"/>
  <c r="P1660" i="1" s="1"/>
  <c r="G1667" i="1" a="1"/>
  <c r="G1667" i="1" s="1"/>
  <c r="F1667" i="1" a="1"/>
  <c r="F1667" i="1" s="1"/>
  <c r="G1662" i="1" a="1"/>
  <c r="G1662" i="1" s="1"/>
  <c r="F1660" i="1" a="1"/>
  <c r="F1660" i="1" s="1"/>
  <c r="Q1662" i="1" a="1"/>
  <c r="Q1662" i="1" s="1"/>
  <c r="J1662" i="1" a="1"/>
  <c r="J1662" i="1" s="1"/>
  <c r="P1662" i="1" a="1"/>
  <c r="P1662" i="1" s="1"/>
  <c r="F1662" i="1" a="1"/>
  <c r="F1662" i="1" s="1"/>
  <c r="N1660" i="1" a="1"/>
  <c r="N1660" i="1"/>
  <c r="N1662" i="1" a="1"/>
  <c r="N1662" i="1" s="1"/>
  <c r="F1661" i="1" a="1"/>
  <c r="F1661" i="1"/>
  <c r="O1661" i="1" a="1"/>
  <c r="O1661" i="1" s="1"/>
  <c r="G1661" i="1" a="1"/>
  <c r="G1661" i="1" s="1"/>
  <c r="L1660" i="1" a="1"/>
  <c r="L1660" i="1" s="1"/>
  <c r="M1662" i="1" a="1"/>
  <c r="M1662" i="1" s="1"/>
  <c r="I1662" i="1" a="1"/>
  <c r="I1662" i="1" s="1"/>
  <c r="H1662" i="1" a="1"/>
  <c r="H1662" i="1" s="1"/>
  <c r="L1662" i="1" a="1"/>
  <c r="L1662" i="1"/>
  <c r="O1660" i="1" a="1"/>
  <c r="O1660" i="1"/>
  <c r="M1660" i="1" a="1"/>
  <c r="M1660" i="1"/>
  <c r="M1661" i="1" a="1"/>
  <c r="M1661" i="1" s="1"/>
  <c r="L1661" i="1" a="1"/>
  <c r="L1661" i="1" s="1"/>
  <c r="J1660" i="1" a="1"/>
  <c r="J1660" i="1" s="1"/>
  <c r="K1660" i="1" a="1"/>
  <c r="K1660" i="1" s="1"/>
  <c r="N1661" i="1" a="1"/>
  <c r="N1661" i="1" s="1"/>
  <c r="I1660" i="1" a="1"/>
  <c r="I1660" i="1"/>
  <c r="H1660" i="1" a="1"/>
  <c r="H1660" i="1" s="1"/>
  <c r="I1654" i="1" a="1"/>
  <c r="I1654" i="1" s="1"/>
  <c r="I1646" i="1" a="1"/>
  <c r="I1646" i="1" s="1"/>
  <c r="F1654" i="1" a="1"/>
  <c r="F1654" i="1" s="1"/>
  <c r="Q1647" i="1" a="1"/>
  <c r="Q1647" i="1"/>
  <c r="F1647" i="1" a="1"/>
  <c r="F1647" i="1"/>
  <c r="M1647" i="1" a="1"/>
  <c r="M1647" i="1" s="1"/>
  <c r="P1646" i="1" a="1"/>
  <c r="P1646" i="1" s="1"/>
  <c r="K1647" i="1" a="1"/>
  <c r="K1647" i="1" s="1"/>
  <c r="O1646" i="1" a="1"/>
  <c r="O1646" i="1"/>
  <c r="H1647" i="1" a="1"/>
  <c r="H1647" i="1"/>
  <c r="O1647" i="1" a="1"/>
  <c r="O1647" i="1" s="1"/>
  <c r="L1647" i="1" a="1"/>
  <c r="L1647" i="1"/>
  <c r="L1654" i="1" a="1"/>
  <c r="L1654" i="1"/>
  <c r="J1654" i="1" a="1"/>
  <c r="J1654" i="1"/>
  <c r="N1647" i="1" a="1"/>
  <c r="N1647" i="1" s="1"/>
  <c r="M1646" i="1" a="1"/>
  <c r="M1646" i="1" s="1"/>
  <c r="K1654" i="1" a="1"/>
  <c r="K1654" i="1" s="1"/>
  <c r="G1647" i="1" a="1"/>
  <c r="G1647" i="1" s="1"/>
  <c r="Q1654" i="1" a="1"/>
  <c r="Q1654" i="1"/>
  <c r="P1647" i="1" a="1"/>
  <c r="P1647" i="1" s="1"/>
  <c r="I1647" i="1" a="1"/>
  <c r="I1647" i="1" s="1"/>
  <c r="P1654" i="1" a="1"/>
  <c r="P1654" i="1"/>
  <c r="Q1646" i="1" a="1"/>
  <c r="Q1646" i="1"/>
  <c r="L1646" i="1" a="1"/>
  <c r="L1646" i="1" s="1"/>
  <c r="J1647" i="1" a="1"/>
  <c r="J1647" i="1"/>
  <c r="O1654" i="1" a="1"/>
  <c r="O1654" i="1" s="1"/>
  <c r="N1654" i="1" a="1"/>
  <c r="N1654" i="1" s="1"/>
  <c r="K1646" i="1" a="1"/>
  <c r="K1646" i="1" s="1"/>
  <c r="G1654" i="1" a="1"/>
  <c r="G1654" i="1" s="1"/>
  <c r="N1646" i="1" a="1"/>
  <c r="N1646" i="1" s="1"/>
  <c r="M1654" i="1" a="1"/>
  <c r="M1654" i="1" s="1"/>
  <c r="H1654" i="1" a="1"/>
  <c r="H1654" i="1" s="1"/>
  <c r="J1646" i="1" a="1"/>
  <c r="J1646" i="1" s="1"/>
  <c r="P1643" i="1" a="1"/>
  <c r="P1643" i="1"/>
  <c r="K1643" i="1" a="1"/>
  <c r="K1643" i="1"/>
  <c r="J1642" i="1" a="1"/>
  <c r="J1642" i="1"/>
  <c r="F1642" i="1" a="1"/>
  <c r="F1642" i="1" s="1"/>
  <c r="L1642" i="1" a="1"/>
  <c r="L1642" i="1" s="1"/>
  <c r="H1643" i="1" a="1"/>
  <c r="H1643" i="1"/>
  <c r="F1643" i="1" a="1"/>
  <c r="F1643" i="1"/>
  <c r="G1642" i="1" a="1"/>
  <c r="G1642" i="1" s="1"/>
  <c r="H1646" i="1" a="1"/>
  <c r="H1646" i="1" s="1"/>
  <c r="J1643" i="1" a="1"/>
  <c r="J1643" i="1" s="1"/>
  <c r="P1642" i="1" a="1"/>
  <c r="P1642" i="1" s="1"/>
  <c r="I1642" i="1" a="1"/>
  <c r="I1642" i="1" s="1"/>
  <c r="G1643" i="1" a="1"/>
  <c r="G1643" i="1" s="1"/>
  <c r="M1642" i="1" a="1"/>
  <c r="M1642" i="1" s="1"/>
  <c r="G1646" i="1" a="1"/>
  <c r="G1646" i="1" s="1"/>
  <c r="K1642" i="1" a="1"/>
  <c r="K1642" i="1" s="1"/>
  <c r="F1646" i="1" a="1"/>
  <c r="F1646" i="1"/>
  <c r="I1643" i="1" a="1"/>
  <c r="I1643" i="1" s="1"/>
  <c r="N1643" i="1" a="1"/>
  <c r="N1643" i="1" s="1"/>
  <c r="L1643" i="1" a="1"/>
  <c r="L1643" i="1"/>
  <c r="Q1642" i="1" a="1"/>
  <c r="Q1642" i="1"/>
  <c r="N1642" i="1" a="1"/>
  <c r="N1642" i="1" s="1"/>
  <c r="M1643" i="1" a="1"/>
  <c r="M1643" i="1" s="1"/>
  <c r="O1643" i="1" a="1"/>
  <c r="O1643" i="1" s="1"/>
  <c r="O1642" i="1" a="1"/>
  <c r="O1642" i="1" s="1"/>
  <c r="Q1643" i="1" a="1"/>
  <c r="Q1643" i="1" s="1"/>
  <c r="H1642" i="1" a="1"/>
  <c r="H1642" i="1"/>
  <c r="I1628" i="1" a="1"/>
  <c r="I1628" i="1" s="1"/>
  <c r="O1627" i="1" a="1"/>
  <c r="O1627" i="1" s="1"/>
  <c r="K1625" i="1" a="1"/>
  <c r="K1625" i="1" s="1"/>
  <c r="H1626" i="1" a="1"/>
  <c r="H1626" i="1" s="1"/>
  <c r="Q1629" i="1" a="1"/>
  <c r="Q1629" i="1"/>
  <c r="O1629" i="1" a="1"/>
  <c r="O1629" i="1"/>
  <c r="P1628" i="1" a="1"/>
  <c r="P1628" i="1" s="1"/>
  <c r="M1627" i="1" a="1"/>
  <c r="M1627" i="1" s="1"/>
  <c r="G1628" i="1" a="1"/>
  <c r="G1628" i="1" s="1"/>
  <c r="K1627" i="1" a="1"/>
  <c r="K1627" i="1"/>
  <c r="I1627" i="1" a="1"/>
  <c r="I1627" i="1" s="1"/>
  <c r="M1625" i="1" a="1"/>
  <c r="M1625" i="1" s="1"/>
  <c r="J1625" i="1" a="1"/>
  <c r="J1625" i="1" s="1"/>
  <c r="H1625" i="1" a="1"/>
  <c r="H1625" i="1"/>
  <c r="H1629" i="1" a="1"/>
  <c r="H1629" i="1"/>
  <c r="N1625" i="1" a="1"/>
  <c r="N1625" i="1"/>
  <c r="K1628" i="1" a="1"/>
  <c r="K1628" i="1"/>
  <c r="F1627" i="1" a="1"/>
  <c r="F1627" i="1"/>
  <c r="F1626" i="1" a="1"/>
  <c r="F1626" i="1" s="1"/>
  <c r="M1626" i="1" a="1"/>
  <c r="M1626" i="1" s="1"/>
  <c r="P1629" i="1" a="1"/>
  <c r="P1629" i="1"/>
  <c r="K1629" i="1" a="1"/>
  <c r="K1629" i="1" s="1"/>
  <c r="I1626" i="1" a="1"/>
  <c r="I1626" i="1" s="1"/>
  <c r="I1629" i="1" a="1"/>
  <c r="I1629" i="1"/>
  <c r="G1629" i="1" a="1"/>
  <c r="G1629" i="1" s="1"/>
  <c r="P1625" i="1" a="1"/>
  <c r="P1625" i="1" s="1"/>
  <c r="M1628" i="1" a="1"/>
  <c r="M1628" i="1" s="1"/>
  <c r="F1629" i="1" a="1"/>
  <c r="F1629" i="1"/>
  <c r="O1628" i="1" a="1"/>
  <c r="O1628" i="1" s="1"/>
  <c r="P1626" i="1" a="1"/>
  <c r="P1626" i="1"/>
  <c r="L1628" i="1" a="1"/>
  <c r="L1628" i="1" s="1"/>
  <c r="L1627" i="1" a="1"/>
  <c r="L1627" i="1" s="1"/>
  <c r="G1626" i="1" a="1"/>
  <c r="G1626" i="1" s="1"/>
  <c r="I1625" i="1" a="1"/>
  <c r="I1625" i="1" s="1"/>
  <c r="N1626" i="1" a="1"/>
  <c r="N1626" i="1" s="1"/>
  <c r="O1625" i="1" a="1"/>
  <c r="O1625" i="1"/>
  <c r="G1625" i="1" a="1"/>
  <c r="G1625" i="1"/>
  <c r="O1626" i="1" a="1"/>
  <c r="O1626" i="1" s="1"/>
  <c r="J1626" i="1" a="1"/>
  <c r="J1626" i="1" s="1"/>
  <c r="Q1626" i="1" a="1"/>
  <c r="Q1626" i="1" s="1"/>
  <c r="K1626" i="1" a="1"/>
  <c r="K1626" i="1" s="1"/>
  <c r="H1627" i="1" a="1"/>
  <c r="H1627" i="1"/>
  <c r="L1629" i="1" a="1"/>
  <c r="L1629" i="1" s="1"/>
  <c r="N1628" i="1" a="1"/>
  <c r="N1628" i="1" s="1"/>
  <c r="J1629" i="1" a="1"/>
  <c r="J1629" i="1"/>
  <c r="H1628" i="1" a="1"/>
  <c r="H1628" i="1" s="1"/>
  <c r="J1627" i="1" a="1"/>
  <c r="J1627" i="1"/>
  <c r="N1629" i="1" a="1"/>
  <c r="N1629" i="1"/>
  <c r="M1629" i="1" a="1"/>
  <c r="M1629" i="1" s="1"/>
  <c r="Q1628" i="1" a="1"/>
  <c r="Q1628" i="1" s="1"/>
  <c r="Q1627" i="1" a="1"/>
  <c r="Q1627" i="1" s="1"/>
  <c r="N1627" i="1" a="1"/>
  <c r="N1627" i="1"/>
  <c r="G1627" i="1" a="1"/>
  <c r="G1627" i="1" s="1"/>
  <c r="L1625" i="1" a="1"/>
  <c r="L1625" i="1" s="1"/>
  <c r="L1626" i="1" a="1"/>
  <c r="L1626" i="1" s="1"/>
  <c r="Q1625" i="1" a="1"/>
  <c r="Q1625" i="1" s="1"/>
  <c r="J1628" i="1" a="1"/>
  <c r="J1628" i="1" s="1"/>
  <c r="P1627" i="1" a="1"/>
  <c r="P1627" i="1" s="1"/>
  <c r="F1628" i="1" a="1"/>
  <c r="F1628" i="1" s="1"/>
  <c r="F1625" i="1" a="1"/>
  <c r="F1625" i="1" s="1"/>
  <c r="Q1624" i="1" a="1"/>
  <c r="Q1624" i="1" s="1"/>
  <c r="P1622" i="1" a="1"/>
  <c r="P1622" i="1"/>
  <c r="O1622" i="1" a="1"/>
  <c r="O1622" i="1" s="1"/>
  <c r="K1621" i="1" a="1"/>
  <c r="K1621" i="1"/>
  <c r="F1622" i="1" a="1"/>
  <c r="F1622" i="1" s="1"/>
  <c r="Q1619" i="1" a="1"/>
  <c r="Q1619" i="1" s="1"/>
  <c r="G1621" i="1" a="1"/>
  <c r="G1621" i="1" s="1"/>
  <c r="P1624" i="1" a="1"/>
  <c r="P1624" i="1" s="1"/>
  <c r="K1624" i="1" a="1"/>
  <c r="K1624" i="1" s="1"/>
  <c r="J1624" i="1" a="1"/>
  <c r="J1624" i="1" s="1"/>
  <c r="N1623" i="1" a="1"/>
  <c r="N1623" i="1" s="1"/>
  <c r="H1621" i="1" a="1"/>
  <c r="H1621" i="1"/>
  <c r="G1623" i="1" a="1"/>
  <c r="G1623" i="1"/>
  <c r="N1621" i="1" a="1"/>
  <c r="N1621" i="1" s="1"/>
  <c r="N1624" i="1" a="1"/>
  <c r="N1624" i="1" s="1"/>
  <c r="H1624" i="1" a="1"/>
  <c r="H1624" i="1" s="1"/>
  <c r="M1619" i="1" a="1"/>
  <c r="M1619" i="1" s="1"/>
  <c r="L1622" i="1" a="1"/>
  <c r="L1622" i="1" s="1"/>
  <c r="J1622" i="1" a="1"/>
  <c r="J1622" i="1"/>
  <c r="O1624" i="1" a="1"/>
  <c r="O1624" i="1" s="1"/>
  <c r="N1622" i="1" a="1"/>
  <c r="N1622" i="1" s="1"/>
  <c r="O1623" i="1" a="1"/>
  <c r="O1623" i="1" s="1"/>
  <c r="L1619" i="1" a="1"/>
  <c r="L1619" i="1" s="1"/>
  <c r="N1619" i="1" a="1"/>
  <c r="N1619" i="1"/>
  <c r="M1624" i="1" a="1"/>
  <c r="M1624" i="1"/>
  <c r="I1623" i="1" a="1"/>
  <c r="I1623" i="1" s="1"/>
  <c r="L1624" i="1" a="1"/>
  <c r="L1624" i="1" s="1"/>
  <c r="I1624" i="1" a="1"/>
  <c r="I1624" i="1" s="1"/>
  <c r="G1624" i="1" a="1"/>
  <c r="G1624" i="1" s="1"/>
  <c r="Q1623" i="1" a="1"/>
  <c r="Q1623" i="1" s="1"/>
  <c r="L1623" i="1" a="1"/>
  <c r="L1623" i="1" s="1"/>
  <c r="K1622" i="1" a="1"/>
  <c r="K1622" i="1" s="1"/>
  <c r="I1622" i="1" a="1"/>
  <c r="I1622" i="1" s="1"/>
  <c r="F1621" i="1" a="1"/>
  <c r="F1621" i="1" s="1"/>
  <c r="P1619" i="1" a="1"/>
  <c r="P1619" i="1" s="1"/>
  <c r="O1619" i="1" a="1"/>
  <c r="O1619" i="1" s="1"/>
  <c r="M1622" i="1" a="1"/>
  <c r="M1622" i="1" s="1"/>
  <c r="Q1621" i="1" a="1"/>
  <c r="Q1621" i="1" s="1"/>
  <c r="H1623" i="1" a="1"/>
  <c r="H1623" i="1" s="1"/>
  <c r="F1623" i="1" a="1"/>
  <c r="F1623" i="1"/>
  <c r="Q1622" i="1" a="1"/>
  <c r="Q1622" i="1" s="1"/>
  <c r="J1619" i="1" a="1"/>
  <c r="J1619" i="1" s="1"/>
  <c r="L1621" i="1" a="1"/>
  <c r="L1621" i="1"/>
  <c r="F1624" i="1" a="1"/>
  <c r="F1624" i="1"/>
  <c r="P1623" i="1" a="1"/>
  <c r="P1623" i="1" s="1"/>
  <c r="G1622" i="1" a="1"/>
  <c r="G1622" i="1"/>
  <c r="K1619" i="1" a="1"/>
  <c r="K1619" i="1"/>
  <c r="I1621" i="1" a="1"/>
  <c r="I1621" i="1" s="1"/>
  <c r="H1622" i="1" a="1"/>
  <c r="H1622" i="1" s="1"/>
  <c r="J1621" i="1" a="1"/>
  <c r="J1621" i="1" s="1"/>
  <c r="I1619" i="1" a="1"/>
  <c r="I1619" i="1" s="1"/>
  <c r="M1621" i="1" a="1"/>
  <c r="M1621" i="1"/>
  <c r="M1623" i="1" a="1"/>
  <c r="M1623" i="1"/>
  <c r="P1621" i="1" a="1"/>
  <c r="P1621" i="1" s="1"/>
  <c r="O1621" i="1" a="1"/>
  <c r="O1621" i="1"/>
  <c r="K1623" i="1" a="1"/>
  <c r="K1623" i="1"/>
  <c r="J1623" i="1" a="1"/>
  <c r="J1623" i="1" s="1"/>
  <c r="I1613" i="1" a="1"/>
  <c r="I1613" i="1" s="1"/>
  <c r="O1613" i="1" a="1"/>
  <c r="O1613" i="1" s="1"/>
  <c r="L1611" i="1" a="1"/>
  <c r="L1611" i="1" s="1"/>
  <c r="G1611" i="1" a="1"/>
  <c r="G1611" i="1" s="1"/>
  <c r="L1613" i="1" a="1"/>
  <c r="L1613" i="1" s="1"/>
  <c r="Q1612" i="1" a="1"/>
  <c r="Q1612" i="1" s="1"/>
  <c r="L1612" i="1" a="1"/>
  <c r="L1612" i="1" s="1"/>
  <c r="I1612" i="1" a="1"/>
  <c r="I1612" i="1" s="1"/>
  <c r="H1613" i="1" a="1"/>
  <c r="H1613" i="1" s="1"/>
  <c r="Q1613" i="1" a="1"/>
  <c r="Q1613" i="1" s="1"/>
  <c r="F1613" i="1" a="1"/>
  <c r="F1613" i="1" s="1"/>
  <c r="P1611" i="1" a="1"/>
  <c r="P1611" i="1" s="1"/>
  <c r="F1611" i="1" a="1"/>
  <c r="F1611" i="1" s="1"/>
  <c r="J1612" i="1" a="1"/>
  <c r="J1612" i="1"/>
  <c r="P1612" i="1" a="1"/>
  <c r="P1612" i="1" s="1"/>
  <c r="M1611" i="1" a="1"/>
  <c r="M1611" i="1" s="1"/>
  <c r="P1613" i="1" a="1"/>
  <c r="P1613" i="1"/>
  <c r="N1613" i="1" a="1"/>
  <c r="N1613" i="1"/>
  <c r="K1613" i="1" a="1"/>
  <c r="K1613" i="1"/>
  <c r="J1613" i="1" a="1"/>
  <c r="J1613" i="1" s="1"/>
  <c r="M1612" i="1" a="1"/>
  <c r="M1612" i="1" s="1"/>
  <c r="G1613" i="1" a="1"/>
  <c r="G1613" i="1" s="1"/>
  <c r="H1611" i="1" a="1"/>
  <c r="H1611" i="1" s="1"/>
  <c r="O1612" i="1" a="1"/>
  <c r="O1612" i="1" s="1"/>
  <c r="N1612" i="1" a="1"/>
  <c r="N1612" i="1" s="1"/>
  <c r="K1612" i="1" a="1"/>
  <c r="K1612" i="1" s="1"/>
  <c r="H1612" i="1" a="1"/>
  <c r="H1612" i="1" s="1"/>
  <c r="O1611" i="1" a="1"/>
  <c r="O1611" i="1" s="1"/>
  <c r="Q1611" i="1" a="1"/>
  <c r="Q1611" i="1"/>
  <c r="K1611" i="1" a="1"/>
  <c r="K1611" i="1"/>
  <c r="M1613" i="1" a="1"/>
  <c r="M1613" i="1" s="1"/>
  <c r="G1612" i="1" a="1"/>
  <c r="G1612" i="1" s="1"/>
  <c r="F1612" i="1" a="1"/>
  <c r="F1612" i="1" s="1"/>
  <c r="J1611" i="1" a="1"/>
  <c r="J1611" i="1" s="1"/>
  <c r="I1611" i="1" a="1"/>
  <c r="I1611" i="1" s="1"/>
  <c r="H1619" i="1" a="1"/>
  <c r="H1619" i="1" s="1"/>
  <c r="G1619" i="1" a="1"/>
  <c r="G1619" i="1"/>
  <c r="N1611" i="1" a="1"/>
  <c r="N1611" i="1" s="1"/>
  <c r="F1619" i="1" a="1"/>
  <c r="F1619" i="1" s="1"/>
  <c r="F1605" i="1" a="1"/>
  <c r="F1605" i="1"/>
  <c r="Q1598" i="1" a="1"/>
  <c r="Q1598" i="1"/>
  <c r="M1604" i="1" a="1"/>
  <c r="M1604" i="1"/>
  <c r="O1605" i="1" a="1"/>
  <c r="O1605" i="1" s="1"/>
  <c r="L1605" i="1" a="1"/>
  <c r="L1605" i="1" s="1"/>
  <c r="Q1605" i="1" a="1"/>
  <c r="Q1605" i="1"/>
  <c r="N1605" i="1" a="1"/>
  <c r="N1605" i="1" s="1"/>
  <c r="N1604" i="1" a="1"/>
  <c r="N1604" i="1" s="1"/>
  <c r="L1604" i="1" a="1"/>
  <c r="L1604" i="1" s="1"/>
  <c r="H1604" i="1" a="1"/>
  <c r="H1604" i="1" s="1"/>
  <c r="G1604" i="1" a="1"/>
  <c r="G1604" i="1" s="1"/>
  <c r="P1598" i="1" a="1"/>
  <c r="P1598" i="1"/>
  <c r="O1598" i="1" a="1"/>
  <c r="O1598" i="1"/>
  <c r="J1604" i="1" a="1"/>
  <c r="J1604" i="1" s="1"/>
  <c r="I1604" i="1" a="1"/>
  <c r="I1604" i="1"/>
  <c r="N1598" i="1" a="1"/>
  <c r="N1598" i="1"/>
  <c r="P1605" i="1" a="1"/>
  <c r="P1605" i="1"/>
  <c r="M1605" i="1" a="1"/>
  <c r="M1605" i="1"/>
  <c r="K1605" i="1" a="1"/>
  <c r="K1605" i="1"/>
  <c r="I1605" i="1" a="1"/>
  <c r="I1605" i="1" s="1"/>
  <c r="J1605" i="1" a="1"/>
  <c r="J1605" i="1"/>
  <c r="F1604" i="1" a="1"/>
  <c r="F1604" i="1" s="1"/>
  <c r="H1605" i="1" a="1"/>
  <c r="H1605" i="1" s="1"/>
  <c r="P1604" i="1" a="1"/>
  <c r="P1604" i="1" s="1"/>
  <c r="O1604" i="1" a="1"/>
  <c r="O1604" i="1" s="1"/>
  <c r="Q1604" i="1" a="1"/>
  <c r="Q1604" i="1"/>
  <c r="K1604" i="1" a="1"/>
  <c r="K1604" i="1"/>
  <c r="G1605" i="1" a="1"/>
  <c r="G1605" i="1"/>
  <c r="F1598" i="1" a="1"/>
  <c r="F1598" i="1"/>
  <c r="I1596" i="1" a="1"/>
  <c r="I1596" i="1" s="1"/>
  <c r="Q1596" i="1" a="1"/>
  <c r="Q1596" i="1"/>
  <c r="K1596" i="1" a="1"/>
  <c r="K1596" i="1" s="1"/>
  <c r="G1595" i="1" a="1"/>
  <c r="G1595" i="1" s="1"/>
  <c r="P1596" i="1" a="1"/>
  <c r="P1596" i="1" s="1"/>
  <c r="M1596" i="1" a="1"/>
  <c r="M1596" i="1" s="1"/>
  <c r="H1596" i="1" a="1"/>
  <c r="H1596" i="1" s="1"/>
  <c r="G1596" i="1" a="1"/>
  <c r="G1596" i="1" s="1"/>
  <c r="F1596" i="1" a="1"/>
  <c r="F1596" i="1" s="1"/>
  <c r="N1595" i="1" a="1"/>
  <c r="N1595" i="1" s="1"/>
  <c r="M1595" i="1" a="1"/>
  <c r="M1595" i="1" s="1"/>
  <c r="K1595" i="1" a="1"/>
  <c r="K1595" i="1" s="1"/>
  <c r="Q1595" i="1" a="1"/>
  <c r="Q1595" i="1" s="1"/>
  <c r="M1598" i="1" a="1"/>
  <c r="M1598" i="1" s="1"/>
  <c r="L1598" i="1" a="1"/>
  <c r="L1598" i="1" s="1"/>
  <c r="K1598" i="1" a="1"/>
  <c r="K1598" i="1" s="1"/>
  <c r="J1596" i="1" a="1"/>
  <c r="J1596" i="1" s="1"/>
  <c r="I1595" i="1" a="1"/>
  <c r="I1595" i="1"/>
  <c r="I1598" i="1" a="1"/>
  <c r="I1598" i="1" s="1"/>
  <c r="O1596" i="1" a="1"/>
  <c r="O1596" i="1"/>
  <c r="N1596" i="1" a="1"/>
  <c r="N1596" i="1"/>
  <c r="J1595" i="1" a="1"/>
  <c r="J1595" i="1" s="1"/>
  <c r="O1595" i="1" a="1"/>
  <c r="O1595" i="1" s="1"/>
  <c r="F1595" i="1" a="1"/>
  <c r="F1595" i="1" s="1"/>
  <c r="P1595" i="1" a="1"/>
  <c r="P1595" i="1"/>
  <c r="J1598" i="1" a="1"/>
  <c r="J1598" i="1" s="1"/>
  <c r="G1598" i="1" a="1"/>
  <c r="G1598" i="1" s="1"/>
  <c r="H1598" i="1" a="1"/>
  <c r="H1598" i="1"/>
  <c r="L1596" i="1" a="1"/>
  <c r="L1596" i="1"/>
  <c r="L1595" i="1" a="1"/>
  <c r="L1595" i="1" s="1"/>
  <c r="H1595" i="1" a="1"/>
  <c r="H1595" i="1"/>
  <c r="P1582" i="1" a="1"/>
  <c r="P1582" i="1"/>
  <c r="N1582" i="1" a="1"/>
  <c r="N1582" i="1"/>
  <c r="L1582" i="1" a="1"/>
  <c r="L1582" i="1"/>
  <c r="J1582" i="1" a="1"/>
  <c r="J1582" i="1" s="1"/>
  <c r="O1582" i="1" a="1"/>
  <c r="O1582" i="1" s="1"/>
  <c r="Q1582" i="1" a="1"/>
  <c r="Q1582" i="1" s="1"/>
  <c r="H1582" i="1" a="1"/>
  <c r="H1582" i="1" s="1"/>
  <c r="M1582" i="1" a="1"/>
  <c r="M1582" i="1" s="1"/>
  <c r="I1582" i="1" a="1"/>
  <c r="I1582" i="1"/>
  <c r="K1582" i="1" a="1"/>
  <c r="K1582" i="1" s="1"/>
  <c r="L1581" i="1" a="1"/>
  <c r="L1581" i="1" s="1"/>
  <c r="K1580" i="1" a="1"/>
  <c r="K1580" i="1" s="1"/>
  <c r="G1578" i="1" a="1"/>
  <c r="G1578" i="1" s="1"/>
  <c r="J1580" i="1" a="1"/>
  <c r="J1580" i="1" s="1"/>
  <c r="J1579" i="1" a="1"/>
  <c r="J1579" i="1" s="1"/>
  <c r="H1579" i="1" a="1"/>
  <c r="H1579" i="1" s="1"/>
  <c r="P1578" i="1" a="1"/>
  <c r="P1578" i="1" s="1"/>
  <c r="Q1578" i="1" a="1"/>
  <c r="Q1578" i="1" s="1"/>
  <c r="L1579" i="1" a="1"/>
  <c r="L1579" i="1" s="1"/>
  <c r="G1579" i="1" a="1"/>
  <c r="G1579" i="1" s="1"/>
  <c r="O1577" i="1" a="1"/>
  <c r="O1577" i="1" s="1"/>
  <c r="G1582" i="1" a="1"/>
  <c r="G1582" i="1"/>
  <c r="F1582" i="1" a="1"/>
  <c r="F1582" i="1" s="1"/>
  <c r="Q1581" i="1" a="1"/>
  <c r="Q1581" i="1" s="1"/>
  <c r="N1581" i="1" a="1"/>
  <c r="N1581" i="1"/>
  <c r="J1581" i="1" a="1"/>
  <c r="J1581" i="1" s="1"/>
  <c r="N1580" i="1" a="1"/>
  <c r="N1580" i="1" s="1"/>
  <c r="F1580" i="1" a="1"/>
  <c r="F1580" i="1"/>
  <c r="O1579" i="1" a="1"/>
  <c r="O1579" i="1"/>
  <c r="J1578" i="1" a="1"/>
  <c r="J1578" i="1"/>
  <c r="I1580" i="1" a="1"/>
  <c r="I1580" i="1" s="1"/>
  <c r="L1580" i="1" a="1"/>
  <c r="L1580" i="1" s="1"/>
  <c r="M1580" i="1" a="1"/>
  <c r="M1580" i="1" s="1"/>
  <c r="K1581" i="1" a="1"/>
  <c r="K1581" i="1" s="1"/>
  <c r="I1581" i="1" a="1"/>
  <c r="I1581" i="1" s="1"/>
  <c r="H1578" i="1" a="1"/>
  <c r="H1578" i="1"/>
  <c r="P1579" i="1" a="1"/>
  <c r="P1579" i="1"/>
  <c r="M1579" i="1" a="1"/>
  <c r="M1579" i="1"/>
  <c r="K1579" i="1" a="1"/>
  <c r="K1579" i="1" s="1"/>
  <c r="I1579" i="1" a="1"/>
  <c r="I1579" i="1"/>
  <c r="Q1580" i="1" a="1"/>
  <c r="Q1580" i="1" s="1"/>
  <c r="K1578" i="1" a="1"/>
  <c r="K1578" i="1" s="1"/>
  <c r="H1581" i="1" a="1"/>
  <c r="H1581" i="1" s="1"/>
  <c r="G1581" i="1" a="1"/>
  <c r="G1581" i="1" s="1"/>
  <c r="F1581" i="1" a="1"/>
  <c r="F1581" i="1" s="1"/>
  <c r="P1580" i="1" a="1"/>
  <c r="P1580" i="1"/>
  <c r="O1580" i="1" a="1"/>
  <c r="O1580" i="1" s="1"/>
  <c r="O1578" i="1" a="1"/>
  <c r="O1578" i="1" s="1"/>
  <c r="N1578" i="1" a="1"/>
  <c r="N1578" i="1" s="1"/>
  <c r="Q1577" i="1" a="1"/>
  <c r="Q1577" i="1" s="1"/>
  <c r="I1578" i="1" a="1"/>
  <c r="I1578" i="1"/>
  <c r="M1578" i="1" a="1"/>
  <c r="M1578" i="1" s="1"/>
  <c r="G1580" i="1" a="1"/>
  <c r="G1580" i="1" s="1"/>
  <c r="Q1579" i="1" a="1"/>
  <c r="Q1579" i="1" s="1"/>
  <c r="N1579" i="1" a="1"/>
  <c r="N1579" i="1" s="1"/>
  <c r="P1577" i="1" a="1"/>
  <c r="P1577" i="1"/>
  <c r="F1579" i="1" a="1"/>
  <c r="F1579" i="1" s="1"/>
  <c r="P1581" i="1" a="1"/>
  <c r="P1581" i="1" s="1"/>
  <c r="O1581" i="1" a="1"/>
  <c r="O1581" i="1"/>
  <c r="F1578" i="1" a="1"/>
  <c r="F1578" i="1"/>
  <c r="M1581" i="1" a="1"/>
  <c r="M1581" i="1" s="1"/>
  <c r="H1580" i="1" a="1"/>
  <c r="H1580" i="1" s="1"/>
  <c r="L1578" i="1" a="1"/>
  <c r="L1578" i="1" s="1"/>
  <c r="P1575" i="1" a="1"/>
  <c r="P1575" i="1"/>
  <c r="K1575" i="1" a="1"/>
  <c r="K1575" i="1" s="1"/>
  <c r="H1575" i="1" a="1"/>
  <c r="H1575" i="1"/>
  <c r="F1577" i="1" a="1"/>
  <c r="F1577" i="1"/>
  <c r="O1574" i="1" a="1"/>
  <c r="O1574" i="1"/>
  <c r="Q1574" i="1" a="1"/>
  <c r="Q1574" i="1" s="1"/>
  <c r="P1576" i="1" a="1"/>
  <c r="P1576" i="1" s="1"/>
  <c r="K1576" i="1" a="1"/>
  <c r="K1576" i="1"/>
  <c r="I1574" i="1" a="1"/>
  <c r="I1574" i="1"/>
  <c r="J1576" i="1" a="1"/>
  <c r="J1576" i="1" s="1"/>
  <c r="L1574" i="1" a="1"/>
  <c r="L1574" i="1" s="1"/>
  <c r="P1574" i="1" a="1"/>
  <c r="P1574" i="1" s="1"/>
  <c r="K1574" i="1" a="1"/>
  <c r="K1574" i="1" s="1"/>
  <c r="M1574" i="1" a="1"/>
  <c r="M1574" i="1" s="1"/>
  <c r="G1576" i="1" a="1"/>
  <c r="G1576" i="1" s="1"/>
  <c r="N1575" i="1" a="1"/>
  <c r="N1575" i="1"/>
  <c r="F1575" i="1" a="1"/>
  <c r="F1575" i="1" s="1"/>
  <c r="N1574" i="1" a="1"/>
  <c r="N1574" i="1"/>
  <c r="G1574" i="1" a="1"/>
  <c r="G1574" i="1"/>
  <c r="Q1575" i="1" a="1"/>
  <c r="Q1575" i="1" s="1"/>
  <c r="G1575" i="1" a="1"/>
  <c r="G1575" i="1"/>
  <c r="N1577" i="1" a="1"/>
  <c r="N1577" i="1" s="1"/>
  <c r="M1577" i="1" a="1"/>
  <c r="M1577" i="1" s="1"/>
  <c r="L1577" i="1" a="1"/>
  <c r="L1577" i="1"/>
  <c r="Q1576" i="1" a="1"/>
  <c r="Q1576" i="1" s="1"/>
  <c r="K1577" i="1" a="1"/>
  <c r="K1577" i="1" s="1"/>
  <c r="O1575" i="1" a="1"/>
  <c r="O1575" i="1" s="1"/>
  <c r="J1577" i="1" a="1"/>
  <c r="J1577" i="1" s="1"/>
  <c r="M1575" i="1" a="1"/>
  <c r="M1575" i="1" s="1"/>
  <c r="H1574" i="1" a="1"/>
  <c r="H1574" i="1" s="1"/>
  <c r="I1577" i="1" a="1"/>
  <c r="I1577" i="1"/>
  <c r="H1577" i="1" a="1"/>
  <c r="H1577" i="1" s="1"/>
  <c r="J1574" i="1" a="1"/>
  <c r="J1574" i="1"/>
  <c r="I1575" i="1" a="1"/>
  <c r="I1575" i="1"/>
  <c r="F1574" i="1" a="1"/>
  <c r="F1574" i="1" s="1"/>
  <c r="G1577" i="1" a="1"/>
  <c r="G1577" i="1" s="1"/>
  <c r="O1576" i="1" a="1"/>
  <c r="O1576" i="1"/>
  <c r="N1576" i="1" a="1"/>
  <c r="N1576" i="1" s="1"/>
  <c r="L1575" i="1" a="1"/>
  <c r="L1575" i="1"/>
  <c r="M1576" i="1" a="1"/>
  <c r="M1576" i="1" s="1"/>
  <c r="L1576" i="1" a="1"/>
  <c r="L1576" i="1" s="1"/>
  <c r="I1576" i="1" a="1"/>
  <c r="I1576" i="1" s="1"/>
  <c r="J1575" i="1" a="1"/>
  <c r="J1575" i="1" s="1"/>
  <c r="F1576" i="1" a="1"/>
  <c r="F1576" i="1"/>
  <c r="H1576" i="1" a="1"/>
  <c r="H1576" i="1"/>
  <c r="K1572" i="1" a="1"/>
  <c r="K1572" i="1"/>
  <c r="J1564" i="1" a="1"/>
  <c r="J1564" i="1"/>
  <c r="I1572" i="1" a="1"/>
  <c r="I1572" i="1" s="1"/>
  <c r="H1572" i="1" a="1"/>
  <c r="H1572" i="1"/>
  <c r="M1566" i="1" a="1"/>
  <c r="M1566" i="1" s="1"/>
  <c r="K1564" i="1" a="1"/>
  <c r="K1564" i="1"/>
  <c r="J1565" i="1" a="1"/>
  <c r="J1565" i="1" s="1"/>
  <c r="M1565" i="1" a="1"/>
  <c r="M1565" i="1" s="1"/>
  <c r="K1565" i="1" a="1"/>
  <c r="K1565" i="1" s="1"/>
  <c r="M1572" i="1" a="1"/>
  <c r="M1572" i="1" s="1"/>
  <c r="O1565" i="1" a="1"/>
  <c r="O1565" i="1" s="1"/>
  <c r="G1565" i="1" a="1"/>
  <c r="G1565" i="1" s="1"/>
  <c r="Q1564" i="1" a="1"/>
  <c r="Q1564" i="1" s="1"/>
  <c r="L1572" i="1" a="1"/>
  <c r="L1572" i="1" s="1"/>
  <c r="J1572" i="1" a="1"/>
  <c r="J1572" i="1" s="1"/>
  <c r="I1566" i="1" a="1"/>
  <c r="I1566" i="1"/>
  <c r="G1572" i="1" a="1"/>
  <c r="G1572" i="1"/>
  <c r="F1572" i="1" a="1"/>
  <c r="F1572" i="1"/>
  <c r="O1564" i="1" a="1"/>
  <c r="O1564" i="1"/>
  <c r="H1565" i="1" a="1"/>
  <c r="H1565" i="1" s="1"/>
  <c r="N1566" i="1" a="1"/>
  <c r="N1566" i="1"/>
  <c r="N1565" i="1" a="1"/>
  <c r="N1565" i="1"/>
  <c r="F1566" i="1" a="1"/>
  <c r="F1566" i="1" s="1"/>
  <c r="Q1566" i="1" a="1"/>
  <c r="Q1566" i="1" s="1"/>
  <c r="L1566" i="1" a="1"/>
  <c r="L1566" i="1" s="1"/>
  <c r="K1566" i="1" a="1"/>
  <c r="K1566" i="1" s="1"/>
  <c r="F1565" i="1" a="1"/>
  <c r="F1565" i="1"/>
  <c r="L1564" i="1" a="1"/>
  <c r="L1564" i="1" s="1"/>
  <c r="O1566" i="1" a="1"/>
  <c r="O1566" i="1" s="1"/>
  <c r="N1564" i="1" a="1"/>
  <c r="N1564" i="1"/>
  <c r="L1565" i="1" a="1"/>
  <c r="L1565" i="1"/>
  <c r="P1564" i="1" a="1"/>
  <c r="P1564" i="1" s="1"/>
  <c r="P1566" i="1" a="1"/>
  <c r="P1566" i="1"/>
  <c r="H1566" i="1" a="1"/>
  <c r="H1566" i="1"/>
  <c r="G1566" i="1" a="1"/>
  <c r="G1566" i="1"/>
  <c r="I1565" i="1" a="1"/>
  <c r="I1565" i="1"/>
  <c r="M1564" i="1" a="1"/>
  <c r="M1564" i="1" s="1"/>
  <c r="Q1572" i="1" a="1"/>
  <c r="Q1572" i="1" s="1"/>
  <c r="P1572" i="1" a="1"/>
  <c r="P1572" i="1" s="1"/>
  <c r="O1572" i="1" a="1"/>
  <c r="O1572" i="1"/>
  <c r="N1572" i="1" a="1"/>
  <c r="N1572" i="1" s="1"/>
  <c r="P1565" i="1" a="1"/>
  <c r="P1565" i="1"/>
  <c r="J1566" i="1" a="1"/>
  <c r="J1566" i="1" s="1"/>
  <c r="Q1565" i="1" a="1"/>
  <c r="Q1565" i="1" s="1"/>
  <c r="I1564" i="1" a="1"/>
  <c r="I1564" i="1" s="1"/>
  <c r="H1564" i="1" a="1"/>
  <c r="H1564" i="1" s="1"/>
  <c r="G1564" i="1" a="1"/>
  <c r="G1564" i="1" s="1"/>
  <c r="F1564" i="1" a="1"/>
  <c r="F1564" i="1" s="1"/>
  <c r="K1557" i="1" a="1"/>
  <c r="K1557" i="1" s="1"/>
  <c r="N1558" i="1" a="1"/>
  <c r="N1558" i="1" s="1"/>
  <c r="M1558" i="1" a="1"/>
  <c r="M1558" i="1" s="1"/>
  <c r="P1557" i="1" a="1"/>
  <c r="P1557" i="1" s="1"/>
  <c r="H1557" i="1" a="1"/>
  <c r="H1557" i="1" s="1"/>
  <c r="F1558" i="1" a="1"/>
  <c r="F1558" i="1"/>
  <c r="J1558" i="1" a="1"/>
  <c r="J1558" i="1"/>
  <c r="G1557" i="1" a="1"/>
  <c r="G1557" i="1" s="1"/>
  <c r="K1558" i="1" a="1"/>
  <c r="K1558" i="1" s="1"/>
  <c r="H1558" i="1" a="1"/>
  <c r="H1558" i="1"/>
  <c r="Q1557" i="1" a="1"/>
  <c r="Q1557" i="1" s="1"/>
  <c r="L1557" i="1" a="1"/>
  <c r="L1557" i="1" s="1"/>
  <c r="P1558" i="1" a="1"/>
  <c r="P1558" i="1"/>
  <c r="G1558" i="1" a="1"/>
  <c r="G1558" i="1"/>
  <c r="I1558" i="1" a="1"/>
  <c r="I1558" i="1"/>
  <c r="J1557" i="1" a="1"/>
  <c r="J1557" i="1" s="1"/>
  <c r="F1557" i="1" a="1"/>
  <c r="F1557" i="1" s="1"/>
  <c r="Q1558" i="1" a="1"/>
  <c r="Q1558" i="1" s="1"/>
  <c r="O1558" i="1" a="1"/>
  <c r="O1558" i="1" s="1"/>
  <c r="L1558" i="1" a="1"/>
  <c r="L1558" i="1" s="1"/>
  <c r="M1557" i="1" a="1"/>
  <c r="M1557" i="1"/>
  <c r="O1557" i="1" a="1"/>
  <c r="O1557" i="1"/>
  <c r="N1557" i="1" a="1"/>
  <c r="N1557" i="1"/>
  <c r="I1557" i="1" a="1"/>
  <c r="I1557" i="1" s="1"/>
  <c r="M1551" i="1" a="1"/>
  <c r="M1551" i="1"/>
  <c r="I1551" i="1" a="1"/>
  <c r="I1551" i="1" s="1"/>
  <c r="P1551" i="1" a="1"/>
  <c r="P1551" i="1" s="1"/>
  <c r="N1551" i="1" a="1"/>
  <c r="N1551" i="1" s="1"/>
  <c r="K1551" i="1" a="1"/>
  <c r="K1551" i="1" s="1"/>
  <c r="J1551" i="1" a="1"/>
  <c r="J1551" i="1"/>
  <c r="G1551" i="1" a="1"/>
  <c r="G1551" i="1" s="1"/>
  <c r="Q1551" i="1" a="1"/>
  <c r="Q1551" i="1" s="1"/>
  <c r="H1551" i="1" a="1"/>
  <c r="H1551" i="1" s="1"/>
  <c r="Q1549" i="1" a="1"/>
  <c r="Q1549" i="1"/>
  <c r="L1551" i="1" a="1"/>
  <c r="L1551" i="1"/>
  <c r="O1551" i="1" a="1"/>
  <c r="O1551" i="1" s="1"/>
  <c r="F1551" i="1" a="1"/>
  <c r="F1551" i="1" s="1"/>
  <c r="O1548" i="1" a="1"/>
  <c r="O1548" i="1" s="1"/>
  <c r="M1548" i="1" a="1"/>
  <c r="M1548" i="1" s="1"/>
  <c r="N1548" i="1" a="1"/>
  <c r="N1548" i="1" s="1"/>
  <c r="L1548" i="1" a="1"/>
  <c r="L1548" i="1"/>
  <c r="J1548" i="1" a="1"/>
  <c r="J1548" i="1" s="1"/>
  <c r="F1548" i="1" a="1"/>
  <c r="F1548" i="1" s="1"/>
  <c r="G1548" i="1" a="1"/>
  <c r="G1548" i="1"/>
  <c r="P1548" i="1" a="1"/>
  <c r="P1548" i="1" s="1"/>
  <c r="I1549" i="1" a="1"/>
  <c r="I1549" i="1" s="1"/>
  <c r="P1549" i="1" a="1"/>
  <c r="P1549" i="1" s="1"/>
  <c r="O1549" i="1" a="1"/>
  <c r="O1549" i="1"/>
  <c r="N1549" i="1" a="1"/>
  <c r="N1549" i="1"/>
  <c r="M1549" i="1" a="1"/>
  <c r="M1549" i="1"/>
  <c r="L1549" i="1" a="1"/>
  <c r="L1549" i="1"/>
  <c r="H1549" i="1" a="1"/>
  <c r="H1549" i="1"/>
  <c r="K1549" i="1" a="1"/>
  <c r="K1549" i="1"/>
  <c r="I1548" i="1" a="1"/>
  <c r="I1548" i="1" s="1"/>
  <c r="Q1548" i="1" a="1"/>
  <c r="Q1548" i="1" s="1"/>
  <c r="J1549" i="1" a="1"/>
  <c r="J1549" i="1"/>
  <c r="K1548" i="1" a="1"/>
  <c r="K1548" i="1"/>
  <c r="G1549" i="1" a="1"/>
  <c r="G1549" i="1"/>
  <c r="F1549" i="1" a="1"/>
  <c r="F1549" i="1" s="1"/>
  <c r="H1548" i="1" a="1"/>
  <c r="H1548" i="1" s="1"/>
  <c r="Q1531" i="1" a="1"/>
  <c r="Q1531" i="1" s="1"/>
  <c r="N1531" i="1" a="1"/>
  <c r="N1531" i="1" s="1"/>
  <c r="M1531" i="1" a="1"/>
  <c r="M1531" i="1"/>
  <c r="L1530" i="1" a="1"/>
  <c r="L1530" i="1" s="1"/>
  <c r="L1531" i="1" a="1"/>
  <c r="L1531" i="1"/>
  <c r="I1531" i="1" a="1"/>
  <c r="I1531" i="1"/>
  <c r="H1531" i="1" a="1"/>
  <c r="H1531" i="1"/>
  <c r="M1530" i="1" a="1"/>
  <c r="M1530" i="1"/>
  <c r="Q1530" i="1" a="1"/>
  <c r="Q1530" i="1" s="1"/>
  <c r="Q1529" i="1" a="1"/>
  <c r="Q1529" i="1" s="1"/>
  <c r="O1530" i="1" a="1"/>
  <c r="O1530" i="1" s="1"/>
  <c r="I1530" i="1" a="1"/>
  <c r="I1530" i="1"/>
  <c r="P1529" i="1" a="1"/>
  <c r="P1529" i="1" s="1"/>
  <c r="N1529" i="1" a="1"/>
  <c r="N1529" i="1" s="1"/>
  <c r="I1529" i="1" a="1"/>
  <c r="I1529" i="1" s="1"/>
  <c r="K1530" i="1" a="1"/>
  <c r="K1530" i="1" s="1"/>
  <c r="O1529" i="1" a="1"/>
  <c r="O1529" i="1"/>
  <c r="J1530" i="1" a="1"/>
  <c r="J1530" i="1" s="1"/>
  <c r="F1530" i="1" a="1"/>
  <c r="F1530" i="1"/>
  <c r="K1531" i="1" a="1"/>
  <c r="K1531" i="1" s="1"/>
  <c r="N1530" i="1" a="1"/>
  <c r="N1530" i="1"/>
  <c r="G1531" i="1" a="1"/>
  <c r="G1531" i="1" s="1"/>
  <c r="H1529" i="1" a="1"/>
  <c r="H1529" i="1" s="1"/>
  <c r="F1531" i="1" a="1"/>
  <c r="F1531" i="1" s="1"/>
  <c r="P1530" i="1" a="1"/>
  <c r="P1530" i="1" s="1"/>
  <c r="P1531" i="1" a="1"/>
  <c r="P1531" i="1" s="1"/>
  <c r="J1531" i="1" a="1"/>
  <c r="J1531" i="1" s="1"/>
  <c r="L1529" i="1" a="1"/>
  <c r="L1529" i="1" s="1"/>
  <c r="O1531" i="1" a="1"/>
  <c r="O1531" i="1" s="1"/>
  <c r="J1529" i="1" a="1"/>
  <c r="J1529" i="1" s="1"/>
  <c r="H1530" i="1" a="1"/>
  <c r="H1530" i="1" s="1"/>
  <c r="M1529" i="1" a="1"/>
  <c r="M1529" i="1" s="1"/>
  <c r="K1529" i="1" a="1"/>
  <c r="K1529" i="1"/>
  <c r="G1530" i="1" a="1"/>
  <c r="G1530" i="1" s="1"/>
  <c r="O1526" i="1" a="1"/>
  <c r="O1526" i="1"/>
  <c r="G1526" i="1" a="1"/>
  <c r="G1526" i="1" s="1"/>
  <c r="L1526" i="1" a="1"/>
  <c r="L1526" i="1"/>
  <c r="G1527" i="1" a="1"/>
  <c r="G1527" i="1" s="1"/>
  <c r="G1529" i="1" a="1"/>
  <c r="G1529" i="1"/>
  <c r="F1529" i="1" a="1"/>
  <c r="F1529" i="1" s="1"/>
  <c r="P1528" i="1" a="1"/>
  <c r="P1528" i="1" s="1"/>
  <c r="Q1528" i="1" a="1"/>
  <c r="Q1528" i="1" s="1"/>
  <c r="L1528" i="1" a="1"/>
  <c r="L1528" i="1" s="1"/>
  <c r="H1528" i="1" a="1"/>
  <c r="H1528" i="1"/>
  <c r="M1526" i="1" a="1"/>
  <c r="M1526" i="1"/>
  <c r="O1528" i="1" a="1"/>
  <c r="O1528" i="1"/>
  <c r="F1528" i="1" a="1"/>
  <c r="F1528" i="1"/>
  <c r="O1527" i="1" a="1"/>
  <c r="O1527" i="1"/>
  <c r="H1527" i="1" a="1"/>
  <c r="H1527" i="1" s="1"/>
  <c r="N1527" i="1" a="1"/>
  <c r="N1527" i="1"/>
  <c r="M1527" i="1" a="1"/>
  <c r="M1527" i="1"/>
  <c r="N1526" i="1" a="1"/>
  <c r="N1526" i="1" s="1"/>
  <c r="N1528" i="1" a="1"/>
  <c r="N1528" i="1"/>
  <c r="J1526" i="1" a="1"/>
  <c r="J1526" i="1" s="1"/>
  <c r="M1528" i="1" a="1"/>
  <c r="M1528" i="1" s="1"/>
  <c r="K1528" i="1" a="1"/>
  <c r="K1528" i="1" s="1"/>
  <c r="J1528" i="1" a="1"/>
  <c r="J1528" i="1" s="1"/>
  <c r="I1528" i="1" a="1"/>
  <c r="I1528" i="1"/>
  <c r="P1526" i="1" a="1"/>
  <c r="P1526" i="1" s="1"/>
  <c r="H1526" i="1" a="1"/>
  <c r="H1526" i="1"/>
  <c r="G1528" i="1" a="1"/>
  <c r="G1528" i="1"/>
  <c r="Q1527" i="1" a="1"/>
  <c r="Q1527" i="1"/>
  <c r="K1526" i="1" a="1"/>
  <c r="K1526" i="1"/>
  <c r="P1527" i="1" a="1"/>
  <c r="P1527" i="1"/>
  <c r="L1527" i="1" a="1"/>
  <c r="L1527" i="1" s="1"/>
  <c r="K1527" i="1" a="1"/>
  <c r="K1527" i="1"/>
  <c r="J1527" i="1" a="1"/>
  <c r="J1527" i="1" s="1"/>
  <c r="I1527" i="1" a="1"/>
  <c r="I1527" i="1" s="1"/>
  <c r="Q1526" i="1" a="1"/>
  <c r="Q1526" i="1" s="1"/>
  <c r="F1526" i="1" a="1"/>
  <c r="F1526" i="1" s="1"/>
  <c r="I1526" i="1" a="1"/>
  <c r="I1526" i="1" s="1"/>
  <c r="F1527" i="1" a="1"/>
  <c r="F1527" i="1" s="1"/>
  <c r="P1524" i="1" a="1"/>
  <c r="P1524" i="1"/>
  <c r="I1522" i="1" a="1"/>
  <c r="I1522" i="1" s="1"/>
  <c r="J1521" i="1" a="1"/>
  <c r="J1521" i="1"/>
  <c r="N1525" i="1" a="1"/>
  <c r="N1525" i="1" s="1"/>
  <c r="L1525" i="1" a="1"/>
  <c r="L1525" i="1"/>
  <c r="M1522" i="1" a="1"/>
  <c r="M1522" i="1"/>
  <c r="H1521" i="1" a="1"/>
  <c r="H1521" i="1"/>
  <c r="I1525" i="1" a="1"/>
  <c r="I1525" i="1"/>
  <c r="G1524" i="1" a="1"/>
  <c r="G1524" i="1" s="1"/>
  <c r="L1522" i="1" a="1"/>
  <c r="L1522" i="1"/>
  <c r="Q1521" i="1" a="1"/>
  <c r="Q1521" i="1" s="1"/>
  <c r="K1524" i="1" a="1"/>
  <c r="K1524" i="1" s="1"/>
  <c r="G1523" i="1" a="1"/>
  <c r="G1523" i="1" s="1"/>
  <c r="K1523" i="1" a="1"/>
  <c r="K1523" i="1"/>
  <c r="J1525" i="1" a="1"/>
  <c r="J1525" i="1" s="1"/>
  <c r="H1525" i="1" a="1"/>
  <c r="H1525" i="1"/>
  <c r="Q1524" i="1" a="1"/>
  <c r="Q1524" i="1" s="1"/>
  <c r="Q1520" i="1" a="1"/>
  <c r="Q1520" i="1" s="1"/>
  <c r="M1523" i="1" a="1"/>
  <c r="M1523" i="1"/>
  <c r="N1524" i="1" a="1"/>
  <c r="N1524" i="1" s="1"/>
  <c r="M1521" i="1" a="1"/>
  <c r="M1521" i="1"/>
  <c r="M1524" i="1" a="1"/>
  <c r="M1524" i="1" s="1"/>
  <c r="L1524" i="1" a="1"/>
  <c r="L1524" i="1" s="1"/>
  <c r="J1524" i="1" a="1"/>
  <c r="J1524" i="1" s="1"/>
  <c r="N1523" i="1" a="1"/>
  <c r="N1523" i="1" s="1"/>
  <c r="J1523" i="1" a="1"/>
  <c r="J1523" i="1" s="1"/>
  <c r="I1523" i="1" a="1"/>
  <c r="I1523" i="1" s="1"/>
  <c r="F1523" i="1" a="1"/>
  <c r="F1523" i="1"/>
  <c r="H1522" i="1" a="1"/>
  <c r="H1522" i="1" s="1"/>
  <c r="P1520" i="1" a="1"/>
  <c r="P1520" i="1" s="1"/>
  <c r="Q1522" i="1" a="1"/>
  <c r="Q1522" i="1" s="1"/>
  <c r="Q1523" i="1" a="1"/>
  <c r="Q1523" i="1"/>
  <c r="O1523" i="1" a="1"/>
  <c r="O1523" i="1" s="1"/>
  <c r="P1522" i="1" a="1"/>
  <c r="P1522" i="1"/>
  <c r="N1522" i="1" a="1"/>
  <c r="N1522" i="1"/>
  <c r="P1521" i="1" a="1"/>
  <c r="P1521" i="1" s="1"/>
  <c r="N1520" i="1" a="1"/>
  <c r="N1520" i="1"/>
  <c r="N1521" i="1" a="1"/>
  <c r="N1521" i="1" s="1"/>
  <c r="K1522" i="1" a="1"/>
  <c r="K1522" i="1" s="1"/>
  <c r="F1522" i="1" a="1"/>
  <c r="F1522" i="1" s="1"/>
  <c r="O1520" i="1" a="1"/>
  <c r="O1520" i="1" s="1"/>
  <c r="J1522" i="1" a="1"/>
  <c r="J1522" i="1"/>
  <c r="O1521" i="1" a="1"/>
  <c r="O1521" i="1" s="1"/>
  <c r="L1523" i="1" a="1"/>
  <c r="L1523" i="1"/>
  <c r="O1524" i="1" a="1"/>
  <c r="O1524" i="1" s="1"/>
  <c r="H1524" i="1" a="1"/>
  <c r="H1524" i="1" s="1"/>
  <c r="K1521" i="1" a="1"/>
  <c r="K1521" i="1" s="1"/>
  <c r="G1522" i="1" a="1"/>
  <c r="G1522" i="1"/>
  <c r="O1522" i="1" a="1"/>
  <c r="O1522" i="1" s="1"/>
  <c r="L1521" i="1" a="1"/>
  <c r="L1521" i="1"/>
  <c r="F1521" i="1" a="1"/>
  <c r="F1521" i="1" s="1"/>
  <c r="Q1525" i="1" a="1"/>
  <c r="Q1525" i="1" s="1"/>
  <c r="M1525" i="1" a="1"/>
  <c r="M1525" i="1" s="1"/>
  <c r="H1523" i="1" a="1"/>
  <c r="H1523" i="1" s="1"/>
  <c r="I1524" i="1" a="1"/>
  <c r="I1524" i="1" s="1"/>
  <c r="I1521" i="1" a="1"/>
  <c r="I1521" i="1"/>
  <c r="F1525" i="1" a="1"/>
  <c r="F1525" i="1"/>
  <c r="G1521" i="1" a="1"/>
  <c r="G1521" i="1"/>
  <c r="P1525" i="1" a="1"/>
  <c r="P1525" i="1" s="1"/>
  <c r="F1524" i="1" a="1"/>
  <c r="F1524" i="1"/>
  <c r="G1525" i="1" a="1"/>
  <c r="G1525" i="1"/>
  <c r="O1525" i="1" a="1"/>
  <c r="O1525" i="1"/>
  <c r="K1525" i="1" a="1"/>
  <c r="K1525" i="1" s="1"/>
  <c r="P1523" i="1" a="1"/>
  <c r="P1523" i="1" s="1"/>
  <c r="P1517" i="1" a="1"/>
  <c r="P1517" i="1"/>
  <c r="O1517" i="1" a="1"/>
  <c r="O1517" i="1" s="1"/>
  <c r="F1516" i="1" a="1"/>
  <c r="F1516" i="1" s="1"/>
  <c r="K1515" i="1" a="1"/>
  <c r="K1515" i="1" s="1"/>
  <c r="G1519" i="1" a="1"/>
  <c r="G1519" i="1" s="1"/>
  <c r="F1519" i="1" a="1"/>
  <c r="F1519" i="1" s="1"/>
  <c r="N1517" i="1" a="1"/>
  <c r="N1517" i="1" s="1"/>
  <c r="N1515" i="1" a="1"/>
  <c r="N1515" i="1"/>
  <c r="M1520" i="1" a="1"/>
  <c r="M1520" i="1"/>
  <c r="G1520" i="1" a="1"/>
  <c r="G1520" i="1"/>
  <c r="I1517" i="1" a="1"/>
  <c r="I1517" i="1" s="1"/>
  <c r="F1520" i="1" a="1"/>
  <c r="F1520" i="1"/>
  <c r="H1517" i="1" a="1"/>
  <c r="H1517" i="1" s="1"/>
  <c r="I1515" i="1" a="1"/>
  <c r="I1515" i="1" s="1"/>
  <c r="K1516" i="1" a="1"/>
  <c r="K1516" i="1"/>
  <c r="P1515" i="1" a="1"/>
  <c r="P1515" i="1" s="1"/>
  <c r="F1517" i="1" a="1"/>
  <c r="F1517" i="1" s="1"/>
  <c r="L1520" i="1" a="1"/>
  <c r="L1520" i="1" s="1"/>
  <c r="K1520" i="1" a="1"/>
  <c r="K1520" i="1" s="1"/>
  <c r="N1519" i="1" a="1"/>
  <c r="N1519" i="1" s="1"/>
  <c r="P1516" i="1" a="1"/>
  <c r="P1516" i="1" s="1"/>
  <c r="Q1515" i="1" a="1"/>
  <c r="Q1515" i="1" s="1"/>
  <c r="H1520" i="1" a="1"/>
  <c r="H1520" i="1" s="1"/>
  <c r="M1516" i="1" a="1"/>
  <c r="M1516" i="1"/>
  <c r="Q1516" i="1" a="1"/>
  <c r="Q1516" i="1"/>
  <c r="J1515" i="1" a="1"/>
  <c r="J1515" i="1"/>
  <c r="O1516" i="1" a="1"/>
  <c r="O1516" i="1" s="1"/>
  <c r="G1516" i="1" a="1"/>
  <c r="G1516" i="1"/>
  <c r="F1515" i="1" a="1"/>
  <c r="F1515" i="1" s="1"/>
  <c r="I1516" i="1" a="1"/>
  <c r="I1516" i="1" s="1"/>
  <c r="I1519" i="1" a="1"/>
  <c r="I1519" i="1" s="1"/>
  <c r="H1519" i="1" a="1"/>
  <c r="H1519" i="1" s="1"/>
  <c r="J1520" i="1" a="1"/>
  <c r="J1520" i="1" s="1"/>
  <c r="G1517" i="1" a="1"/>
  <c r="G1517" i="1"/>
  <c r="Q1519" i="1" a="1"/>
  <c r="Q1519" i="1" s="1"/>
  <c r="M1519" i="1" a="1"/>
  <c r="M1519" i="1"/>
  <c r="L1519" i="1" a="1"/>
  <c r="L1519" i="1" s="1"/>
  <c r="H1515" i="1" a="1"/>
  <c r="H1515" i="1"/>
  <c r="I1520" i="1" a="1"/>
  <c r="I1520" i="1" s="1"/>
  <c r="P1519" i="1" a="1"/>
  <c r="P1519" i="1"/>
  <c r="L1515" i="1" a="1"/>
  <c r="L1515" i="1"/>
  <c r="O1519" i="1" a="1"/>
  <c r="O1519" i="1" s="1"/>
  <c r="K1519" i="1" a="1"/>
  <c r="K1519" i="1"/>
  <c r="J1516" i="1" a="1"/>
  <c r="J1516" i="1" s="1"/>
  <c r="J1519" i="1" a="1"/>
  <c r="J1519" i="1" s="1"/>
  <c r="O1515" i="1" a="1"/>
  <c r="O1515" i="1" s="1"/>
  <c r="M1517" i="1" a="1"/>
  <c r="M1517" i="1" s="1"/>
  <c r="L1517" i="1" a="1"/>
  <c r="L1517" i="1" s="1"/>
  <c r="Q1514" i="1" a="1"/>
  <c r="Q1514" i="1"/>
  <c r="Q1517" i="1" a="1"/>
  <c r="Q1517" i="1" s="1"/>
  <c r="L1516" i="1" a="1"/>
  <c r="L1516" i="1" s="1"/>
  <c r="K1517" i="1" a="1"/>
  <c r="K1517" i="1" s="1"/>
  <c r="J1517" i="1" a="1"/>
  <c r="J1517" i="1" s="1"/>
  <c r="N1516" i="1" a="1"/>
  <c r="N1516" i="1"/>
  <c r="H1516" i="1" a="1"/>
  <c r="H1516" i="1" s="1"/>
  <c r="M1515" i="1" a="1"/>
  <c r="M1515" i="1"/>
  <c r="G1515" i="1" a="1"/>
  <c r="G1515" i="1"/>
  <c r="P1507" i="1" a="1"/>
  <c r="P1507" i="1" s="1"/>
  <c r="O1507" i="1" a="1"/>
  <c r="O1507" i="1" s="1"/>
  <c r="J1507" i="1" a="1"/>
  <c r="J1507" i="1" s="1"/>
  <c r="G1507" i="1" a="1"/>
  <c r="G1507" i="1" s="1"/>
  <c r="K1514" i="1" a="1"/>
  <c r="K1514" i="1"/>
  <c r="G1514" i="1" a="1"/>
  <c r="G1514" i="1" s="1"/>
  <c r="O1513" i="1" a="1"/>
  <c r="O1513" i="1" s="1"/>
  <c r="N1513" i="1" a="1"/>
  <c r="N1513" i="1" s="1"/>
  <c r="M1513" i="1" a="1"/>
  <c r="M1513" i="1"/>
  <c r="K1513" i="1" a="1"/>
  <c r="K1513" i="1"/>
  <c r="Q1507" i="1" a="1"/>
  <c r="Q1507" i="1"/>
  <c r="K1507" i="1" a="1"/>
  <c r="K1507" i="1" s="1"/>
  <c r="N1507" i="1" a="1"/>
  <c r="N1507" i="1"/>
  <c r="H1507" i="1" a="1"/>
  <c r="H1507" i="1" s="1"/>
  <c r="P1514" i="1" a="1"/>
  <c r="P1514" i="1" s="1"/>
  <c r="O1514" i="1" a="1"/>
  <c r="O1514" i="1" s="1"/>
  <c r="N1514" i="1" a="1"/>
  <c r="N1514" i="1" s="1"/>
  <c r="M1514" i="1" a="1"/>
  <c r="M1514" i="1" s="1"/>
  <c r="L1507" i="1" a="1"/>
  <c r="L1507" i="1" s="1"/>
  <c r="L1514" i="1" a="1"/>
  <c r="L1514" i="1"/>
  <c r="I1514" i="1" a="1"/>
  <c r="I1514" i="1"/>
  <c r="H1514" i="1" a="1"/>
  <c r="H1514" i="1" s="1"/>
  <c r="F1514" i="1" a="1"/>
  <c r="F1514" i="1"/>
  <c r="Q1513" i="1" a="1"/>
  <c r="Q1513" i="1"/>
  <c r="L1513" i="1" a="1"/>
  <c r="L1513" i="1"/>
  <c r="M1507" i="1" a="1"/>
  <c r="M1507" i="1" s="1"/>
  <c r="J1513" i="1" a="1"/>
  <c r="J1513" i="1"/>
  <c r="H1513" i="1" a="1"/>
  <c r="H1513" i="1" s="1"/>
  <c r="F1513" i="1" a="1"/>
  <c r="F1513" i="1"/>
  <c r="J1514" i="1" a="1"/>
  <c r="J1514" i="1" s="1"/>
  <c r="P1513" i="1" a="1"/>
  <c r="P1513" i="1" s="1"/>
  <c r="I1507" i="1" a="1"/>
  <c r="I1507" i="1" s="1"/>
  <c r="I1513" i="1" a="1"/>
  <c r="I1513" i="1" s="1"/>
  <c r="G1513" i="1" a="1"/>
  <c r="G1513" i="1"/>
  <c r="H1501" i="1" a="1"/>
  <c r="H1501" i="1" s="1"/>
  <c r="Q1502" i="1" a="1"/>
  <c r="Q1502" i="1"/>
  <c r="K1502" i="1" a="1"/>
  <c r="K1502" i="1"/>
  <c r="L1504" i="1" a="1"/>
  <c r="L1504" i="1" s="1"/>
  <c r="M1502" i="1" a="1"/>
  <c r="M1502" i="1"/>
  <c r="J1506" i="1" a="1"/>
  <c r="J1506" i="1" s="1"/>
  <c r="H1506" i="1" a="1"/>
  <c r="H1506" i="1"/>
  <c r="H1505" i="1" a="1"/>
  <c r="H1505" i="1" s="1"/>
  <c r="F1506" i="1" a="1"/>
  <c r="F1506" i="1"/>
  <c r="N1505" i="1" a="1"/>
  <c r="N1505" i="1" s="1"/>
  <c r="M1505" i="1" a="1"/>
  <c r="M1505" i="1" s="1"/>
  <c r="F1505" i="1" a="1"/>
  <c r="F1505" i="1" s="1"/>
  <c r="L1502" i="1" a="1"/>
  <c r="L1502" i="1" s="1"/>
  <c r="K1505" i="1" a="1"/>
  <c r="K1505" i="1"/>
  <c r="N1501" i="1" a="1"/>
  <c r="N1501" i="1" s="1"/>
  <c r="O1502" i="1" a="1"/>
  <c r="O1502" i="1"/>
  <c r="N1502" i="1" a="1"/>
  <c r="N1502" i="1" s="1"/>
  <c r="H1502" i="1" a="1"/>
  <c r="H1502" i="1"/>
  <c r="Q1501" i="1" a="1"/>
  <c r="Q1501" i="1" s="1"/>
  <c r="I1505" i="1" a="1"/>
  <c r="I1505" i="1"/>
  <c r="I1502" i="1" a="1"/>
  <c r="I1502" i="1"/>
  <c r="F1507" i="1" a="1"/>
  <c r="F1507" i="1" s="1"/>
  <c r="Q1506" i="1" a="1"/>
  <c r="Q1506" i="1" s="1"/>
  <c r="K1506" i="1" a="1"/>
  <c r="K1506" i="1" s="1"/>
  <c r="M1504" i="1" a="1"/>
  <c r="M1504" i="1" s="1"/>
  <c r="P1502" i="1" a="1"/>
  <c r="P1502" i="1" s="1"/>
  <c r="M1501" i="1" a="1"/>
  <c r="M1501" i="1" s="1"/>
  <c r="I1506" i="1" a="1"/>
  <c r="I1506" i="1" s="1"/>
  <c r="O1504" i="1" a="1"/>
  <c r="O1504" i="1" s="1"/>
  <c r="K1504" i="1" a="1"/>
  <c r="K1504" i="1"/>
  <c r="O1501" i="1" a="1"/>
  <c r="O1501" i="1" s="1"/>
  <c r="I1501" i="1" a="1"/>
  <c r="I1501" i="1"/>
  <c r="F1504" i="1" a="1"/>
  <c r="F1504" i="1" s="1"/>
  <c r="P1505" i="1" a="1"/>
  <c r="P1505" i="1"/>
  <c r="J1504" i="1" a="1"/>
  <c r="J1504" i="1" s="1"/>
  <c r="P1506" i="1" a="1"/>
  <c r="P1506" i="1" s="1"/>
  <c r="O1506" i="1" a="1"/>
  <c r="O1506" i="1"/>
  <c r="G1506" i="1" a="1"/>
  <c r="G1506" i="1" s="1"/>
  <c r="O1505" i="1" a="1"/>
  <c r="O1505" i="1" s="1"/>
  <c r="I1504" i="1" a="1"/>
  <c r="I1504" i="1" s="1"/>
  <c r="G1505" i="1" a="1"/>
  <c r="G1505" i="1"/>
  <c r="J1502" i="1" a="1"/>
  <c r="J1502" i="1" s="1"/>
  <c r="G1502" i="1" a="1"/>
  <c r="G1502" i="1" s="1"/>
  <c r="L1501" i="1" a="1"/>
  <c r="L1501" i="1" s="1"/>
  <c r="P1501" i="1" a="1"/>
  <c r="P1501" i="1" s="1"/>
  <c r="J1505" i="1" a="1"/>
  <c r="J1505" i="1"/>
  <c r="N1504" i="1" a="1"/>
  <c r="N1504" i="1" s="1"/>
  <c r="F1502" i="1" a="1"/>
  <c r="F1502" i="1"/>
  <c r="J1501" i="1" a="1"/>
  <c r="J1501" i="1" s="1"/>
  <c r="N1506" i="1" a="1"/>
  <c r="N1506" i="1" s="1"/>
  <c r="M1506" i="1" a="1"/>
  <c r="M1506" i="1"/>
  <c r="L1506" i="1" a="1"/>
  <c r="L1506" i="1" s="1"/>
  <c r="H1504" i="1" a="1"/>
  <c r="H1504" i="1" s="1"/>
  <c r="Q1505" i="1" a="1"/>
  <c r="Q1505" i="1" s="1"/>
  <c r="Q1504" i="1" a="1"/>
  <c r="Q1504" i="1" s="1"/>
  <c r="L1505" i="1" a="1"/>
  <c r="L1505" i="1" s="1"/>
  <c r="P1504" i="1" a="1"/>
  <c r="P1504" i="1" s="1"/>
  <c r="G1504" i="1" a="1"/>
  <c r="G1504" i="1"/>
  <c r="K1501" i="1" a="1"/>
  <c r="K1501" i="1" s="1"/>
  <c r="P1444" i="1" a="1"/>
  <c r="P1444" i="1" s="1"/>
  <c r="I1445" i="1" a="1"/>
  <c r="I1445" i="1" s="1"/>
  <c r="Q1445" i="1" a="1"/>
  <c r="Q1445" i="1"/>
  <c r="N1445" i="1" a="1"/>
  <c r="N1445" i="1" s="1"/>
  <c r="Q1444" i="1" a="1"/>
  <c r="Q1444" i="1"/>
  <c r="L1445" i="1" a="1"/>
  <c r="L1445" i="1" s="1"/>
  <c r="P1445" i="1" a="1"/>
  <c r="P1445" i="1" s="1"/>
  <c r="F1445" i="1" a="1"/>
  <c r="F1445" i="1" s="1"/>
  <c r="K1445" i="1" a="1"/>
  <c r="K1445" i="1" s="1"/>
  <c r="J1445" i="1" a="1"/>
  <c r="J1445" i="1"/>
  <c r="O1445" i="1" a="1"/>
  <c r="O1445" i="1" s="1"/>
  <c r="G1445" i="1" a="1"/>
  <c r="G1445" i="1" s="1"/>
  <c r="M1445" i="1" a="1"/>
  <c r="M1445" i="1" s="1"/>
  <c r="H1445" i="1" a="1"/>
  <c r="H1445" i="1" s="1"/>
  <c r="L1443" i="1" a="1"/>
  <c r="L1443" i="1"/>
  <c r="K1443" i="1" a="1"/>
  <c r="K1443" i="1" s="1"/>
  <c r="F1443" i="1" a="1"/>
  <c r="F1443" i="1"/>
  <c r="J1443" i="1" a="1"/>
  <c r="J1443" i="1" s="1"/>
  <c r="I1443" i="1" a="1"/>
  <c r="I1443" i="1"/>
  <c r="Q1442" i="1" a="1"/>
  <c r="Q1442" i="1"/>
  <c r="M1442" i="1" a="1"/>
  <c r="M1442" i="1" s="1"/>
  <c r="P1442" i="1" a="1"/>
  <c r="P1442" i="1" s="1"/>
  <c r="N1442" i="1" a="1"/>
  <c r="N1442" i="1"/>
  <c r="O1442" i="1" a="1"/>
  <c r="O1442" i="1" s="1"/>
  <c r="J1444" i="1" a="1"/>
  <c r="J1444" i="1" s="1"/>
  <c r="L1444" i="1" a="1"/>
  <c r="L1444" i="1"/>
  <c r="O1444" i="1" a="1"/>
  <c r="O1444" i="1" s="1"/>
  <c r="H1444" i="1" a="1"/>
  <c r="H1444" i="1" s="1"/>
  <c r="N1444" i="1" a="1"/>
  <c r="N1444" i="1" s="1"/>
  <c r="M1444" i="1" a="1"/>
  <c r="M1444" i="1" s="1"/>
  <c r="K1444" i="1" a="1"/>
  <c r="K1444" i="1" s="1"/>
  <c r="F1444" i="1" a="1"/>
  <c r="F1444" i="1" s="1"/>
  <c r="H1443" i="1" a="1"/>
  <c r="H1443" i="1"/>
  <c r="P1443" i="1" a="1"/>
  <c r="P1443" i="1" s="1"/>
  <c r="G1443" i="1" a="1"/>
  <c r="G1443" i="1"/>
  <c r="I1444" i="1" a="1"/>
  <c r="I1444" i="1" s="1"/>
  <c r="G1444" i="1" a="1"/>
  <c r="G1444" i="1"/>
  <c r="Q1443" i="1" a="1"/>
  <c r="Q1443" i="1" s="1"/>
  <c r="O1443" i="1" a="1"/>
  <c r="O1443" i="1" s="1"/>
  <c r="N1443" i="1" a="1"/>
  <c r="N1443" i="1"/>
  <c r="M1443" i="1" a="1"/>
  <c r="M1443" i="1"/>
  <c r="P1440" i="1" a="1"/>
  <c r="P1440" i="1"/>
  <c r="O1440" i="1" a="1"/>
  <c r="O1440" i="1" s="1"/>
  <c r="N1440" i="1" a="1"/>
  <c r="N1440" i="1"/>
  <c r="L1440" i="1" a="1"/>
  <c r="L1440" i="1" s="1"/>
  <c r="I1440" i="1" a="1"/>
  <c r="I1440" i="1"/>
  <c r="Q1439" i="1" a="1"/>
  <c r="Q1439" i="1" s="1"/>
  <c r="I1442" i="1" a="1"/>
  <c r="I1442" i="1"/>
  <c r="L1442" i="1" a="1"/>
  <c r="L1442" i="1"/>
  <c r="G1441" i="1" a="1"/>
  <c r="G1441" i="1" s="1"/>
  <c r="K1442" i="1" a="1"/>
  <c r="K1442" i="1"/>
  <c r="J1442" i="1" a="1"/>
  <c r="J1442" i="1"/>
  <c r="O1439" i="1" a="1"/>
  <c r="O1439" i="1"/>
  <c r="F1441" i="1" a="1"/>
  <c r="F1441" i="1"/>
  <c r="G1442" i="1" a="1"/>
  <c r="G1442" i="1" s="1"/>
  <c r="Q1441" i="1" a="1"/>
  <c r="Q1441" i="1" s="1"/>
  <c r="G1440" i="1" a="1"/>
  <c r="G1440" i="1" s="1"/>
  <c r="N1441" i="1" a="1"/>
  <c r="N1441" i="1"/>
  <c r="J1441" i="1" a="1"/>
  <c r="J1441" i="1" s="1"/>
  <c r="Q1440" i="1" a="1"/>
  <c r="Q1440" i="1" s="1"/>
  <c r="F1440" i="1" a="1"/>
  <c r="F1440" i="1" s="1"/>
  <c r="P1439" i="1" a="1"/>
  <c r="P1439" i="1"/>
  <c r="K1441" i="1" a="1"/>
  <c r="K1441" i="1" s="1"/>
  <c r="H1442" i="1" a="1"/>
  <c r="H1442" i="1" s="1"/>
  <c r="F1442" i="1" a="1"/>
  <c r="F1442" i="1" s="1"/>
  <c r="P1441" i="1" a="1"/>
  <c r="P1441" i="1"/>
  <c r="O1441" i="1" a="1"/>
  <c r="O1441" i="1"/>
  <c r="M1441" i="1" a="1"/>
  <c r="M1441" i="1"/>
  <c r="L1441" i="1" a="1"/>
  <c r="L1441" i="1" s="1"/>
  <c r="M1440" i="1" a="1"/>
  <c r="M1440" i="1" s="1"/>
  <c r="K1440" i="1" a="1"/>
  <c r="K1440" i="1"/>
  <c r="J1440" i="1" a="1"/>
  <c r="J1440" i="1" s="1"/>
  <c r="H1440" i="1" a="1"/>
  <c r="H1440" i="1" s="1"/>
  <c r="N1439" i="1" a="1"/>
  <c r="N1439" i="1" s="1"/>
  <c r="I1441" i="1" a="1"/>
  <c r="I1441" i="1"/>
  <c r="H1441" i="1" a="1"/>
  <c r="H1441" i="1" s="1"/>
  <c r="Q1436" i="1" a="1"/>
  <c r="Q1436" i="1"/>
  <c r="O1437" i="1" a="1"/>
  <c r="O1437" i="1" s="1"/>
  <c r="G1436" i="1" a="1"/>
  <c r="G1436" i="1"/>
  <c r="M1434" i="1" a="1"/>
  <c r="M1434" i="1" s="1"/>
  <c r="P1434" i="1" a="1"/>
  <c r="P1434" i="1"/>
  <c r="L1439" i="1" a="1"/>
  <c r="L1439" i="1"/>
  <c r="L1438" i="1" a="1"/>
  <c r="L1438" i="1" s="1"/>
  <c r="J1438" i="1" a="1"/>
  <c r="J1438" i="1" s="1"/>
  <c r="G1438" i="1" a="1"/>
  <c r="G1438" i="1" s="1"/>
  <c r="L1434" i="1" a="1"/>
  <c r="L1434" i="1"/>
  <c r="J1434" i="1" a="1"/>
  <c r="J1434" i="1"/>
  <c r="F1436" i="1" a="1"/>
  <c r="F1436" i="1" s="1"/>
  <c r="J1437" i="1" a="1"/>
  <c r="J1437" i="1" s="1"/>
  <c r="G1437" i="1" a="1"/>
  <c r="G1437" i="1" s="1"/>
  <c r="P1437" i="1" a="1"/>
  <c r="P1437" i="1"/>
  <c r="N1434" i="1" a="1"/>
  <c r="N1434" i="1" s="1"/>
  <c r="H1438" i="1" a="1"/>
  <c r="H1438" i="1"/>
  <c r="I1434" i="1" a="1"/>
  <c r="I1434" i="1" s="1"/>
  <c r="Q1438" i="1" a="1"/>
  <c r="Q1438" i="1"/>
  <c r="F1438" i="1" a="1"/>
  <c r="F1438" i="1"/>
  <c r="N1438" i="1" a="1"/>
  <c r="N1438" i="1"/>
  <c r="N1436" i="1" a="1"/>
  <c r="N1436" i="1"/>
  <c r="M1439" i="1" a="1"/>
  <c r="M1439" i="1"/>
  <c r="K1439" i="1" a="1"/>
  <c r="K1439" i="1" s="1"/>
  <c r="J1439" i="1" a="1"/>
  <c r="J1439" i="1" s="1"/>
  <c r="I1439" i="1" a="1"/>
  <c r="I1439" i="1"/>
  <c r="G1439" i="1" a="1"/>
  <c r="G1439" i="1" s="1"/>
  <c r="O1438" i="1" a="1"/>
  <c r="O1438" i="1"/>
  <c r="I1438" i="1" a="1"/>
  <c r="I1438" i="1" s="1"/>
  <c r="M1436" i="1" a="1"/>
  <c r="M1436" i="1" s="1"/>
  <c r="N1437" i="1" a="1"/>
  <c r="N1437" i="1" s="1"/>
  <c r="F1437" i="1" a="1"/>
  <c r="F1437" i="1"/>
  <c r="O1436" i="1" a="1"/>
  <c r="O1436" i="1" s="1"/>
  <c r="H1439" i="1" a="1"/>
  <c r="H1439" i="1"/>
  <c r="H1437" i="1" a="1"/>
  <c r="H1437" i="1" s="1"/>
  <c r="F1439" i="1" a="1"/>
  <c r="F1439" i="1" s="1"/>
  <c r="P1438" i="1" a="1"/>
  <c r="P1438" i="1" s="1"/>
  <c r="M1438" i="1" a="1"/>
  <c r="M1438" i="1" s="1"/>
  <c r="K1438" i="1" a="1"/>
  <c r="K1438" i="1" s="1"/>
  <c r="K1434" i="1" a="1"/>
  <c r="K1434" i="1" s="1"/>
  <c r="L1437" i="1" a="1"/>
  <c r="L1437" i="1" s="1"/>
  <c r="I1437" i="1" a="1"/>
  <c r="I1437" i="1" s="1"/>
  <c r="Q1437" i="1" a="1"/>
  <c r="Q1437" i="1" s="1"/>
  <c r="H1434" i="1" a="1"/>
  <c r="H1434" i="1" s="1"/>
  <c r="P1436" i="1" a="1"/>
  <c r="P1436" i="1"/>
  <c r="O1434" i="1" a="1"/>
  <c r="O1434" i="1"/>
  <c r="M1437" i="1" a="1"/>
  <c r="M1437" i="1" s="1"/>
  <c r="K1436" i="1" a="1"/>
  <c r="K1436" i="1"/>
  <c r="G1434" i="1" a="1"/>
  <c r="G1434" i="1"/>
  <c r="J1436" i="1" a="1"/>
  <c r="J1436" i="1"/>
  <c r="K1437" i="1" a="1"/>
  <c r="K1437" i="1" s="1"/>
  <c r="L1436" i="1" a="1"/>
  <c r="L1436" i="1"/>
  <c r="H1436" i="1" a="1"/>
  <c r="H1436" i="1"/>
  <c r="Q1434" i="1" a="1"/>
  <c r="Q1434" i="1"/>
  <c r="I1436" i="1" a="1"/>
  <c r="I1436" i="1"/>
  <c r="L1432" i="1" a="1"/>
  <c r="L1432" i="1" s="1"/>
  <c r="H1432" i="1" a="1"/>
  <c r="H1432" i="1"/>
  <c r="F1432" i="1" a="1"/>
  <c r="F1432" i="1" s="1"/>
  <c r="K1431" i="1" a="1"/>
  <c r="K1431" i="1"/>
  <c r="M1430" i="1" a="1"/>
  <c r="M1430" i="1" s="1"/>
  <c r="O1431" i="1" a="1"/>
  <c r="O1431" i="1"/>
  <c r="Q1431" i="1" a="1"/>
  <c r="Q1431" i="1" s="1"/>
  <c r="J1432" i="1" a="1"/>
  <c r="J1432" i="1"/>
  <c r="G1432" i="1" a="1"/>
  <c r="G1432" i="1"/>
  <c r="I1430" i="1" a="1"/>
  <c r="I1430" i="1"/>
  <c r="P1430" i="1" a="1"/>
  <c r="P1430" i="1"/>
  <c r="J1431" i="1" a="1"/>
  <c r="J1431" i="1" s="1"/>
  <c r="L1433" i="1" a="1"/>
  <c r="L1433" i="1"/>
  <c r="G1433" i="1" a="1"/>
  <c r="G1433" i="1"/>
  <c r="O1432" i="1" a="1"/>
  <c r="O1432" i="1" s="1"/>
  <c r="N1431" i="1" a="1"/>
  <c r="N1431" i="1" s="1"/>
  <c r="P1431" i="1" a="1"/>
  <c r="P1431" i="1" s="1"/>
  <c r="F1433" i="1" a="1"/>
  <c r="F1433" i="1" s="1"/>
  <c r="F1434" i="1" a="1"/>
  <c r="F1434" i="1"/>
  <c r="L1431" i="1" a="1"/>
  <c r="L1431" i="1"/>
  <c r="N1433" i="1" a="1"/>
  <c r="N1433" i="1" s="1"/>
  <c r="K1433" i="1" a="1"/>
  <c r="K1433" i="1"/>
  <c r="G1431" i="1" a="1"/>
  <c r="G1431" i="1" s="1"/>
  <c r="Q1432" i="1" a="1"/>
  <c r="Q1432" i="1"/>
  <c r="P1432" i="1" a="1"/>
  <c r="P1432" i="1" s="1"/>
  <c r="K1432" i="1" a="1"/>
  <c r="K1432" i="1" s="1"/>
  <c r="K1430" i="1" a="1"/>
  <c r="K1430" i="1" s="1"/>
  <c r="M1431" i="1" a="1"/>
  <c r="M1431" i="1"/>
  <c r="L1430" i="1" a="1"/>
  <c r="L1430" i="1" s="1"/>
  <c r="I1431" i="1" a="1"/>
  <c r="I1431" i="1" s="1"/>
  <c r="F1431" i="1" a="1"/>
  <c r="F1431" i="1" s="1"/>
  <c r="J1430" i="1" a="1"/>
  <c r="J1430" i="1" s="1"/>
  <c r="Q1433" i="1" a="1"/>
  <c r="Q1433" i="1"/>
  <c r="P1433" i="1" a="1"/>
  <c r="P1433" i="1" s="1"/>
  <c r="O1433" i="1" a="1"/>
  <c r="O1433" i="1"/>
  <c r="I1432" i="1" a="1"/>
  <c r="I1432" i="1" s="1"/>
  <c r="G1430" i="1" a="1"/>
  <c r="G1430" i="1"/>
  <c r="I1433" i="1" a="1"/>
  <c r="I1433" i="1" s="1"/>
  <c r="H1431" i="1" a="1"/>
  <c r="H1431" i="1"/>
  <c r="F1430" i="1" a="1"/>
  <c r="F1430" i="1" s="1"/>
  <c r="H1430" i="1" a="1"/>
  <c r="H1430" i="1" s="1"/>
  <c r="J1433" i="1" a="1"/>
  <c r="J1433" i="1"/>
  <c r="M1432" i="1" a="1"/>
  <c r="M1432" i="1"/>
  <c r="H1433" i="1" a="1"/>
  <c r="H1433" i="1" s="1"/>
  <c r="Q1430" i="1" a="1"/>
  <c r="Q1430" i="1" s="1"/>
  <c r="N1430" i="1" a="1"/>
  <c r="N1430" i="1"/>
  <c r="M1433" i="1" a="1"/>
  <c r="M1433" i="1" s="1"/>
  <c r="O1430" i="1" a="1"/>
  <c r="O1430" i="1"/>
  <c r="N1432" i="1" a="1"/>
  <c r="N1432" i="1"/>
  <c r="K1420" i="1" a="1"/>
  <c r="K1420" i="1" s="1"/>
  <c r="I1420" i="1" a="1"/>
  <c r="I1420" i="1"/>
  <c r="N1422" i="1" a="1"/>
  <c r="N1422" i="1" s="1"/>
  <c r="O1423" i="1" a="1"/>
  <c r="O1423" i="1" s="1"/>
  <c r="P1424" i="1" a="1"/>
  <c r="P1424" i="1" s="1"/>
  <c r="N1424" i="1" a="1"/>
  <c r="N1424" i="1"/>
  <c r="N1420" i="1" a="1"/>
  <c r="N1420" i="1" s="1"/>
  <c r="M1424" i="1" a="1"/>
  <c r="M1424" i="1" s="1"/>
  <c r="L1424" i="1" a="1"/>
  <c r="L1424" i="1"/>
  <c r="H1424" i="1" a="1"/>
  <c r="H1424" i="1" s="1"/>
  <c r="Q1421" i="1" a="1"/>
  <c r="Q1421" i="1" s="1"/>
  <c r="J1423" i="1" a="1"/>
  <c r="J1423" i="1" s="1"/>
  <c r="G1424" i="1" a="1"/>
  <c r="G1424" i="1"/>
  <c r="J1422" i="1" a="1"/>
  <c r="J1422" i="1" s="1"/>
  <c r="M1422" i="1" a="1"/>
  <c r="M1422" i="1"/>
  <c r="Q1423" i="1" a="1"/>
  <c r="Q1423" i="1" s="1"/>
  <c r="O1422" i="1" a="1"/>
  <c r="O1422" i="1"/>
  <c r="H1422" i="1" a="1"/>
  <c r="H1422" i="1" s="1"/>
  <c r="L1422" i="1" a="1"/>
  <c r="L1422" i="1" s="1"/>
  <c r="H1423" i="1" a="1"/>
  <c r="H1423" i="1"/>
  <c r="Q1420" i="1" a="1"/>
  <c r="Q1420" i="1" s="1"/>
  <c r="I1423" i="1" a="1"/>
  <c r="I1423" i="1" s="1"/>
  <c r="F1423" i="1" a="1"/>
  <c r="F1423" i="1"/>
  <c r="K1422" i="1" a="1"/>
  <c r="K1422" i="1" s="1"/>
  <c r="P1421" i="1" a="1"/>
  <c r="P1421" i="1" s="1"/>
  <c r="K1421" i="1" a="1"/>
  <c r="K1421" i="1"/>
  <c r="H1421" i="1" a="1"/>
  <c r="H1421" i="1" s="1"/>
  <c r="G1422" i="1" a="1"/>
  <c r="G1422" i="1"/>
  <c r="N1421" i="1" a="1"/>
  <c r="N1421" i="1"/>
  <c r="I1421" i="1" a="1"/>
  <c r="I1421" i="1" s="1"/>
  <c r="L1420" i="1" a="1"/>
  <c r="L1420" i="1"/>
  <c r="G1420" i="1" a="1"/>
  <c r="G1420" i="1" s="1"/>
  <c r="Q1424" i="1" a="1"/>
  <c r="Q1424" i="1" s="1"/>
  <c r="K1424" i="1" a="1"/>
  <c r="K1424" i="1" s="1"/>
  <c r="J1420" i="1" a="1"/>
  <c r="J1420" i="1" s="1"/>
  <c r="G1421" i="1" a="1"/>
  <c r="G1421" i="1" s="1"/>
  <c r="K1423" i="1" a="1"/>
  <c r="K1423" i="1" s="1"/>
  <c r="F1424" i="1" a="1"/>
  <c r="F1424" i="1" s="1"/>
  <c r="F1422" i="1" a="1"/>
  <c r="F1422" i="1"/>
  <c r="J1424" i="1" a="1"/>
  <c r="J1424" i="1" s="1"/>
  <c r="O1424" i="1" a="1"/>
  <c r="O1424" i="1" s="1"/>
  <c r="M1423" i="1" a="1"/>
  <c r="M1423" i="1"/>
  <c r="J1421" i="1" a="1"/>
  <c r="J1421" i="1" s="1"/>
  <c r="O1421" i="1" a="1"/>
  <c r="O1421" i="1"/>
  <c r="L1423" i="1" a="1"/>
  <c r="L1423" i="1" s="1"/>
  <c r="M1421" i="1" a="1"/>
  <c r="M1421" i="1"/>
  <c r="P1423" i="1" a="1"/>
  <c r="P1423" i="1" s="1"/>
  <c r="H1420" i="1" a="1"/>
  <c r="H1420" i="1"/>
  <c r="M1420" i="1" a="1"/>
  <c r="M1420" i="1"/>
  <c r="Q1422" i="1" a="1"/>
  <c r="Q1422" i="1" s="1"/>
  <c r="O1420" i="1" a="1"/>
  <c r="O1420" i="1"/>
  <c r="L1421" i="1" a="1"/>
  <c r="L1421" i="1" s="1"/>
  <c r="N1423" i="1" a="1"/>
  <c r="N1423" i="1" s="1"/>
  <c r="I1422" i="1" a="1"/>
  <c r="I1422" i="1" s="1"/>
  <c r="F1421" i="1" a="1"/>
  <c r="F1421" i="1"/>
  <c r="F1420" i="1" a="1"/>
  <c r="F1420" i="1" s="1"/>
  <c r="P1420" i="1" a="1"/>
  <c r="P1420" i="1"/>
  <c r="G1423" i="1" a="1"/>
  <c r="G1423" i="1"/>
  <c r="P1422" i="1" a="1"/>
  <c r="P1422" i="1" s="1"/>
  <c r="I1424" i="1" a="1"/>
  <c r="I1424" i="1"/>
  <c r="P1418" i="1" a="1"/>
  <c r="P1418" i="1"/>
  <c r="J1418" i="1" a="1"/>
  <c r="J1418" i="1"/>
  <c r="K1417" i="1" a="1"/>
  <c r="K1417" i="1" s="1"/>
  <c r="H1417" i="1" a="1"/>
  <c r="H1417" i="1"/>
  <c r="H1416" i="1" a="1"/>
  <c r="H1416" i="1"/>
  <c r="L1418" i="1" a="1"/>
  <c r="L1418" i="1" s="1"/>
  <c r="O1419" i="1" a="1"/>
  <c r="O1419" i="1" s="1"/>
  <c r="N1419" i="1" a="1"/>
  <c r="N1419" i="1" s="1"/>
  <c r="L1419" i="1" a="1"/>
  <c r="L1419" i="1" s="1"/>
  <c r="K1418" i="1" a="1"/>
  <c r="K1418" i="1" s="1"/>
  <c r="G1417" i="1" a="1"/>
  <c r="G1417" i="1"/>
  <c r="K1419" i="1" a="1"/>
  <c r="K1419" i="1" s="1"/>
  <c r="O1416" i="1" a="1"/>
  <c r="O1416" i="1"/>
  <c r="O1418" i="1" a="1"/>
  <c r="O1418" i="1" s="1"/>
  <c r="J1416" i="1" a="1"/>
  <c r="J1416" i="1"/>
  <c r="P1417" i="1" a="1"/>
  <c r="P1417" i="1" s="1"/>
  <c r="I1418" i="1" a="1"/>
  <c r="I1418" i="1" s="1"/>
  <c r="I1419" i="1" a="1"/>
  <c r="I1419" i="1" s="1"/>
  <c r="F1418" i="1" a="1"/>
  <c r="F1418" i="1"/>
  <c r="F1416" i="1" a="1"/>
  <c r="F1416" i="1" s="1"/>
  <c r="Q1418" i="1" a="1"/>
  <c r="Q1418" i="1"/>
  <c r="H1418" i="1" a="1"/>
  <c r="H1418" i="1"/>
  <c r="M1417" i="1" a="1"/>
  <c r="M1417" i="1" s="1"/>
  <c r="P1416" i="1" a="1"/>
  <c r="P1416" i="1"/>
  <c r="O1417" i="1" a="1"/>
  <c r="O1417" i="1" s="1"/>
  <c r="Q1417" i="1" a="1"/>
  <c r="Q1417" i="1"/>
  <c r="M1416" i="1" a="1"/>
  <c r="M1416" i="1"/>
  <c r="F1417" i="1" a="1"/>
  <c r="F1417" i="1" s="1"/>
  <c r="H1419" i="1" a="1"/>
  <c r="H1419" i="1"/>
  <c r="G1419" i="1" a="1"/>
  <c r="G1419" i="1" s="1"/>
  <c r="I1416" i="1" a="1"/>
  <c r="I1416" i="1"/>
  <c r="N1418" i="1" a="1"/>
  <c r="N1418" i="1" s="1"/>
  <c r="Q1416" i="1" a="1"/>
  <c r="Q1416" i="1" s="1"/>
  <c r="M1418" i="1" a="1"/>
  <c r="M1418" i="1" s="1"/>
  <c r="L1416" i="1" a="1"/>
  <c r="L1416" i="1"/>
  <c r="G1418" i="1" a="1"/>
  <c r="G1418" i="1" s="1"/>
  <c r="G1416" i="1" a="1"/>
  <c r="G1416" i="1"/>
  <c r="J1417" i="1" a="1"/>
  <c r="J1417" i="1" s="1"/>
  <c r="I1417" i="1" a="1"/>
  <c r="I1417" i="1" s="1"/>
  <c r="N1416" i="1" a="1"/>
  <c r="N1416" i="1"/>
  <c r="Q1419" i="1" a="1"/>
  <c r="Q1419" i="1" s="1"/>
  <c r="N1417" i="1" a="1"/>
  <c r="N1417" i="1"/>
  <c r="P1419" i="1" a="1"/>
  <c r="P1419" i="1" s="1"/>
  <c r="K1416" i="1" a="1"/>
  <c r="K1416" i="1"/>
  <c r="L1417" i="1" a="1"/>
  <c r="L1417" i="1"/>
  <c r="M1419" i="1" a="1"/>
  <c r="M1419" i="1"/>
  <c r="J1419" i="1" a="1"/>
  <c r="J1419" i="1" s="1"/>
  <c r="F1419" i="1" a="1"/>
  <c r="F1419" i="1" s="1"/>
  <c r="P1408" i="1" a="1"/>
  <c r="P1408" i="1" s="1"/>
  <c r="I1407" i="1" a="1"/>
  <c r="I1407" i="1" s="1"/>
  <c r="N1408" i="1" a="1"/>
  <c r="N1408" i="1" s="1"/>
  <c r="F1407" i="1" a="1"/>
  <c r="F1407" i="1" s="1"/>
  <c r="I1410" i="1" a="1"/>
  <c r="I1410" i="1"/>
  <c r="G1410" i="1" a="1"/>
  <c r="G1410" i="1" s="1"/>
  <c r="Q1409" i="1" a="1"/>
  <c r="Q1409" i="1"/>
  <c r="K1409" i="1" a="1"/>
  <c r="K1409" i="1"/>
  <c r="H1409" i="1" a="1"/>
  <c r="H1409" i="1" s="1"/>
  <c r="J1408" i="1" a="1"/>
  <c r="J1408" i="1"/>
  <c r="G1409" i="1" a="1"/>
  <c r="G1409" i="1" s="1"/>
  <c r="Q1408" i="1" a="1"/>
  <c r="Q1408" i="1" s="1"/>
  <c r="O1407" i="1" a="1"/>
  <c r="O1407" i="1" s="1"/>
  <c r="P1409" i="1" a="1"/>
  <c r="P1409" i="1" s="1"/>
  <c r="O1408" i="1" a="1"/>
  <c r="O1408" i="1"/>
  <c r="J1409" i="1" a="1"/>
  <c r="J1409" i="1"/>
  <c r="O1409" i="1" a="1"/>
  <c r="O1409" i="1" s="1"/>
  <c r="N1409" i="1" a="1"/>
  <c r="N1409" i="1" s="1"/>
  <c r="M1407" i="1" a="1"/>
  <c r="M1407" i="1" s="1"/>
  <c r="M1409" i="1" a="1"/>
  <c r="M1409" i="1" s="1"/>
  <c r="G1408" i="1" a="1"/>
  <c r="G1408" i="1"/>
  <c r="K1407" i="1" a="1"/>
  <c r="K1407" i="1" s="1"/>
  <c r="F1409" i="1" a="1"/>
  <c r="F1409" i="1"/>
  <c r="N1407" i="1" a="1"/>
  <c r="N1407" i="1" s="1"/>
  <c r="F1408" i="1" a="1"/>
  <c r="F1408" i="1"/>
  <c r="Q1407" i="1" a="1"/>
  <c r="Q1407" i="1" s="1"/>
  <c r="G1407" i="1" a="1"/>
  <c r="G1407" i="1"/>
  <c r="J1407" i="1" a="1"/>
  <c r="J1407" i="1" s="1"/>
  <c r="H1408" i="1" a="1"/>
  <c r="H1408" i="1"/>
  <c r="L1409" i="1" a="1"/>
  <c r="L1409" i="1"/>
  <c r="K1410" i="1" a="1"/>
  <c r="K1410" i="1"/>
  <c r="P1410" i="1" a="1"/>
  <c r="P1410" i="1" s="1"/>
  <c r="O1410" i="1" a="1"/>
  <c r="O1410" i="1" s="1"/>
  <c r="L1408" i="1" a="1"/>
  <c r="L1408" i="1"/>
  <c r="N1410" i="1" a="1"/>
  <c r="N1410" i="1" s="1"/>
  <c r="L1410" i="1" a="1"/>
  <c r="L1410" i="1"/>
  <c r="M1408" i="1" a="1"/>
  <c r="M1408" i="1"/>
  <c r="P1407" i="1" a="1"/>
  <c r="P1407" i="1" s="1"/>
  <c r="I1409" i="1" a="1"/>
  <c r="I1409" i="1"/>
  <c r="H1407" i="1" a="1"/>
  <c r="H1407" i="1" s="1"/>
  <c r="F1410" i="1" a="1"/>
  <c r="F1410" i="1" s="1"/>
  <c r="I1408" i="1" a="1"/>
  <c r="I1408" i="1" s="1"/>
  <c r="K1408" i="1" a="1"/>
  <c r="K1408" i="1"/>
  <c r="L1407" i="1" a="1"/>
  <c r="L1407" i="1" s="1"/>
  <c r="Q1410" i="1" a="1"/>
  <c r="Q1410" i="1" s="1"/>
  <c r="M1410" i="1" a="1"/>
  <c r="M1410" i="1"/>
  <c r="J1410" i="1" a="1"/>
  <c r="J1410" i="1"/>
  <c r="H1410" i="1" a="1"/>
  <c r="H1410" i="1" s="1"/>
  <c r="J1404" i="1" a="1"/>
  <c r="J1404" i="1" s="1"/>
  <c r="Q1404" i="1" a="1"/>
  <c r="Q1404" i="1"/>
  <c r="G1402" i="1" a="1"/>
  <c r="G1402" i="1" s="1"/>
  <c r="I1402" i="1" a="1"/>
  <c r="I1402" i="1"/>
  <c r="Q1405" i="1" a="1"/>
  <c r="Q1405" i="1" s="1"/>
  <c r="O1405" i="1" a="1"/>
  <c r="O1405" i="1"/>
  <c r="P1403" i="1" a="1"/>
  <c r="P1403" i="1" s="1"/>
  <c r="J1402" i="1" a="1"/>
  <c r="J1402" i="1" s="1"/>
  <c r="P1405" i="1" a="1"/>
  <c r="P1405" i="1" s="1"/>
  <c r="L1401" i="1" a="1"/>
  <c r="L1401" i="1" s="1"/>
  <c r="N1404" i="1" a="1"/>
  <c r="N1404" i="1" s="1"/>
  <c r="J1401" i="1" a="1"/>
  <c r="J1401" i="1" s="1"/>
  <c r="K1402" i="1" a="1"/>
  <c r="K1402" i="1" s="1"/>
  <c r="N1405" i="1" a="1"/>
  <c r="N1405" i="1" s="1"/>
  <c r="O1403" i="1" a="1"/>
  <c r="O1403" i="1"/>
  <c r="L1402" i="1" a="1"/>
  <c r="L1402" i="1" s="1"/>
  <c r="K1405" i="1" a="1"/>
  <c r="K1405" i="1"/>
  <c r="J1405" i="1" a="1"/>
  <c r="J1405" i="1"/>
  <c r="H1401" i="1" a="1"/>
  <c r="H1401" i="1" s="1"/>
  <c r="L1404" i="1" a="1"/>
  <c r="L1404" i="1"/>
  <c r="P1401" i="1" a="1"/>
  <c r="P1401" i="1"/>
  <c r="O1401" i="1" a="1"/>
  <c r="O1401" i="1" s="1"/>
  <c r="I1405" i="1" a="1"/>
  <c r="I1405" i="1"/>
  <c r="G1405" i="1" a="1"/>
  <c r="G1405" i="1" s="1"/>
  <c r="F1405" i="1" a="1"/>
  <c r="F1405" i="1" s="1"/>
  <c r="P1404" i="1" a="1"/>
  <c r="P1404" i="1" s="1"/>
  <c r="H1402" i="1" a="1"/>
  <c r="H1402" i="1" s="1"/>
  <c r="O1404" i="1" a="1"/>
  <c r="O1404" i="1" s="1"/>
  <c r="M1404" i="1" a="1"/>
  <c r="M1404" i="1" s="1"/>
  <c r="I1403" i="1" a="1"/>
  <c r="I1403" i="1" s="1"/>
  <c r="N1401" i="1" a="1"/>
  <c r="N1401" i="1"/>
  <c r="F1403" i="1" a="1"/>
  <c r="F1403" i="1" s="1"/>
  <c r="K1404" i="1" a="1"/>
  <c r="K1404" i="1"/>
  <c r="I1404" i="1" a="1"/>
  <c r="I1404" i="1" s="1"/>
  <c r="Q1402" i="1" a="1"/>
  <c r="Q1402" i="1"/>
  <c r="Q1403" i="1" a="1"/>
  <c r="Q1403" i="1" s="1"/>
  <c r="G1403" i="1" a="1"/>
  <c r="G1403" i="1"/>
  <c r="M1402" i="1" a="1"/>
  <c r="M1402" i="1"/>
  <c r="N1402" i="1" a="1"/>
  <c r="N1402" i="1"/>
  <c r="M1403" i="1" a="1"/>
  <c r="M1403" i="1" s="1"/>
  <c r="L1403" i="1" a="1"/>
  <c r="L1403" i="1"/>
  <c r="G1401" i="1" a="1"/>
  <c r="G1401" i="1"/>
  <c r="J1403" i="1" a="1"/>
  <c r="J1403" i="1" s="1"/>
  <c r="O1402" i="1" a="1"/>
  <c r="O1402" i="1"/>
  <c r="I1401" i="1" a="1"/>
  <c r="I1401" i="1" s="1"/>
  <c r="Q1401" i="1" a="1"/>
  <c r="Q1401" i="1"/>
  <c r="K1401" i="1" a="1"/>
  <c r="K1401" i="1"/>
  <c r="M1401" i="1" a="1"/>
  <c r="M1401" i="1" s="1"/>
  <c r="F1401" i="1" a="1"/>
  <c r="F1401" i="1"/>
  <c r="H1404" i="1" a="1"/>
  <c r="H1404" i="1" s="1"/>
  <c r="F1402" i="1" a="1"/>
  <c r="F1402" i="1" s="1"/>
  <c r="G1404" i="1" a="1"/>
  <c r="G1404" i="1" s="1"/>
  <c r="H1403" i="1" a="1"/>
  <c r="H1403" i="1"/>
  <c r="K1403" i="1" a="1"/>
  <c r="K1403" i="1"/>
  <c r="P1402" i="1" a="1"/>
  <c r="P1402" i="1"/>
  <c r="H1405" i="1" a="1"/>
  <c r="H1405" i="1" s="1"/>
  <c r="F1404" i="1" a="1"/>
  <c r="F1404" i="1"/>
  <c r="N1403" i="1" a="1"/>
  <c r="N1403" i="1" s="1"/>
  <c r="L1405" i="1" a="1"/>
  <c r="L1405" i="1" s="1"/>
  <c r="M1405" i="1" a="1"/>
  <c r="M1405" i="1"/>
  <c r="P1373" i="1" a="1"/>
  <c r="P1373" i="1" s="1"/>
  <c r="H1374" i="1" a="1"/>
  <c r="H1374" i="1"/>
  <c r="F1374" i="1" a="1"/>
  <c r="F1374" i="1" s="1"/>
  <c r="Q1373" i="1" a="1"/>
  <c r="Q1373" i="1" s="1"/>
  <c r="M1374" i="1" a="1"/>
  <c r="M1374" i="1" s="1"/>
  <c r="L1373" i="1" a="1"/>
  <c r="L1373" i="1" s="1"/>
  <c r="P1372" i="1" a="1"/>
  <c r="P1372" i="1" s="1"/>
  <c r="J1373" i="1" a="1"/>
  <c r="J1373" i="1"/>
  <c r="I1373" i="1" a="1"/>
  <c r="I1373" i="1" s="1"/>
  <c r="N1373" i="1" a="1"/>
  <c r="N1373" i="1" s="1"/>
  <c r="K1373" i="1" a="1"/>
  <c r="K1373" i="1" s="1"/>
  <c r="I1374" i="1" a="1"/>
  <c r="I1374" i="1" s="1"/>
  <c r="K1374" i="1" a="1"/>
  <c r="K1374" i="1"/>
  <c r="O1374" i="1" a="1"/>
  <c r="O1374" i="1" s="1"/>
  <c r="N1374" i="1" a="1"/>
  <c r="N1374" i="1"/>
  <c r="O1373" i="1" a="1"/>
  <c r="O1373" i="1"/>
  <c r="G1374" i="1" a="1"/>
  <c r="G1374" i="1" s="1"/>
  <c r="Q1372" i="1" a="1"/>
  <c r="Q1372" i="1" s="1"/>
  <c r="L1374" i="1" a="1"/>
  <c r="L1374" i="1"/>
  <c r="J1374" i="1" a="1"/>
  <c r="J1374" i="1"/>
  <c r="G1373" i="1" a="1"/>
  <c r="G1373" i="1" s="1"/>
  <c r="Q1374" i="1" a="1"/>
  <c r="Q1374" i="1" s="1"/>
  <c r="H1373" i="1" a="1"/>
  <c r="H1373" i="1" s="1"/>
  <c r="M1373" i="1" a="1"/>
  <c r="M1373" i="1"/>
  <c r="P1374" i="1" a="1"/>
  <c r="P1374" i="1" s="1"/>
  <c r="F1373" i="1" a="1"/>
  <c r="F1373" i="1" s="1"/>
  <c r="K1369" i="1" a="1"/>
  <c r="K1369" i="1" s="1"/>
  <c r="L1368" i="1" a="1"/>
  <c r="L1368" i="1" s="1"/>
  <c r="L1369" i="1" a="1"/>
  <c r="L1369" i="1"/>
  <c r="J1369" i="1" a="1"/>
  <c r="J1369" i="1" s="1"/>
  <c r="F1368" i="1" a="1"/>
  <c r="F1368" i="1"/>
  <c r="I1372" i="1" a="1"/>
  <c r="I1372" i="1" s="1"/>
  <c r="H1368" i="1" a="1"/>
  <c r="H1368" i="1"/>
  <c r="G1368" i="1" a="1"/>
  <c r="G1368" i="1" s="1"/>
  <c r="H1369" i="1" a="1"/>
  <c r="H1369" i="1" s="1"/>
  <c r="F1372" i="1" a="1"/>
  <c r="F1372" i="1" s="1"/>
  <c r="F1371" i="1" a="1"/>
  <c r="F1371" i="1" s="1"/>
  <c r="L1370" i="1" a="1"/>
  <c r="L1370" i="1" s="1"/>
  <c r="N1369" i="1" a="1"/>
  <c r="N1369" i="1"/>
  <c r="N1370" i="1" a="1"/>
  <c r="N1370" i="1"/>
  <c r="I1371" i="1" a="1"/>
  <c r="I1371" i="1" s="1"/>
  <c r="G1371" i="1" a="1"/>
  <c r="G1371" i="1"/>
  <c r="K1372" i="1" a="1"/>
  <c r="K1372" i="1" s="1"/>
  <c r="P1370" i="1" a="1"/>
  <c r="P1370" i="1"/>
  <c r="J1372" i="1" a="1"/>
  <c r="J1372" i="1"/>
  <c r="J1371" i="1" a="1"/>
  <c r="J1371" i="1" s="1"/>
  <c r="M1368" i="1" a="1"/>
  <c r="M1368" i="1" s="1"/>
  <c r="H1372" i="1" a="1"/>
  <c r="H1372" i="1"/>
  <c r="G1369" i="1" a="1"/>
  <c r="G1369" i="1" s="1"/>
  <c r="Q1371" i="1" a="1"/>
  <c r="Q1371" i="1" s="1"/>
  <c r="M1370" i="1" a="1"/>
  <c r="M1370" i="1" s="1"/>
  <c r="Q1369" i="1" a="1"/>
  <c r="Q1369" i="1" s="1"/>
  <c r="P1369" i="1" a="1"/>
  <c r="P1369" i="1" s="1"/>
  <c r="M1369" i="1" a="1"/>
  <c r="M1369" i="1" s="1"/>
  <c r="O1370" i="1" a="1"/>
  <c r="O1370" i="1" s="1"/>
  <c r="M1371" i="1" a="1"/>
  <c r="M1371" i="1" s="1"/>
  <c r="G1372" i="1" a="1"/>
  <c r="G1372" i="1" s="1"/>
  <c r="N1371" i="1" a="1"/>
  <c r="N1371" i="1"/>
  <c r="L1371" i="1" a="1"/>
  <c r="L1371" i="1" s="1"/>
  <c r="F1370" i="1" a="1"/>
  <c r="F1370" i="1" s="1"/>
  <c r="Q1368" i="1" a="1"/>
  <c r="Q1368" i="1" s="1"/>
  <c r="K1371" i="1" a="1"/>
  <c r="K1371" i="1"/>
  <c r="Q1370" i="1" a="1"/>
  <c r="Q1370" i="1" s="1"/>
  <c r="K1370" i="1" a="1"/>
  <c r="K1370" i="1"/>
  <c r="I1368" i="1" a="1"/>
  <c r="I1368" i="1"/>
  <c r="K1368" i="1" a="1"/>
  <c r="K1368" i="1" s="1"/>
  <c r="G1370" i="1" a="1"/>
  <c r="G1370" i="1"/>
  <c r="H1370" i="1" a="1"/>
  <c r="H1370" i="1"/>
  <c r="N1368" i="1" a="1"/>
  <c r="N1368" i="1"/>
  <c r="F1369" i="1" a="1"/>
  <c r="F1369" i="1" s="1"/>
  <c r="I1369" i="1" a="1"/>
  <c r="I1369" i="1"/>
  <c r="P1368" i="1" a="1"/>
  <c r="P1368" i="1" s="1"/>
  <c r="O1368" i="1" a="1"/>
  <c r="O1368" i="1"/>
  <c r="O1372" i="1" a="1"/>
  <c r="O1372" i="1" s="1"/>
  <c r="N1372" i="1" a="1"/>
  <c r="N1372" i="1"/>
  <c r="H1371" i="1" a="1"/>
  <c r="H1371" i="1" s="1"/>
  <c r="J1370" i="1" a="1"/>
  <c r="J1370" i="1"/>
  <c r="I1370" i="1" a="1"/>
  <c r="I1370" i="1"/>
  <c r="J1368" i="1" a="1"/>
  <c r="J1368" i="1" s="1"/>
  <c r="M1372" i="1" a="1"/>
  <c r="M1372" i="1"/>
  <c r="L1372" i="1" a="1"/>
  <c r="L1372" i="1"/>
  <c r="P1371" i="1" a="1"/>
  <c r="P1371" i="1"/>
  <c r="O1371" i="1" a="1"/>
  <c r="O1371" i="1"/>
  <c r="O1369" i="1" a="1"/>
  <c r="O1369" i="1"/>
  <c r="O1366" i="1" a="1"/>
  <c r="O1366" i="1" s="1"/>
  <c r="J1365" i="1" a="1"/>
  <c r="J1365" i="1" s="1"/>
  <c r="G1365" i="1" a="1"/>
  <c r="G1365" i="1"/>
  <c r="K1366" i="1" a="1"/>
  <c r="K1366" i="1" s="1"/>
  <c r="G1366" i="1" a="1"/>
  <c r="G1366" i="1"/>
  <c r="L1365" i="1" a="1"/>
  <c r="L1365" i="1" s="1"/>
  <c r="P1367" i="1" a="1"/>
  <c r="P1367" i="1"/>
  <c r="O1367" i="1" a="1"/>
  <c r="O1367" i="1"/>
  <c r="M1366" i="1" a="1"/>
  <c r="M1366" i="1"/>
  <c r="H1365" i="1" a="1"/>
  <c r="H1365" i="1"/>
  <c r="F1365" i="1" a="1"/>
  <c r="F1365" i="1" s="1"/>
  <c r="M1367" i="1" a="1"/>
  <c r="M1367" i="1"/>
  <c r="L1367" i="1" a="1"/>
  <c r="L1367" i="1"/>
  <c r="J1367" i="1" a="1"/>
  <c r="J1367" i="1" s="1"/>
  <c r="I1366" i="1" a="1"/>
  <c r="I1366" i="1" s="1"/>
  <c r="I1367" i="1" a="1"/>
  <c r="I1367" i="1"/>
  <c r="H1367" i="1" a="1"/>
  <c r="H1367" i="1" s="1"/>
  <c r="G1367" i="1" a="1"/>
  <c r="G1367" i="1" s="1"/>
  <c r="J1366" i="1" a="1"/>
  <c r="J1366" i="1" s="1"/>
  <c r="H1366" i="1" a="1"/>
  <c r="H1366" i="1"/>
  <c r="M1365" i="1" a="1"/>
  <c r="M1365" i="1" s="1"/>
  <c r="I1365" i="1" a="1"/>
  <c r="I1365" i="1"/>
  <c r="O1364" i="1" a="1"/>
  <c r="O1364" i="1"/>
  <c r="F1367" i="1" a="1"/>
  <c r="F1367" i="1" s="1"/>
  <c r="N1365" i="1" a="1"/>
  <c r="N1365" i="1" s="1"/>
  <c r="P1366" i="1" a="1"/>
  <c r="P1366" i="1" s="1"/>
  <c r="F1366" i="1" a="1"/>
  <c r="F1366" i="1"/>
  <c r="P1364" i="1" a="1"/>
  <c r="P1364" i="1" s="1"/>
  <c r="Q1366" i="1" a="1"/>
  <c r="Q1366" i="1" s="1"/>
  <c r="K1367" i="1" a="1"/>
  <c r="K1367" i="1" s="1"/>
  <c r="K1365" i="1" a="1"/>
  <c r="K1365" i="1" s="1"/>
  <c r="N1366" i="1" a="1"/>
  <c r="N1366" i="1" s="1"/>
  <c r="L1366" i="1" a="1"/>
  <c r="L1366" i="1"/>
  <c r="Q1365" i="1" a="1"/>
  <c r="Q1365" i="1"/>
  <c r="O1365" i="1" a="1"/>
  <c r="O1365" i="1" s="1"/>
  <c r="P1365" i="1" a="1"/>
  <c r="P1365" i="1"/>
  <c r="Q1364" i="1" a="1"/>
  <c r="Q1364" i="1" s="1"/>
  <c r="Q1367" i="1" a="1"/>
  <c r="Q1367" i="1" s="1"/>
  <c r="N1367" i="1" a="1"/>
  <c r="N1367" i="1"/>
  <c r="L1364" i="1" a="1"/>
  <c r="L1364" i="1" s="1"/>
  <c r="O1362" i="1" a="1"/>
  <c r="O1362" i="1" s="1"/>
  <c r="P1362" i="1" a="1"/>
  <c r="P1362" i="1" s="1"/>
  <c r="K1364" i="1" a="1"/>
  <c r="K1364" i="1"/>
  <c r="J1364" i="1" a="1"/>
  <c r="J1364" i="1" s="1"/>
  <c r="P1363" i="1" a="1"/>
  <c r="P1363" i="1"/>
  <c r="O1363" i="1" a="1"/>
  <c r="O1363" i="1" s="1"/>
  <c r="N1363" i="1" a="1"/>
  <c r="N1363" i="1"/>
  <c r="K1363" i="1" a="1"/>
  <c r="K1363" i="1" s="1"/>
  <c r="L1362" i="1" a="1"/>
  <c r="L1362" i="1"/>
  <c r="I1364" i="1" a="1"/>
  <c r="I1364" i="1" s="1"/>
  <c r="G1363" i="1" a="1"/>
  <c r="G1363" i="1"/>
  <c r="H1363" i="1" a="1"/>
  <c r="H1363" i="1" s="1"/>
  <c r="I1363" i="1" a="1"/>
  <c r="I1363" i="1" s="1"/>
  <c r="Q1363" i="1" a="1"/>
  <c r="Q1363" i="1"/>
  <c r="Q1362" i="1" a="1"/>
  <c r="Q1362" i="1"/>
  <c r="M1362" i="1" a="1"/>
  <c r="M1362" i="1" s="1"/>
  <c r="N1364" i="1" a="1"/>
  <c r="N1364" i="1" s="1"/>
  <c r="M1364" i="1" a="1"/>
  <c r="M1364" i="1" s="1"/>
  <c r="M1363" i="1" a="1"/>
  <c r="M1363" i="1" s="1"/>
  <c r="L1363" i="1" a="1"/>
  <c r="L1363" i="1" s="1"/>
  <c r="F1364" i="1" a="1"/>
  <c r="F1364" i="1" s="1"/>
  <c r="F1363" i="1" a="1"/>
  <c r="F1363" i="1"/>
  <c r="H1364" i="1" a="1"/>
  <c r="H1364" i="1"/>
  <c r="G1364" i="1" a="1"/>
  <c r="G1364" i="1"/>
  <c r="N1362" i="1" a="1"/>
  <c r="N1362" i="1"/>
  <c r="J1363" i="1" a="1"/>
  <c r="J1363" i="1" s="1"/>
  <c r="M1360" i="1" a="1"/>
  <c r="M1360" i="1" s="1"/>
  <c r="P1361" i="1" a="1"/>
  <c r="P1361" i="1" s="1"/>
  <c r="M1359" i="1" a="1"/>
  <c r="M1359" i="1"/>
  <c r="N1358" i="1" a="1"/>
  <c r="N1358" i="1" s="1"/>
  <c r="O1358" i="1" a="1"/>
  <c r="O1358" i="1" s="1"/>
  <c r="G1359" i="1" a="1"/>
  <c r="G1359" i="1"/>
  <c r="J1358" i="1" a="1"/>
  <c r="J1358" i="1" s="1"/>
  <c r="G1362" i="1" a="1"/>
  <c r="G1362" i="1" s="1"/>
  <c r="L1361" i="1" a="1"/>
  <c r="L1361" i="1" s="1"/>
  <c r="K1359" i="1" a="1"/>
  <c r="K1359" i="1"/>
  <c r="I1361" i="1" a="1"/>
  <c r="I1361" i="1" s="1"/>
  <c r="L1358" i="1" a="1"/>
  <c r="L1358" i="1"/>
  <c r="G1361" i="1" a="1"/>
  <c r="G1361" i="1" s="1"/>
  <c r="Q1359" i="1" a="1"/>
  <c r="Q1359" i="1"/>
  <c r="Q1360" i="1" a="1"/>
  <c r="Q1360" i="1" s="1"/>
  <c r="N1359" i="1" a="1"/>
  <c r="N1359" i="1"/>
  <c r="F1361" i="1" a="1"/>
  <c r="F1361" i="1" s="1"/>
  <c r="F1358" i="1" a="1"/>
  <c r="F1358" i="1" s="1"/>
  <c r="O1360" i="1" a="1"/>
  <c r="O1360" i="1" s="1"/>
  <c r="K1360" i="1" a="1"/>
  <c r="K1360" i="1"/>
  <c r="H1360" i="1" a="1"/>
  <c r="H1360" i="1"/>
  <c r="G1360" i="1" a="1"/>
  <c r="G1360" i="1" s="1"/>
  <c r="P1359" i="1" a="1"/>
  <c r="P1359" i="1"/>
  <c r="G1358" i="1" a="1"/>
  <c r="G1358" i="1" s="1"/>
  <c r="H1359" i="1" a="1"/>
  <c r="H1359" i="1"/>
  <c r="H1358" i="1" a="1"/>
  <c r="H1358" i="1"/>
  <c r="O1357" i="1" a="1"/>
  <c r="O1357" i="1" s="1"/>
  <c r="Q1358" i="1" a="1"/>
  <c r="Q1358" i="1"/>
  <c r="O1359" i="1" a="1"/>
  <c r="O1359" i="1" s="1"/>
  <c r="L1359" i="1" a="1"/>
  <c r="L1359" i="1" s="1"/>
  <c r="N1360" i="1" a="1"/>
  <c r="N1360" i="1" s="1"/>
  <c r="L1360" i="1" a="1"/>
  <c r="L1360" i="1" s="1"/>
  <c r="H1361" i="1" a="1"/>
  <c r="H1361" i="1"/>
  <c r="K1358" i="1" a="1"/>
  <c r="K1358" i="1" s="1"/>
  <c r="K1362" i="1" a="1"/>
  <c r="K1362" i="1" s="1"/>
  <c r="F1362" i="1" a="1"/>
  <c r="F1362" i="1" s="1"/>
  <c r="P1358" i="1" a="1"/>
  <c r="P1358" i="1" s="1"/>
  <c r="P1357" i="1" a="1"/>
  <c r="P1357" i="1" s="1"/>
  <c r="O1361" i="1" a="1"/>
  <c r="O1361" i="1"/>
  <c r="M1358" i="1" a="1"/>
  <c r="M1358" i="1" s="1"/>
  <c r="F1360" i="1" a="1"/>
  <c r="F1360" i="1" s="1"/>
  <c r="K1361" i="1" a="1"/>
  <c r="K1361" i="1" s="1"/>
  <c r="M1361" i="1" a="1"/>
  <c r="M1361" i="1" s="1"/>
  <c r="Q1361" i="1" a="1"/>
  <c r="Q1361" i="1"/>
  <c r="J1359" i="1" a="1"/>
  <c r="J1359" i="1"/>
  <c r="I1359" i="1" a="1"/>
  <c r="I1359" i="1"/>
  <c r="I1358" i="1" a="1"/>
  <c r="I1358" i="1"/>
  <c r="Q1357" i="1" a="1"/>
  <c r="Q1357" i="1"/>
  <c r="J1360" i="1" a="1"/>
  <c r="J1360" i="1"/>
  <c r="I1360" i="1" a="1"/>
  <c r="I1360" i="1" s="1"/>
  <c r="N1361" i="1" a="1"/>
  <c r="N1361" i="1" s="1"/>
  <c r="J1361" i="1" a="1"/>
  <c r="J1361" i="1"/>
  <c r="P1360" i="1" a="1"/>
  <c r="P1360" i="1" s="1"/>
  <c r="J1362" i="1" a="1"/>
  <c r="J1362" i="1"/>
  <c r="F1359" i="1" a="1"/>
  <c r="F1359" i="1"/>
  <c r="I1362" i="1" a="1"/>
  <c r="I1362" i="1"/>
  <c r="H1362" i="1" a="1"/>
  <c r="H1362" i="1"/>
  <c r="K1357" i="1" a="1"/>
  <c r="K1357" i="1" s="1"/>
  <c r="P1354" i="1" a="1"/>
  <c r="P1354" i="1"/>
  <c r="Q1355" i="1" a="1"/>
  <c r="Q1355" i="1"/>
  <c r="J1357" i="1" a="1"/>
  <c r="J1357" i="1" s="1"/>
  <c r="I1357" i="1" a="1"/>
  <c r="I1357" i="1"/>
  <c r="Q1356" i="1" a="1"/>
  <c r="Q1356" i="1"/>
  <c r="Q1353" i="1" a="1"/>
  <c r="Q1353" i="1" s="1"/>
  <c r="H1355" i="1" a="1"/>
  <c r="H1355" i="1"/>
  <c r="H1357" i="1" a="1"/>
  <c r="H1357" i="1" s="1"/>
  <c r="Q1354" i="1" a="1"/>
  <c r="Q1354" i="1" s="1"/>
  <c r="K1354" i="1" a="1"/>
  <c r="K1354" i="1"/>
  <c r="P1353" i="1" a="1"/>
  <c r="P1353" i="1" s="1"/>
  <c r="G1357" i="1" a="1"/>
  <c r="G1357" i="1" s="1"/>
  <c r="O1356" i="1" a="1"/>
  <c r="O1356" i="1" s="1"/>
  <c r="F1354" i="1" a="1"/>
  <c r="F1354" i="1" s="1"/>
  <c r="L1356" i="1" a="1"/>
  <c r="L1356" i="1" s="1"/>
  <c r="I1356" i="1" a="1"/>
  <c r="I1356" i="1"/>
  <c r="I1354" i="1" a="1"/>
  <c r="I1354" i="1" s="1"/>
  <c r="G1354" i="1" a="1"/>
  <c r="G1354" i="1"/>
  <c r="L1353" i="1" a="1"/>
  <c r="L1353" i="1"/>
  <c r="F1356" i="1" a="1"/>
  <c r="F1356" i="1" s="1"/>
  <c r="O1354" i="1" a="1"/>
  <c r="O1354" i="1"/>
  <c r="O1353" i="1" a="1"/>
  <c r="O1353" i="1" s="1"/>
  <c r="M1354" i="1" a="1"/>
  <c r="M1354" i="1"/>
  <c r="F1357" i="1" a="1"/>
  <c r="F1357" i="1" s="1"/>
  <c r="P1356" i="1" a="1"/>
  <c r="P1356" i="1"/>
  <c r="N1356" i="1" a="1"/>
  <c r="N1356" i="1"/>
  <c r="M1356" i="1" a="1"/>
  <c r="M1356" i="1"/>
  <c r="K1355" i="1" a="1"/>
  <c r="K1355" i="1"/>
  <c r="N1353" i="1" a="1"/>
  <c r="N1353" i="1" s="1"/>
  <c r="N1355" i="1" a="1"/>
  <c r="N1355" i="1" s="1"/>
  <c r="K1356" i="1" a="1"/>
  <c r="K1356" i="1"/>
  <c r="J1356" i="1" a="1"/>
  <c r="J1356" i="1" s="1"/>
  <c r="H1356" i="1" a="1"/>
  <c r="H1356" i="1"/>
  <c r="G1356" i="1" a="1"/>
  <c r="G1356" i="1" s="1"/>
  <c r="P1355" i="1" a="1"/>
  <c r="P1355" i="1"/>
  <c r="O1355" i="1" a="1"/>
  <c r="O1355" i="1"/>
  <c r="N1354" i="1" a="1"/>
  <c r="N1354" i="1" s="1"/>
  <c r="L1355" i="1" a="1"/>
  <c r="L1355" i="1" s="1"/>
  <c r="I1353" i="1" a="1"/>
  <c r="I1353" i="1"/>
  <c r="M1355" i="1" a="1"/>
  <c r="M1355" i="1" s="1"/>
  <c r="J1353" i="1" a="1"/>
  <c r="J1353" i="1" s="1"/>
  <c r="J1355" i="1" a="1"/>
  <c r="J1355" i="1" s="1"/>
  <c r="I1355" i="1" a="1"/>
  <c r="I1355" i="1" s="1"/>
  <c r="F1355" i="1" a="1"/>
  <c r="F1355" i="1" s="1"/>
  <c r="L1354" i="1" a="1"/>
  <c r="L1354" i="1"/>
  <c r="J1354" i="1" a="1"/>
  <c r="J1354" i="1"/>
  <c r="M1353" i="1" a="1"/>
  <c r="M1353" i="1"/>
  <c r="K1353" i="1" a="1"/>
  <c r="K1353" i="1" s="1"/>
  <c r="G1355" i="1" a="1"/>
  <c r="G1355" i="1" s="1"/>
  <c r="H1354" i="1" a="1"/>
  <c r="H1354" i="1" s="1"/>
  <c r="N1357" i="1" a="1"/>
  <c r="N1357" i="1" s="1"/>
  <c r="M1357" i="1" a="1"/>
  <c r="M1357" i="1"/>
  <c r="L1357" i="1" a="1"/>
  <c r="L1357" i="1" s="1"/>
  <c r="N1348" i="1" a="1"/>
  <c r="N1348" i="1"/>
  <c r="F1352" i="1" a="1"/>
  <c r="F1352" i="1"/>
  <c r="I1352" i="1" a="1"/>
  <c r="I1352" i="1" s="1"/>
  <c r="G1348" i="1" a="1"/>
  <c r="G1348" i="1"/>
  <c r="M1349" i="1" a="1"/>
  <c r="M1349" i="1" s="1"/>
  <c r="Q1347" i="1" a="1"/>
  <c r="Q1347" i="1" s="1"/>
  <c r="P1349" i="1" a="1"/>
  <c r="P1349" i="1"/>
  <c r="L1350" i="1" a="1"/>
  <c r="L1350" i="1"/>
  <c r="I1350" i="1" a="1"/>
  <c r="I1350" i="1" s="1"/>
  <c r="P1348" i="1" a="1"/>
  <c r="P1348" i="1"/>
  <c r="F1350" i="1" a="1"/>
  <c r="F1350" i="1" s="1"/>
  <c r="M1347" i="1" a="1"/>
  <c r="M1347" i="1" s="1"/>
  <c r="K1350" i="1" a="1"/>
  <c r="K1350" i="1" s="1"/>
  <c r="F1348" i="1" a="1"/>
  <c r="F1348" i="1" s="1"/>
  <c r="J1348" i="1" a="1"/>
  <c r="J1348" i="1"/>
  <c r="N1350" i="1" a="1"/>
  <c r="N1350" i="1" s="1"/>
  <c r="M1350" i="1" a="1"/>
  <c r="M1350" i="1" s="1"/>
  <c r="N1349" i="1" a="1"/>
  <c r="N1349" i="1" s="1"/>
  <c r="H1349" i="1" a="1"/>
  <c r="H1349" i="1" s="1"/>
  <c r="O1348" i="1" a="1"/>
  <c r="O1348" i="1" s="1"/>
  <c r="L1347" i="1" a="1"/>
  <c r="L1347" i="1" s="1"/>
  <c r="H1353" i="1" a="1"/>
  <c r="H1353" i="1"/>
  <c r="K1347" i="1" a="1"/>
  <c r="K1347" i="1" s="1"/>
  <c r="G1353" i="1" a="1"/>
  <c r="G1353" i="1"/>
  <c r="M1352" i="1" a="1"/>
  <c r="M1352" i="1"/>
  <c r="I1348" i="1" a="1"/>
  <c r="I1348" i="1"/>
  <c r="P1347" i="1" a="1"/>
  <c r="P1347" i="1"/>
  <c r="F1353" i="1" a="1"/>
  <c r="F1353" i="1"/>
  <c r="H1348" i="1" a="1"/>
  <c r="H1348" i="1" s="1"/>
  <c r="M1348" i="1" a="1"/>
  <c r="M1348" i="1"/>
  <c r="G1350" i="1" a="1"/>
  <c r="G1350" i="1"/>
  <c r="I1349" i="1" a="1"/>
  <c r="I1349" i="1"/>
  <c r="Q1348" i="1" a="1"/>
  <c r="Q1348" i="1"/>
  <c r="F1349" i="1" a="1"/>
  <c r="F1349" i="1"/>
  <c r="P1350" i="1" a="1"/>
  <c r="P1350" i="1" s="1"/>
  <c r="P1352" i="1" a="1"/>
  <c r="P1352" i="1"/>
  <c r="K1348" i="1" a="1"/>
  <c r="K1348" i="1" s="1"/>
  <c r="O1350" i="1" a="1"/>
  <c r="O1350" i="1" s="1"/>
  <c r="J1349" i="1" a="1"/>
  <c r="J1349" i="1"/>
  <c r="Q1352" i="1" a="1"/>
  <c r="Q1352" i="1"/>
  <c r="Q1350" i="1" a="1"/>
  <c r="Q1350" i="1"/>
  <c r="O1349" i="1" a="1"/>
  <c r="O1349" i="1" s="1"/>
  <c r="O1347" i="1" a="1"/>
  <c r="O1347" i="1" s="1"/>
  <c r="O1352" i="1" a="1"/>
  <c r="O1352" i="1"/>
  <c r="N1352" i="1" a="1"/>
  <c r="N1352" i="1"/>
  <c r="L1348" i="1" a="1"/>
  <c r="L1348" i="1" s="1"/>
  <c r="L1349" i="1" a="1"/>
  <c r="L1349" i="1" s="1"/>
  <c r="L1352" i="1" a="1"/>
  <c r="L1352" i="1"/>
  <c r="K1352" i="1" a="1"/>
  <c r="K1352" i="1" s="1"/>
  <c r="K1349" i="1" a="1"/>
  <c r="K1349" i="1" s="1"/>
  <c r="N1347" i="1" a="1"/>
  <c r="N1347" i="1" s="1"/>
  <c r="H1350" i="1" a="1"/>
  <c r="H1350" i="1"/>
  <c r="J1352" i="1" a="1"/>
  <c r="J1352" i="1" s="1"/>
  <c r="G1352" i="1" a="1"/>
  <c r="G1352" i="1" s="1"/>
  <c r="Q1349" i="1" a="1"/>
  <c r="Q1349" i="1"/>
  <c r="H1352" i="1" a="1"/>
  <c r="H1352" i="1"/>
  <c r="J1350" i="1" a="1"/>
  <c r="J1350" i="1"/>
  <c r="G1349" i="1" a="1"/>
  <c r="G1349" i="1" s="1"/>
  <c r="Q1340" i="1" a="1"/>
  <c r="Q1340" i="1"/>
  <c r="M1340" i="1" a="1"/>
  <c r="M1340" i="1" s="1"/>
  <c r="P1339" i="1" a="1"/>
  <c r="P1339" i="1"/>
  <c r="L1339" i="1" a="1"/>
  <c r="L1339" i="1"/>
  <c r="H1339" i="1" a="1"/>
  <c r="H1339" i="1"/>
  <c r="F1339" i="1" a="1"/>
  <c r="F1339" i="1"/>
  <c r="K1338" i="1" a="1"/>
  <c r="K1338" i="1" s="1"/>
  <c r="O1338" i="1" a="1"/>
  <c r="O1338" i="1" s="1"/>
  <c r="P1340" i="1" a="1"/>
  <c r="P1340" i="1"/>
  <c r="N1339" i="1" a="1"/>
  <c r="N1339" i="1" s="1"/>
  <c r="N1338" i="1" a="1"/>
  <c r="N1338" i="1" s="1"/>
  <c r="K1339" i="1" a="1"/>
  <c r="K1339" i="1"/>
  <c r="J1347" i="1" a="1"/>
  <c r="J1347" i="1"/>
  <c r="I1347" i="1" a="1"/>
  <c r="I1347" i="1" s="1"/>
  <c r="F1347" i="1" a="1"/>
  <c r="F1347" i="1"/>
  <c r="H1346" i="1" a="1"/>
  <c r="H1346" i="1" s="1"/>
  <c r="G1346" i="1" a="1"/>
  <c r="G1346" i="1" s="1"/>
  <c r="H1347" i="1" a="1"/>
  <c r="H1347" i="1" s="1"/>
  <c r="L1340" i="1" a="1"/>
  <c r="L1340" i="1" s="1"/>
  <c r="I1339" i="1" a="1"/>
  <c r="I1339" i="1"/>
  <c r="G1347" i="1" a="1"/>
  <c r="G1347" i="1" s="1"/>
  <c r="Q1346" i="1" a="1"/>
  <c r="Q1346" i="1" s="1"/>
  <c r="P1346" i="1" a="1"/>
  <c r="P1346" i="1" s="1"/>
  <c r="O1346" i="1" a="1"/>
  <c r="O1346" i="1" s="1"/>
  <c r="J1339" i="1" a="1"/>
  <c r="J1339" i="1"/>
  <c r="N1346" i="1" a="1"/>
  <c r="N1346" i="1"/>
  <c r="J1338" i="1" a="1"/>
  <c r="J1338" i="1" s="1"/>
  <c r="I1346" i="1" a="1"/>
  <c r="I1346" i="1"/>
  <c r="M1339" i="1" a="1"/>
  <c r="M1339" i="1" s="1"/>
  <c r="I1340" i="1" a="1"/>
  <c r="I1340" i="1"/>
  <c r="F1340" i="1" a="1"/>
  <c r="F1340" i="1"/>
  <c r="G1339" i="1" a="1"/>
  <c r="G1339" i="1"/>
  <c r="L1338" i="1" a="1"/>
  <c r="L1338" i="1"/>
  <c r="Q1339" i="1" a="1"/>
  <c r="Q1339" i="1" s="1"/>
  <c r="O1339" i="1" a="1"/>
  <c r="O1339" i="1"/>
  <c r="H1340" i="1" a="1"/>
  <c r="H1340" i="1"/>
  <c r="M1346" i="1" a="1"/>
  <c r="M1346" i="1"/>
  <c r="P1338" i="1" a="1"/>
  <c r="P1338" i="1" s="1"/>
  <c r="G1340" i="1" a="1"/>
  <c r="G1340" i="1"/>
  <c r="J1340" i="1" a="1"/>
  <c r="J1340" i="1" s="1"/>
  <c r="L1346" i="1" a="1"/>
  <c r="L1346" i="1" s="1"/>
  <c r="K1346" i="1" a="1"/>
  <c r="K1346" i="1"/>
  <c r="J1346" i="1" a="1"/>
  <c r="J1346" i="1" s="1"/>
  <c r="F1346" i="1" a="1"/>
  <c r="F1346" i="1" s="1"/>
  <c r="K1340" i="1" a="1"/>
  <c r="K1340" i="1"/>
  <c r="O1340" i="1" a="1"/>
  <c r="O1340" i="1" s="1"/>
  <c r="Q1338" i="1" a="1"/>
  <c r="Q1338" i="1"/>
  <c r="M1338" i="1" a="1"/>
  <c r="M1338" i="1"/>
  <c r="N1340" i="1" a="1"/>
  <c r="N1340" i="1" s="1"/>
  <c r="N1334" i="1" a="1"/>
  <c r="N1334" i="1" s="1"/>
  <c r="G1334" i="1" a="1"/>
  <c r="G1334" i="1" s="1"/>
  <c r="H1338" i="1" a="1"/>
  <c r="H1338" i="1" s="1"/>
  <c r="I1338" i="1" a="1"/>
  <c r="I1338" i="1" s="1"/>
  <c r="G1338" i="1" a="1"/>
  <c r="G1338" i="1"/>
  <c r="H1337" i="1" a="1"/>
  <c r="H1337" i="1"/>
  <c r="M1336" i="1" a="1"/>
  <c r="M1336" i="1" s="1"/>
  <c r="H1336" i="1" a="1"/>
  <c r="H1336" i="1" s="1"/>
  <c r="F1337" i="1" a="1"/>
  <c r="F1337" i="1"/>
  <c r="O1336" i="1" a="1"/>
  <c r="O1336" i="1"/>
  <c r="N1336" i="1" a="1"/>
  <c r="N1336" i="1"/>
  <c r="J1336" i="1" a="1"/>
  <c r="J1336" i="1"/>
  <c r="I1336" i="1" a="1"/>
  <c r="I1336" i="1"/>
  <c r="J1335" i="1" a="1"/>
  <c r="J1335" i="1"/>
  <c r="Q1335" i="1" a="1"/>
  <c r="Q1335" i="1"/>
  <c r="F1336" i="1" a="1"/>
  <c r="F1336" i="1" s="1"/>
  <c r="H1334" i="1" a="1"/>
  <c r="H1334" i="1"/>
  <c r="K1334" i="1" a="1"/>
  <c r="K1334" i="1" s="1"/>
  <c r="P1335" i="1" a="1"/>
  <c r="P1335" i="1"/>
  <c r="I1334" i="1" a="1"/>
  <c r="I1334" i="1" s="1"/>
  <c r="M1335" i="1" a="1"/>
  <c r="M1335" i="1" s="1"/>
  <c r="F1333" i="1" a="1"/>
  <c r="F1333" i="1" s="1"/>
  <c r="G1336" i="1" a="1"/>
  <c r="G1336" i="1"/>
  <c r="F1338" i="1" a="1"/>
  <c r="F1338" i="1" s="1"/>
  <c r="O1337" i="1" a="1"/>
  <c r="O1337" i="1"/>
  <c r="I1337" i="1" a="1"/>
  <c r="I1337" i="1"/>
  <c r="L1334" i="1" a="1"/>
  <c r="L1334" i="1" s="1"/>
  <c r="K1336" i="1" a="1"/>
  <c r="K1336" i="1" s="1"/>
  <c r="K1337" i="1" a="1"/>
  <c r="K1337" i="1" s="1"/>
  <c r="Q1336" i="1" a="1"/>
  <c r="Q1336" i="1" s="1"/>
  <c r="J1337" i="1" a="1"/>
  <c r="J1337" i="1" s="1"/>
  <c r="M1334" i="1" a="1"/>
  <c r="M1334" i="1" s="1"/>
  <c r="F1334" i="1" a="1"/>
  <c r="F1334" i="1" s="1"/>
  <c r="O1335" i="1" a="1"/>
  <c r="O1335" i="1"/>
  <c r="K1333" i="1" a="1"/>
  <c r="K1333" i="1"/>
  <c r="G1333" i="1" a="1"/>
  <c r="G1333" i="1" s="1"/>
  <c r="Q1337" i="1" a="1"/>
  <c r="Q1337" i="1"/>
  <c r="P1336" i="1" a="1"/>
  <c r="P1336" i="1"/>
  <c r="Q1334" i="1" a="1"/>
  <c r="Q1334" i="1"/>
  <c r="N1335" i="1" a="1"/>
  <c r="N1335" i="1"/>
  <c r="L1333" i="1" a="1"/>
  <c r="L1333" i="1"/>
  <c r="Q1333" i="1" a="1"/>
  <c r="Q1333" i="1"/>
  <c r="G1335" i="1" a="1"/>
  <c r="G1335" i="1" s="1"/>
  <c r="P1334" i="1" a="1"/>
  <c r="P1334" i="1"/>
  <c r="P1333" i="1" a="1"/>
  <c r="P1333" i="1" s="1"/>
  <c r="I1333" i="1" a="1"/>
  <c r="I1333" i="1" s="1"/>
  <c r="P1337" i="1" a="1"/>
  <c r="P1337" i="1" s="1"/>
  <c r="J1333" i="1" a="1"/>
  <c r="J1333" i="1"/>
  <c r="N1337" i="1" a="1"/>
  <c r="N1337" i="1" s="1"/>
  <c r="L1335" i="1" a="1"/>
  <c r="L1335" i="1" s="1"/>
  <c r="O1333" i="1" a="1"/>
  <c r="O1333" i="1" s="1"/>
  <c r="H1333" i="1" a="1"/>
  <c r="H1333" i="1"/>
  <c r="J1334" i="1" a="1"/>
  <c r="J1334" i="1" s="1"/>
  <c r="N1333" i="1" a="1"/>
  <c r="N1333" i="1"/>
  <c r="I1335" i="1" a="1"/>
  <c r="I1335" i="1" s="1"/>
  <c r="M1337" i="1" a="1"/>
  <c r="M1337" i="1" s="1"/>
  <c r="L1337" i="1" a="1"/>
  <c r="L1337" i="1" s="1"/>
  <c r="L1336" i="1" a="1"/>
  <c r="L1336" i="1" s="1"/>
  <c r="G1337" i="1" a="1"/>
  <c r="G1337" i="1" s="1"/>
  <c r="M1333" i="1" a="1"/>
  <c r="M1333" i="1" s="1"/>
  <c r="K1335" i="1" a="1"/>
  <c r="K1335" i="1" s="1"/>
  <c r="H1335" i="1" a="1"/>
  <c r="H1335" i="1" s="1"/>
  <c r="F1335" i="1" a="1"/>
  <c r="F1335" i="1" s="1"/>
  <c r="O1334" i="1" a="1"/>
  <c r="O1334" i="1" s="1"/>
  <c r="G1332" i="1" a="1"/>
  <c r="G1332" i="1"/>
  <c r="J1326" i="1" a="1"/>
  <c r="J1326" i="1"/>
  <c r="F1332" i="1" a="1"/>
  <c r="F1332" i="1"/>
  <c r="Q1326" i="1" a="1"/>
  <c r="Q1326" i="1"/>
  <c r="H1325" i="1" a="1"/>
  <c r="H1325" i="1"/>
  <c r="O1325" i="1" a="1"/>
  <c r="O1325" i="1"/>
  <c r="Q1332" i="1" a="1"/>
  <c r="Q1332" i="1"/>
  <c r="P1332" i="1" a="1"/>
  <c r="P1332" i="1"/>
  <c r="K1325" i="1" a="1"/>
  <c r="K1325" i="1"/>
  <c r="J1332" i="1" a="1"/>
  <c r="J1332" i="1" s="1"/>
  <c r="G1326" i="1" a="1"/>
  <c r="G1326" i="1" s="1"/>
  <c r="O1332" i="1" a="1"/>
  <c r="O1332" i="1" s="1"/>
  <c r="M1332" i="1" a="1"/>
  <c r="M1332" i="1"/>
  <c r="L1332" i="1" a="1"/>
  <c r="L1332" i="1" s="1"/>
  <c r="K1332" i="1" a="1"/>
  <c r="K1332" i="1"/>
  <c r="H1332" i="1" a="1"/>
  <c r="H1332" i="1" s="1"/>
  <c r="O1326" i="1" a="1"/>
  <c r="O1326" i="1"/>
  <c r="K1326" i="1" a="1"/>
  <c r="K1326" i="1"/>
  <c r="I1326" i="1" a="1"/>
  <c r="I1326" i="1"/>
  <c r="I1325" i="1" a="1"/>
  <c r="I1325" i="1" s="1"/>
  <c r="M1326" i="1" a="1"/>
  <c r="M1326" i="1" s="1"/>
  <c r="G1325" i="1" a="1"/>
  <c r="G1325" i="1"/>
  <c r="N1326" i="1" a="1"/>
  <c r="N1326" i="1" s="1"/>
  <c r="M1325" i="1" a="1"/>
  <c r="M1325" i="1" s="1"/>
  <c r="Q1324" i="1" a="1"/>
  <c r="Q1324" i="1" s="1"/>
  <c r="P1325" i="1" a="1"/>
  <c r="P1325" i="1"/>
  <c r="L1326" i="1" a="1"/>
  <c r="L1326" i="1" s="1"/>
  <c r="F1326" i="1" a="1"/>
  <c r="F1326" i="1" s="1"/>
  <c r="L1325" i="1" a="1"/>
  <c r="L1325" i="1" s="1"/>
  <c r="P1326" i="1" a="1"/>
  <c r="P1326" i="1" s="1"/>
  <c r="N1332" i="1" a="1"/>
  <c r="N1332" i="1"/>
  <c r="I1332" i="1" a="1"/>
  <c r="I1332" i="1"/>
  <c r="N1325" i="1" a="1"/>
  <c r="N1325" i="1"/>
  <c r="J1325" i="1" a="1"/>
  <c r="J1325" i="1"/>
  <c r="H1326" i="1" a="1"/>
  <c r="H1326" i="1"/>
  <c r="Q1325" i="1" a="1"/>
  <c r="Q1325" i="1"/>
  <c r="F1325" i="1" a="1"/>
  <c r="F1325" i="1" s="1"/>
  <c r="I1319" i="1" a="1"/>
  <c r="I1319" i="1"/>
  <c r="P1321" i="1" a="1"/>
  <c r="P1321" i="1" s="1"/>
  <c r="O1321" i="1" a="1"/>
  <c r="O1321" i="1"/>
  <c r="G1321" i="1" a="1"/>
  <c r="G1321" i="1"/>
  <c r="I1321" i="1" a="1"/>
  <c r="I1321" i="1" s="1"/>
  <c r="G1320" i="1" a="1"/>
  <c r="G1320" i="1" s="1"/>
  <c r="F1324" i="1" a="1"/>
  <c r="F1324" i="1"/>
  <c r="P1323" i="1" a="1"/>
  <c r="P1323" i="1" s="1"/>
  <c r="I1320" i="1" a="1"/>
  <c r="I1320" i="1" s="1"/>
  <c r="Q1318" i="1" a="1"/>
  <c r="Q1318" i="1" s="1"/>
  <c r="Q1323" i="1" a="1"/>
  <c r="Q1323" i="1"/>
  <c r="M1319" i="1" a="1"/>
  <c r="M1319" i="1" s="1"/>
  <c r="K1321" i="1" a="1"/>
  <c r="K1321" i="1" s="1"/>
  <c r="K1323" i="1" a="1"/>
  <c r="K1323" i="1" s="1"/>
  <c r="G1323" i="1" a="1"/>
  <c r="G1323" i="1" s="1"/>
  <c r="F1321" i="1" a="1"/>
  <c r="F1321" i="1" s="1"/>
  <c r="F1323" i="1" a="1"/>
  <c r="F1323" i="1" s="1"/>
  <c r="F1320" i="1" a="1"/>
  <c r="F1320" i="1"/>
  <c r="Q1320" i="1" a="1"/>
  <c r="Q1320" i="1" s="1"/>
  <c r="O1320" i="1" a="1"/>
  <c r="O1320" i="1"/>
  <c r="L1319" i="1" a="1"/>
  <c r="L1319" i="1" s="1"/>
  <c r="G1319" i="1" a="1"/>
  <c r="G1319" i="1" s="1"/>
  <c r="L1320" i="1" a="1"/>
  <c r="L1320" i="1"/>
  <c r="Q1319" i="1" a="1"/>
  <c r="Q1319" i="1"/>
  <c r="N1319" i="1" a="1"/>
  <c r="N1319" i="1"/>
  <c r="P1324" i="1" a="1"/>
  <c r="P1324" i="1"/>
  <c r="O1318" i="1" a="1"/>
  <c r="O1318" i="1"/>
  <c r="N1323" i="1" a="1"/>
  <c r="N1323" i="1"/>
  <c r="L1321" i="1" a="1"/>
  <c r="L1321" i="1" s="1"/>
  <c r="O1319" i="1" a="1"/>
  <c r="O1319" i="1"/>
  <c r="H1319" i="1" a="1"/>
  <c r="H1319" i="1" s="1"/>
  <c r="O1324" i="1" a="1"/>
  <c r="O1324" i="1" s="1"/>
  <c r="N1324" i="1" a="1"/>
  <c r="N1324" i="1" s="1"/>
  <c r="M1324" i="1" a="1"/>
  <c r="M1324" i="1" s="1"/>
  <c r="O1323" i="1" a="1"/>
  <c r="O1323" i="1" s="1"/>
  <c r="H1321" i="1" a="1"/>
  <c r="H1321" i="1"/>
  <c r="J1321" i="1" a="1"/>
  <c r="J1321" i="1" s="1"/>
  <c r="J1323" i="1" a="1"/>
  <c r="J1323" i="1" s="1"/>
  <c r="K1324" i="1" a="1"/>
  <c r="K1324" i="1" s="1"/>
  <c r="P1320" i="1" a="1"/>
  <c r="P1320" i="1"/>
  <c r="G1324" i="1" a="1"/>
  <c r="G1324" i="1" s="1"/>
  <c r="P1318" i="1" a="1"/>
  <c r="P1318" i="1" s="1"/>
  <c r="H1323" i="1" a="1"/>
  <c r="H1323" i="1" s="1"/>
  <c r="F1319" i="1" a="1"/>
  <c r="F1319" i="1" s="1"/>
  <c r="N1320" i="1" a="1"/>
  <c r="N1320" i="1" s="1"/>
  <c r="M1323" i="1" a="1"/>
  <c r="M1323" i="1" s="1"/>
  <c r="M1321" i="1" a="1"/>
  <c r="M1321" i="1" s="1"/>
  <c r="J1320" i="1" a="1"/>
  <c r="J1320" i="1" s="1"/>
  <c r="K1319" i="1" a="1"/>
  <c r="K1319" i="1"/>
  <c r="J1319" i="1" a="1"/>
  <c r="J1319" i="1" s="1"/>
  <c r="H1320" i="1" a="1"/>
  <c r="H1320" i="1" s="1"/>
  <c r="L1324" i="1" a="1"/>
  <c r="L1324" i="1"/>
  <c r="I1323" i="1" a="1"/>
  <c r="I1323" i="1"/>
  <c r="J1324" i="1" a="1"/>
  <c r="J1324" i="1"/>
  <c r="I1324" i="1" a="1"/>
  <c r="I1324" i="1"/>
  <c r="M1320" i="1" a="1"/>
  <c r="M1320" i="1"/>
  <c r="N1321" i="1" a="1"/>
  <c r="N1321" i="1"/>
  <c r="H1324" i="1" a="1"/>
  <c r="H1324" i="1" s="1"/>
  <c r="L1323" i="1" a="1"/>
  <c r="L1323" i="1"/>
  <c r="Q1321" i="1" a="1"/>
  <c r="Q1321" i="1" s="1"/>
  <c r="K1320" i="1" a="1"/>
  <c r="K1320" i="1" s="1"/>
  <c r="P1319" i="1" a="1"/>
  <c r="P1319" i="1"/>
  <c r="H1318" i="1" a="1"/>
  <c r="H1318" i="1" s="1"/>
  <c r="O1317" i="1" a="1"/>
  <c r="O1317" i="1" s="1"/>
  <c r="L1318" i="1" a="1"/>
  <c r="L1318" i="1"/>
  <c r="I1318" i="1" a="1"/>
  <c r="I1318" i="1" s="1"/>
  <c r="M1317" i="1" a="1"/>
  <c r="M1317" i="1" s="1"/>
  <c r="P1317" i="1" a="1"/>
  <c r="P1317" i="1" s="1"/>
  <c r="K1317" i="1" a="1"/>
  <c r="K1317" i="1"/>
  <c r="H1317" i="1" a="1"/>
  <c r="H1317" i="1" s="1"/>
  <c r="J1317" i="1" a="1"/>
  <c r="J1317" i="1" s="1"/>
  <c r="N1318" i="1" a="1"/>
  <c r="N1318" i="1" s="1"/>
  <c r="M1318" i="1" a="1"/>
  <c r="M1318" i="1" s="1"/>
  <c r="F1318" i="1" a="1"/>
  <c r="F1318" i="1"/>
  <c r="L1317" i="1" a="1"/>
  <c r="L1317" i="1" s="1"/>
  <c r="G1317" i="1" a="1"/>
  <c r="G1317" i="1" s="1"/>
  <c r="F1317" i="1" a="1"/>
  <c r="F1317" i="1" s="1"/>
  <c r="G1318" i="1" a="1"/>
  <c r="G1318" i="1"/>
  <c r="Q1317" i="1" a="1"/>
  <c r="Q1317" i="1" s="1"/>
  <c r="N1317" i="1" a="1"/>
  <c r="N1317" i="1" s="1"/>
  <c r="K1318" i="1" a="1"/>
  <c r="K1318" i="1"/>
  <c r="I1317" i="1" a="1"/>
  <c r="I1317" i="1"/>
  <c r="J1318" i="1" a="1"/>
  <c r="J1318" i="1"/>
  <c r="N1263" i="1" a="1"/>
  <c r="N1263" i="1"/>
  <c r="I1263" i="1" a="1"/>
  <c r="I1263" i="1"/>
  <c r="P1262" i="1" a="1"/>
  <c r="P1262" i="1"/>
  <c r="O1262" i="1" a="1"/>
  <c r="O1262" i="1" s="1"/>
  <c r="Q1262" i="1" a="1"/>
  <c r="Q1262" i="1"/>
  <c r="Q1263" i="1" a="1"/>
  <c r="Q1263" i="1" s="1"/>
  <c r="K1263" i="1" a="1"/>
  <c r="K1263" i="1" s="1"/>
  <c r="L1263" i="1" a="1"/>
  <c r="L1263" i="1" s="1"/>
  <c r="J1263" i="1" a="1"/>
  <c r="J1263" i="1" s="1"/>
  <c r="O1263" i="1" a="1"/>
  <c r="O1263" i="1"/>
  <c r="F1263" i="1" a="1"/>
  <c r="F1263" i="1"/>
  <c r="P1263" i="1" a="1"/>
  <c r="P1263" i="1" s="1"/>
  <c r="H1263" i="1" a="1"/>
  <c r="H1263" i="1" s="1"/>
  <c r="M1263" i="1" a="1"/>
  <c r="M1263" i="1" s="1"/>
  <c r="G1263" i="1" a="1"/>
  <c r="G1263" i="1"/>
  <c r="I1261" i="1" a="1"/>
  <c r="I1261" i="1" s="1"/>
  <c r="H1260" i="1" a="1"/>
  <c r="H1260" i="1" s="1"/>
  <c r="Q1259" i="1" a="1"/>
  <c r="Q1259" i="1"/>
  <c r="P1258" i="1" a="1"/>
  <c r="P1258" i="1" s="1"/>
  <c r="K1262" i="1" a="1"/>
  <c r="K1262" i="1" s="1"/>
  <c r="J1262" i="1" a="1"/>
  <c r="J1262" i="1"/>
  <c r="J1261" i="1" a="1"/>
  <c r="J1261" i="1"/>
  <c r="G1261" i="1" a="1"/>
  <c r="G1261" i="1"/>
  <c r="Q1260" i="1" a="1"/>
  <c r="Q1260" i="1"/>
  <c r="J1259" i="1" a="1"/>
  <c r="J1259" i="1" s="1"/>
  <c r="L1260" i="1" a="1"/>
  <c r="L1260" i="1"/>
  <c r="P1259" i="1" a="1"/>
  <c r="P1259" i="1"/>
  <c r="M1260" i="1" a="1"/>
  <c r="M1260" i="1"/>
  <c r="L1258" i="1" a="1"/>
  <c r="L1258" i="1"/>
  <c r="I1262" i="1" a="1"/>
  <c r="I1262" i="1"/>
  <c r="H1262" i="1" a="1"/>
  <c r="H1262" i="1"/>
  <c r="Q1261" i="1" a="1"/>
  <c r="Q1261" i="1"/>
  <c r="G1259" i="1" a="1"/>
  <c r="G1259" i="1" s="1"/>
  <c r="F1262" i="1" a="1"/>
  <c r="F1262" i="1" s="1"/>
  <c r="N1261" i="1" a="1"/>
  <c r="N1261" i="1" s="1"/>
  <c r="L1261" i="1" a="1"/>
  <c r="L1261" i="1" s="1"/>
  <c r="H1259" i="1" a="1"/>
  <c r="H1259" i="1"/>
  <c r="F1261" i="1" a="1"/>
  <c r="F1261" i="1" s="1"/>
  <c r="M1259" i="1" a="1"/>
  <c r="M1259" i="1" s="1"/>
  <c r="F1259" i="1" a="1"/>
  <c r="F1259" i="1"/>
  <c r="I1259" i="1" a="1"/>
  <c r="I1259" i="1" s="1"/>
  <c r="N1260" i="1" a="1"/>
  <c r="N1260" i="1" s="1"/>
  <c r="P1260" i="1" a="1"/>
  <c r="P1260" i="1" s="1"/>
  <c r="J1260" i="1" a="1"/>
  <c r="J1260" i="1"/>
  <c r="G1260" i="1" a="1"/>
  <c r="G1260" i="1" s="1"/>
  <c r="M1261" i="1" a="1"/>
  <c r="M1261" i="1" s="1"/>
  <c r="Q1258" i="1" a="1"/>
  <c r="Q1258" i="1"/>
  <c r="O1260" i="1" a="1"/>
  <c r="O1260" i="1" s="1"/>
  <c r="K1260" i="1" a="1"/>
  <c r="K1260" i="1"/>
  <c r="P1261" i="1" a="1"/>
  <c r="P1261" i="1" s="1"/>
  <c r="O1261" i="1" a="1"/>
  <c r="O1261" i="1" s="1"/>
  <c r="H1261" i="1" a="1"/>
  <c r="H1261" i="1" s="1"/>
  <c r="O1258" i="1" a="1"/>
  <c r="O1258" i="1"/>
  <c r="I1260" i="1" a="1"/>
  <c r="I1260" i="1" s="1"/>
  <c r="O1259" i="1" a="1"/>
  <c r="O1259" i="1"/>
  <c r="N1258" i="1" a="1"/>
  <c r="N1258" i="1"/>
  <c r="M1258" i="1" a="1"/>
  <c r="M1258" i="1"/>
  <c r="K1258" i="1" a="1"/>
  <c r="K1258" i="1"/>
  <c r="F1260" i="1" a="1"/>
  <c r="F1260" i="1"/>
  <c r="N1259" i="1" a="1"/>
  <c r="N1259" i="1"/>
  <c r="K1259" i="1" a="1"/>
  <c r="K1259" i="1"/>
  <c r="N1262" i="1" a="1"/>
  <c r="N1262" i="1" s="1"/>
  <c r="L1259" i="1" a="1"/>
  <c r="L1259" i="1" s="1"/>
  <c r="M1262" i="1" a="1"/>
  <c r="M1262" i="1"/>
  <c r="L1262" i="1" a="1"/>
  <c r="L1262" i="1" s="1"/>
  <c r="K1261" i="1" a="1"/>
  <c r="K1261" i="1"/>
  <c r="G1262" i="1" a="1"/>
  <c r="G1262" i="1" s="1"/>
  <c r="O1256" i="1" a="1"/>
  <c r="O1256" i="1" s="1"/>
  <c r="G1255" i="1" a="1"/>
  <c r="G1255" i="1"/>
  <c r="J1258" i="1" a="1"/>
  <c r="J1258" i="1" s="1"/>
  <c r="Q1256" i="1" a="1"/>
  <c r="Q1256" i="1" s="1"/>
  <c r="I1258" i="1" a="1"/>
  <c r="I1258" i="1" s="1"/>
  <c r="Q1257" i="1" a="1"/>
  <c r="Q1257" i="1"/>
  <c r="F1257" i="1" a="1"/>
  <c r="F1257" i="1" s="1"/>
  <c r="K1256" i="1" a="1"/>
  <c r="K1256" i="1" s="1"/>
  <c r="N1256" i="1" a="1"/>
  <c r="N1256" i="1" s="1"/>
  <c r="M1256" i="1" a="1"/>
  <c r="M1256" i="1" s="1"/>
  <c r="I1256" i="1" a="1"/>
  <c r="I1256" i="1"/>
  <c r="F1256" i="1" a="1"/>
  <c r="F1256" i="1"/>
  <c r="I1255" i="1" a="1"/>
  <c r="I1255" i="1" s="1"/>
  <c r="P1255" i="1" a="1"/>
  <c r="P1255" i="1" s="1"/>
  <c r="J1256" i="1" a="1"/>
  <c r="J1256" i="1"/>
  <c r="H1258" i="1" a="1"/>
  <c r="H1258" i="1" s="1"/>
  <c r="G1258" i="1" a="1"/>
  <c r="G1258" i="1"/>
  <c r="O1257" i="1" a="1"/>
  <c r="O1257" i="1"/>
  <c r="N1257" i="1" a="1"/>
  <c r="N1257" i="1"/>
  <c r="G1257" i="1" a="1"/>
  <c r="G1257" i="1"/>
  <c r="H1255" i="1" a="1"/>
  <c r="H1255" i="1"/>
  <c r="L1256" i="1" a="1"/>
  <c r="L1256" i="1"/>
  <c r="G1256" i="1" a="1"/>
  <c r="G1256" i="1" s="1"/>
  <c r="L1257" i="1" a="1"/>
  <c r="L1257" i="1"/>
  <c r="H1256" i="1" a="1"/>
  <c r="H1256" i="1" s="1"/>
  <c r="K1257" i="1" a="1"/>
  <c r="K1257" i="1" s="1"/>
  <c r="I1257" i="1" a="1"/>
  <c r="I1257" i="1" s="1"/>
  <c r="L1255" i="1" a="1"/>
  <c r="L1255" i="1" s="1"/>
  <c r="H1257" i="1" a="1"/>
  <c r="H1257" i="1" s="1"/>
  <c r="P1256" i="1" a="1"/>
  <c r="P1256" i="1" s="1"/>
  <c r="Q1255" i="1" a="1"/>
  <c r="Q1255" i="1"/>
  <c r="O1255" i="1" a="1"/>
  <c r="O1255" i="1" s="1"/>
  <c r="K1255" i="1" a="1"/>
  <c r="K1255" i="1" s="1"/>
  <c r="J1257" i="1" a="1"/>
  <c r="J1257" i="1" s="1"/>
  <c r="M1257" i="1" a="1"/>
  <c r="M1257" i="1"/>
  <c r="J1255" i="1" a="1"/>
  <c r="J1255" i="1" s="1"/>
  <c r="Q1254" i="1" a="1"/>
  <c r="Q1254" i="1" s="1"/>
  <c r="F1258" i="1" a="1"/>
  <c r="F1258" i="1"/>
  <c r="N1255" i="1" a="1"/>
  <c r="N1255" i="1" s="1"/>
  <c r="P1257" i="1" a="1"/>
  <c r="P1257" i="1"/>
  <c r="F1255" i="1" a="1"/>
  <c r="F1255" i="1"/>
  <c r="M1255" i="1" a="1"/>
  <c r="M1255" i="1"/>
  <c r="M1251" i="1" a="1"/>
  <c r="M1251" i="1" s="1"/>
  <c r="L1251" i="1" a="1"/>
  <c r="L1251" i="1"/>
  <c r="K1253" i="1" a="1"/>
  <c r="K1253" i="1" s="1"/>
  <c r="M1252" i="1" a="1"/>
  <c r="M1252" i="1" s="1"/>
  <c r="N1251" i="1" a="1"/>
  <c r="N1251" i="1"/>
  <c r="F1252" i="1" a="1"/>
  <c r="F1252" i="1"/>
  <c r="P1251" i="1" a="1"/>
  <c r="P1251" i="1"/>
  <c r="Q1250" i="1" a="1"/>
  <c r="Q1250" i="1"/>
  <c r="H1253" i="1" a="1"/>
  <c r="H1253" i="1" s="1"/>
  <c r="L1252" i="1" a="1"/>
  <c r="L1252" i="1" s="1"/>
  <c r="O1250" i="1" a="1"/>
  <c r="O1250" i="1"/>
  <c r="L1254" i="1" a="1"/>
  <c r="L1254" i="1" s="1"/>
  <c r="J1251" i="1" a="1"/>
  <c r="J1251" i="1" s="1"/>
  <c r="K1254" i="1" a="1"/>
  <c r="K1254" i="1" s="1"/>
  <c r="F1251" i="1" a="1"/>
  <c r="F1251" i="1"/>
  <c r="P1252" i="1" a="1"/>
  <c r="P1252" i="1" s="1"/>
  <c r="N1253" i="1" a="1"/>
  <c r="N1253" i="1" s="1"/>
  <c r="P1253" i="1" a="1"/>
  <c r="P1253" i="1"/>
  <c r="F1254" i="1" a="1"/>
  <c r="F1254" i="1" s="1"/>
  <c r="Q1252" i="1" a="1"/>
  <c r="Q1252" i="1" s="1"/>
  <c r="K1252" i="1" a="1"/>
  <c r="K1252" i="1" s="1"/>
  <c r="H1251" i="1" a="1"/>
  <c r="H1251" i="1"/>
  <c r="N1250" i="1" a="1"/>
  <c r="N1250" i="1" s="1"/>
  <c r="M1253" i="1" a="1"/>
  <c r="M1253" i="1"/>
  <c r="I1251" i="1" a="1"/>
  <c r="I1251" i="1"/>
  <c r="J1253" i="1" a="1"/>
  <c r="J1253" i="1" s="1"/>
  <c r="L1253" i="1" a="1"/>
  <c r="L1253" i="1"/>
  <c r="I1253" i="1" a="1"/>
  <c r="I1253" i="1"/>
  <c r="G1253" i="1" a="1"/>
  <c r="G1253" i="1" s="1"/>
  <c r="F1253" i="1" a="1"/>
  <c r="F1253" i="1" s="1"/>
  <c r="O1252" i="1" a="1"/>
  <c r="O1252" i="1"/>
  <c r="N1252" i="1" a="1"/>
  <c r="N1252" i="1" s="1"/>
  <c r="G1254" i="1" a="1"/>
  <c r="G1254" i="1" s="1"/>
  <c r="P1254" i="1" a="1"/>
  <c r="P1254" i="1"/>
  <c r="O1254" i="1" a="1"/>
  <c r="O1254" i="1"/>
  <c r="H1254" i="1" a="1"/>
  <c r="H1254" i="1"/>
  <c r="O1253" i="1" a="1"/>
  <c r="O1253" i="1" s="1"/>
  <c r="H1252" i="1" a="1"/>
  <c r="H1252" i="1" s="1"/>
  <c r="Q1251" i="1" a="1"/>
  <c r="Q1251" i="1" s="1"/>
  <c r="K1251" i="1" a="1"/>
  <c r="K1251" i="1" s="1"/>
  <c r="G1251" i="1" a="1"/>
  <c r="G1251" i="1" s="1"/>
  <c r="O1251" i="1" a="1"/>
  <c r="O1251" i="1"/>
  <c r="P1250" i="1" a="1"/>
  <c r="P1250" i="1"/>
  <c r="N1254" i="1" a="1"/>
  <c r="N1254" i="1" s="1"/>
  <c r="J1252" i="1" a="1"/>
  <c r="J1252" i="1" s="1"/>
  <c r="M1254" i="1" a="1"/>
  <c r="M1254" i="1" s="1"/>
  <c r="J1254" i="1" a="1"/>
  <c r="J1254" i="1"/>
  <c r="I1254" i="1" a="1"/>
  <c r="I1254" i="1" s="1"/>
  <c r="Q1253" i="1" a="1"/>
  <c r="Q1253" i="1" s="1"/>
  <c r="I1252" i="1" a="1"/>
  <c r="I1252" i="1" s="1"/>
  <c r="G1252" i="1" a="1"/>
  <c r="G1252" i="1" s="1"/>
  <c r="J1250" i="1" a="1"/>
  <c r="J1250" i="1"/>
  <c r="I1250" i="1" a="1"/>
  <c r="I1250" i="1" s="1"/>
  <c r="H1250" i="1" a="1"/>
  <c r="H1250" i="1"/>
  <c r="P1249" i="1" a="1"/>
  <c r="P1249" i="1" s="1"/>
  <c r="G1250" i="1" a="1"/>
  <c r="G1250" i="1"/>
  <c r="O1249" i="1" a="1"/>
  <c r="O1249" i="1"/>
  <c r="P1247" i="1" a="1"/>
  <c r="P1247" i="1"/>
  <c r="O1248" i="1" a="1"/>
  <c r="O1248" i="1"/>
  <c r="F1248" i="1" a="1"/>
  <c r="F1248" i="1"/>
  <c r="L1248" i="1" a="1"/>
  <c r="L1248" i="1" s="1"/>
  <c r="I1247" i="1" a="1"/>
  <c r="I1247" i="1"/>
  <c r="H1249" i="1" a="1"/>
  <c r="H1249" i="1"/>
  <c r="F1250" i="1" a="1"/>
  <c r="F1250" i="1"/>
  <c r="Q1249" i="1" a="1"/>
  <c r="Q1249" i="1" s="1"/>
  <c r="G1249" i="1" a="1"/>
  <c r="G1249" i="1"/>
  <c r="Q1248" i="1" a="1"/>
  <c r="Q1248" i="1" s="1"/>
  <c r="H1248" i="1" a="1"/>
  <c r="H1248" i="1" s="1"/>
  <c r="Q1247" i="1" a="1"/>
  <c r="Q1247" i="1" s="1"/>
  <c r="I1248" i="1" a="1"/>
  <c r="I1248" i="1" s="1"/>
  <c r="N1249" i="1" a="1"/>
  <c r="N1249" i="1" s="1"/>
  <c r="L1249" i="1" a="1"/>
  <c r="L1249" i="1"/>
  <c r="J1248" i="1" a="1"/>
  <c r="J1248" i="1"/>
  <c r="M1249" i="1" a="1"/>
  <c r="M1249" i="1" s="1"/>
  <c r="O1246" i="1" a="1"/>
  <c r="O1246" i="1" s="1"/>
  <c r="J1249" i="1" a="1"/>
  <c r="J1249" i="1"/>
  <c r="P1248" i="1" a="1"/>
  <c r="P1248" i="1" s="1"/>
  <c r="L1247" i="1" a="1"/>
  <c r="L1247" i="1" s="1"/>
  <c r="K1249" i="1" a="1"/>
  <c r="K1249" i="1" s="1"/>
  <c r="F1249" i="1" a="1"/>
  <c r="F1249" i="1"/>
  <c r="G1247" i="1" a="1"/>
  <c r="G1247" i="1"/>
  <c r="Q1246" i="1" a="1"/>
  <c r="Q1246" i="1" s="1"/>
  <c r="N1248" i="1" a="1"/>
  <c r="N1248" i="1"/>
  <c r="M1248" i="1" a="1"/>
  <c r="M1248" i="1"/>
  <c r="K1248" i="1" a="1"/>
  <c r="K1248" i="1"/>
  <c r="G1248" i="1" a="1"/>
  <c r="G1248" i="1" s="1"/>
  <c r="N1247" i="1" a="1"/>
  <c r="N1247" i="1"/>
  <c r="J1247" i="1" a="1"/>
  <c r="J1247" i="1" s="1"/>
  <c r="H1247" i="1" a="1"/>
  <c r="H1247" i="1"/>
  <c r="O1247" i="1" a="1"/>
  <c r="O1247" i="1" s="1"/>
  <c r="K1247" i="1" a="1"/>
  <c r="K1247" i="1" s="1"/>
  <c r="M1250" i="1" a="1"/>
  <c r="M1250" i="1"/>
  <c r="K1250" i="1" a="1"/>
  <c r="K1250" i="1" s="1"/>
  <c r="L1250" i="1" a="1"/>
  <c r="L1250" i="1" s="1"/>
  <c r="I1249" i="1" a="1"/>
  <c r="I1249" i="1"/>
  <c r="M1247" i="1" a="1"/>
  <c r="M1247" i="1" s="1"/>
  <c r="P1246" i="1" a="1"/>
  <c r="P1246" i="1" s="1"/>
  <c r="F1247" i="1" a="1"/>
  <c r="F1247" i="1"/>
  <c r="O1242" i="1" a="1"/>
  <c r="O1242" i="1" s="1"/>
  <c r="M1242" i="1" a="1"/>
  <c r="M1242" i="1"/>
  <c r="M1244" i="1" a="1"/>
  <c r="M1244" i="1" s="1"/>
  <c r="F1244" i="1" a="1"/>
  <c r="F1244" i="1" s="1"/>
  <c r="G1243" i="1" a="1"/>
  <c r="G1243" i="1" s="1"/>
  <c r="L1244" i="1" a="1"/>
  <c r="L1244" i="1"/>
  <c r="P1243" i="1" a="1"/>
  <c r="P1243" i="1"/>
  <c r="K1243" i="1" a="1"/>
  <c r="K1243" i="1" s="1"/>
  <c r="F1243" i="1" a="1"/>
  <c r="F1243" i="1" s="1"/>
  <c r="P1242" i="1" a="1"/>
  <c r="P1242" i="1"/>
  <c r="J1242" i="1" a="1"/>
  <c r="J1242" i="1"/>
  <c r="P1244" i="1" a="1"/>
  <c r="P1244" i="1"/>
  <c r="G1244" i="1" a="1"/>
  <c r="G1244" i="1" s="1"/>
  <c r="N1243" i="1" a="1"/>
  <c r="N1243" i="1"/>
  <c r="L1242" i="1" a="1"/>
  <c r="L1242" i="1"/>
  <c r="L1245" i="1" a="1"/>
  <c r="L1245" i="1"/>
  <c r="F1245" i="1" a="1"/>
  <c r="F1245" i="1"/>
  <c r="N1246" i="1" a="1"/>
  <c r="N1246" i="1"/>
  <c r="M1246" i="1" a="1"/>
  <c r="M1246" i="1" s="1"/>
  <c r="I1243" i="1" a="1"/>
  <c r="I1243" i="1"/>
  <c r="L1246" i="1" a="1"/>
  <c r="L1246" i="1" s="1"/>
  <c r="K1246" i="1" a="1"/>
  <c r="K1246" i="1"/>
  <c r="J1246" i="1" a="1"/>
  <c r="J1246" i="1" s="1"/>
  <c r="M1243" i="1" a="1"/>
  <c r="M1243" i="1" s="1"/>
  <c r="I1245" i="1" a="1"/>
  <c r="I1245" i="1" s="1"/>
  <c r="I1246" i="1" a="1"/>
  <c r="I1246" i="1"/>
  <c r="H1246" i="1" a="1"/>
  <c r="H1246" i="1" s="1"/>
  <c r="F1246" i="1" a="1"/>
  <c r="F1246" i="1" s="1"/>
  <c r="Q1243" i="1" a="1"/>
  <c r="Q1243" i="1" s="1"/>
  <c r="K1245" i="1" a="1"/>
  <c r="K1245" i="1" s="1"/>
  <c r="G1245" i="1" a="1"/>
  <c r="G1245" i="1" s="1"/>
  <c r="H1245" i="1" a="1"/>
  <c r="H1245" i="1" s="1"/>
  <c r="Q1244" i="1" a="1"/>
  <c r="Q1244" i="1" s="1"/>
  <c r="K1244" i="1" a="1"/>
  <c r="K1244" i="1" s="1"/>
  <c r="J1243" i="1" a="1"/>
  <c r="J1243" i="1" s="1"/>
  <c r="J1244" i="1" a="1"/>
  <c r="J1244" i="1"/>
  <c r="N1242" i="1" a="1"/>
  <c r="N1242" i="1" s="1"/>
  <c r="K1242" i="1" a="1"/>
  <c r="K1242" i="1"/>
  <c r="H1242" i="1" a="1"/>
  <c r="H1242" i="1"/>
  <c r="I1244" i="1" a="1"/>
  <c r="I1244" i="1"/>
  <c r="N1244" i="1" a="1"/>
  <c r="N1244" i="1"/>
  <c r="G1246" i="1" a="1"/>
  <c r="G1246" i="1" s="1"/>
  <c r="O1244" i="1" a="1"/>
  <c r="O1244" i="1"/>
  <c r="H1243" i="1" a="1"/>
  <c r="H1243" i="1" s="1"/>
  <c r="H1244" i="1" a="1"/>
  <c r="H1244" i="1"/>
  <c r="Q1245" i="1" a="1"/>
  <c r="Q1245" i="1" s="1"/>
  <c r="P1245" i="1" a="1"/>
  <c r="P1245" i="1"/>
  <c r="O1245" i="1" a="1"/>
  <c r="O1245" i="1"/>
  <c r="N1245" i="1" a="1"/>
  <c r="N1245" i="1"/>
  <c r="I1242" i="1" a="1"/>
  <c r="I1242" i="1" s="1"/>
  <c r="M1245" i="1" a="1"/>
  <c r="M1245" i="1" s="1"/>
  <c r="O1243" i="1" a="1"/>
  <c r="O1243" i="1" s="1"/>
  <c r="L1243" i="1" a="1"/>
  <c r="L1243" i="1" s="1"/>
  <c r="Q1242" i="1" a="1"/>
  <c r="Q1242" i="1" s="1"/>
  <c r="J1245" i="1" a="1"/>
  <c r="J1245" i="1"/>
  <c r="Q1241" i="1" a="1"/>
  <c r="Q1241" i="1" s="1"/>
  <c r="P1241" i="1" a="1"/>
  <c r="P1241" i="1" s="1"/>
  <c r="J1241" i="1" a="1"/>
  <c r="J1241" i="1" s="1"/>
  <c r="P1240" i="1" a="1"/>
  <c r="P1240" i="1" s="1"/>
  <c r="O1241" i="1" a="1"/>
  <c r="O1241" i="1"/>
  <c r="K1241" i="1" a="1"/>
  <c r="K1241" i="1" s="1"/>
  <c r="I1241" i="1" a="1"/>
  <c r="I1241" i="1"/>
  <c r="F1241" i="1" a="1"/>
  <c r="F1241" i="1" s="1"/>
  <c r="H1241" i="1" a="1"/>
  <c r="H1241" i="1" s="1"/>
  <c r="N1240" i="1" a="1"/>
  <c r="N1240" i="1" s="1"/>
  <c r="M1240" i="1" a="1"/>
  <c r="M1240" i="1" s="1"/>
  <c r="O1240" i="1" a="1"/>
  <c r="O1240" i="1"/>
  <c r="Q1240" i="1" a="1"/>
  <c r="Q1240" i="1"/>
  <c r="N1241" i="1" a="1"/>
  <c r="N1241" i="1"/>
  <c r="L1241" i="1" a="1"/>
  <c r="L1241" i="1"/>
  <c r="G1242" i="1" a="1"/>
  <c r="G1242" i="1" s="1"/>
  <c r="F1242" i="1" a="1"/>
  <c r="F1242" i="1"/>
  <c r="M1241" i="1" a="1"/>
  <c r="M1241" i="1"/>
  <c r="G1241" i="1" a="1"/>
  <c r="G1241" i="1"/>
  <c r="I1237" i="1" a="1"/>
  <c r="I1237" i="1" s="1"/>
  <c r="P1236" i="1" a="1"/>
  <c r="P1236" i="1" s="1"/>
  <c r="N1236" i="1" a="1"/>
  <c r="N1236" i="1" s="1"/>
  <c r="Q1236" i="1" a="1"/>
  <c r="Q1236" i="1"/>
  <c r="P1237" i="1" a="1"/>
  <c r="P1237" i="1" s="1"/>
  <c r="K1237" i="1" a="1"/>
  <c r="K1237" i="1"/>
  <c r="M1239" i="1" a="1"/>
  <c r="M1239" i="1" s="1"/>
  <c r="I1238" i="1" a="1"/>
  <c r="I1238" i="1" s="1"/>
  <c r="H1238" i="1" a="1"/>
  <c r="H1238" i="1" s="1"/>
  <c r="M1238" i="1" a="1"/>
  <c r="M1238" i="1"/>
  <c r="L1240" i="1" a="1"/>
  <c r="L1240" i="1" s="1"/>
  <c r="O1236" i="1" a="1"/>
  <c r="O1236" i="1" s="1"/>
  <c r="H1239" i="1" a="1"/>
  <c r="H1239" i="1" s="1"/>
  <c r="J1238" i="1" a="1"/>
  <c r="J1238" i="1" s="1"/>
  <c r="Q1237" i="1" a="1"/>
  <c r="Q1237" i="1" s="1"/>
  <c r="K1240" i="1" a="1"/>
  <c r="K1240" i="1"/>
  <c r="J1237" i="1" a="1"/>
  <c r="J1237" i="1" s="1"/>
  <c r="O1237" i="1" a="1"/>
  <c r="O1237" i="1" s="1"/>
  <c r="G1240" i="1" a="1"/>
  <c r="G1240" i="1" s="1"/>
  <c r="I1239" i="1" a="1"/>
  <c r="I1239" i="1" s="1"/>
  <c r="L1238" i="1" a="1"/>
  <c r="L1238" i="1" s="1"/>
  <c r="N1239" i="1" a="1"/>
  <c r="N1239" i="1"/>
  <c r="L1239" i="1" a="1"/>
  <c r="L1239" i="1"/>
  <c r="F1239" i="1" a="1"/>
  <c r="F1239" i="1"/>
  <c r="J1240" i="1" a="1"/>
  <c r="J1240" i="1"/>
  <c r="G1238" i="1" a="1"/>
  <c r="G1238" i="1" s="1"/>
  <c r="P1239" i="1" a="1"/>
  <c r="P1239" i="1"/>
  <c r="I1240" i="1" a="1"/>
  <c r="I1240" i="1" s="1"/>
  <c r="H1240" i="1" a="1"/>
  <c r="H1240" i="1"/>
  <c r="O1239" i="1" a="1"/>
  <c r="O1239" i="1" s="1"/>
  <c r="F1240" i="1" a="1"/>
  <c r="F1240" i="1" s="1"/>
  <c r="J1239" i="1" a="1"/>
  <c r="J1239" i="1"/>
  <c r="Q1239" i="1" a="1"/>
  <c r="Q1239" i="1" s="1"/>
  <c r="K1239" i="1" a="1"/>
  <c r="K1239" i="1"/>
  <c r="G1239" i="1" a="1"/>
  <c r="G1239" i="1"/>
  <c r="Q1238" i="1" a="1"/>
  <c r="Q1238" i="1" s="1"/>
  <c r="P1238" i="1" a="1"/>
  <c r="P1238" i="1" s="1"/>
  <c r="O1238" i="1" a="1"/>
  <c r="O1238" i="1" s="1"/>
  <c r="N1238" i="1" a="1"/>
  <c r="N1238" i="1"/>
  <c r="N1237" i="1" a="1"/>
  <c r="N1237" i="1" s="1"/>
  <c r="M1237" i="1" a="1"/>
  <c r="M1237" i="1" s="1"/>
  <c r="H1237" i="1" a="1"/>
  <c r="H1237" i="1"/>
  <c r="L1237" i="1" a="1"/>
  <c r="L1237" i="1" s="1"/>
  <c r="F1238" i="1" a="1"/>
  <c r="F1238" i="1"/>
  <c r="G1237" i="1" a="1"/>
  <c r="G1237" i="1" s="1"/>
  <c r="K1238" i="1" a="1"/>
  <c r="K1238" i="1"/>
  <c r="F1237" i="1" a="1"/>
  <c r="F1237" i="1" s="1"/>
  <c r="J1236" i="1" a="1"/>
  <c r="J1236" i="1"/>
  <c r="N1233" i="1" a="1"/>
  <c r="N1233" i="1" s="1"/>
  <c r="L1234" i="1" a="1"/>
  <c r="L1234" i="1" s="1"/>
  <c r="M1236" i="1" a="1"/>
  <c r="M1236" i="1"/>
  <c r="H1236" i="1" a="1"/>
  <c r="H1236" i="1"/>
  <c r="H1235" i="1" a="1"/>
  <c r="H1235" i="1"/>
  <c r="Q1234" i="1" a="1"/>
  <c r="Q1234" i="1"/>
  <c r="L1236" i="1" a="1"/>
  <c r="L1236" i="1" s="1"/>
  <c r="I1234" i="1" a="1"/>
  <c r="I1234" i="1"/>
  <c r="K1236" i="1" a="1"/>
  <c r="K1236" i="1" s="1"/>
  <c r="H1234" i="1" a="1"/>
  <c r="H1234" i="1"/>
  <c r="I1236" i="1" a="1"/>
  <c r="I1236" i="1"/>
  <c r="G1236" i="1" a="1"/>
  <c r="G1236" i="1"/>
  <c r="F1235" i="1" a="1"/>
  <c r="F1235" i="1" s="1"/>
  <c r="O1234" i="1" a="1"/>
  <c r="O1234" i="1" s="1"/>
  <c r="M1234" i="1" a="1"/>
  <c r="M1234" i="1" s="1"/>
  <c r="F1236" i="1" a="1"/>
  <c r="F1236" i="1"/>
  <c r="J1234" i="1" a="1"/>
  <c r="J1234" i="1" s="1"/>
  <c r="Q1235" i="1" a="1"/>
  <c r="Q1235" i="1" s="1"/>
  <c r="K1233" i="1" a="1"/>
  <c r="K1233" i="1" s="1"/>
  <c r="P1235" i="1" a="1"/>
  <c r="P1235" i="1"/>
  <c r="L1233" i="1" a="1"/>
  <c r="L1233" i="1" s="1"/>
  <c r="I1233" i="1" a="1"/>
  <c r="I1233" i="1" s="1"/>
  <c r="N1234" i="1" a="1"/>
  <c r="N1234" i="1" s="1"/>
  <c r="M1233" i="1" a="1"/>
  <c r="M1233" i="1" s="1"/>
  <c r="F1233" i="1" a="1"/>
  <c r="F1233" i="1" s="1"/>
  <c r="P1233" i="1" a="1"/>
  <c r="P1233" i="1" s="1"/>
  <c r="O1233" i="1" a="1"/>
  <c r="O1233" i="1" s="1"/>
  <c r="O1235" i="1" a="1"/>
  <c r="O1235" i="1"/>
  <c r="N1235" i="1" a="1"/>
  <c r="N1235" i="1"/>
  <c r="M1235" i="1" a="1"/>
  <c r="M1235" i="1" s="1"/>
  <c r="L1235" i="1" a="1"/>
  <c r="L1235" i="1" s="1"/>
  <c r="K1235" i="1" a="1"/>
  <c r="K1235" i="1"/>
  <c r="J1235" i="1" a="1"/>
  <c r="J1235" i="1"/>
  <c r="I1235" i="1" a="1"/>
  <c r="I1235" i="1"/>
  <c r="G1235" i="1" a="1"/>
  <c r="G1235" i="1"/>
  <c r="K1234" i="1" a="1"/>
  <c r="K1234" i="1" s="1"/>
  <c r="P1234" i="1" a="1"/>
  <c r="P1234" i="1"/>
  <c r="G1234" i="1" a="1"/>
  <c r="G1234" i="1"/>
  <c r="Q1233" i="1" a="1"/>
  <c r="Q1233" i="1"/>
  <c r="J1233" i="1" a="1"/>
  <c r="J1233" i="1"/>
  <c r="F1234" i="1" a="1"/>
  <c r="F1234" i="1" s="1"/>
  <c r="H1233" i="1" a="1"/>
  <c r="H1233" i="1" s="1"/>
  <c r="G1233" i="1" a="1"/>
  <c r="G1233" i="1" s="1"/>
  <c r="F1231" i="1" a="1"/>
  <c r="F1231" i="1" s="1"/>
  <c r="L1230" i="1" a="1"/>
  <c r="L1230" i="1"/>
  <c r="K1230" i="1" a="1"/>
  <c r="K1230" i="1" s="1"/>
  <c r="K1231" i="1" a="1"/>
  <c r="K1231" i="1" s="1"/>
  <c r="G1232" i="1" a="1"/>
  <c r="G1232" i="1" s="1"/>
  <c r="I1231" i="1" a="1"/>
  <c r="I1231" i="1"/>
  <c r="Q1230" i="1" a="1"/>
  <c r="Q1230" i="1" s="1"/>
  <c r="H1232" i="1" a="1"/>
  <c r="H1232" i="1" s="1"/>
  <c r="O1231" i="1" a="1"/>
  <c r="O1231" i="1" s="1"/>
  <c r="O1230" i="1" a="1"/>
  <c r="O1230" i="1" s="1"/>
  <c r="I1232" i="1" a="1"/>
  <c r="I1232" i="1" s="1"/>
  <c r="N1231" i="1" a="1"/>
  <c r="N1231" i="1" s="1"/>
  <c r="M1231" i="1" a="1"/>
  <c r="M1231" i="1"/>
  <c r="L1231" i="1" a="1"/>
  <c r="L1231" i="1" s="1"/>
  <c r="J1231" i="1" a="1"/>
  <c r="J1231" i="1"/>
  <c r="G1231" i="1" a="1"/>
  <c r="G1231" i="1" s="1"/>
  <c r="Q1232" i="1" a="1"/>
  <c r="Q1232" i="1" s="1"/>
  <c r="J1232" i="1" a="1"/>
  <c r="J1232" i="1"/>
  <c r="P1232" i="1" a="1"/>
  <c r="P1232" i="1"/>
  <c r="O1232" i="1" a="1"/>
  <c r="O1232" i="1"/>
  <c r="N1232" i="1" a="1"/>
  <c r="N1232" i="1"/>
  <c r="M1232" i="1" a="1"/>
  <c r="M1232" i="1" s="1"/>
  <c r="M1230" i="1" a="1"/>
  <c r="M1230" i="1"/>
  <c r="L1232" i="1" a="1"/>
  <c r="L1232" i="1" s="1"/>
  <c r="K1232" i="1" a="1"/>
  <c r="K1232" i="1"/>
  <c r="Q1231" i="1" a="1"/>
  <c r="Q1231" i="1" s="1"/>
  <c r="F1232" i="1" a="1"/>
  <c r="F1232" i="1" s="1"/>
  <c r="P1231" i="1" a="1"/>
  <c r="P1231" i="1" s="1"/>
  <c r="H1231" i="1" a="1"/>
  <c r="H1231" i="1" s="1"/>
  <c r="N1230" i="1" a="1"/>
  <c r="N1230" i="1" s="1"/>
  <c r="P1230" i="1" a="1"/>
  <c r="P1230" i="1"/>
  <c r="G1956" i="1" a="1"/>
  <c r="G1956" i="1" s="1"/>
  <c r="I1955" i="1" a="1"/>
  <c r="I1955" i="1" s="1"/>
  <c r="M1955" i="1" a="1"/>
  <c r="M1955" i="1" s="1"/>
  <c r="L1957" i="1" a="1"/>
  <c r="L1957" i="1"/>
  <c r="I1958" i="1" a="1"/>
  <c r="I1958" i="1" s="1"/>
  <c r="G1958" i="1" a="1"/>
  <c r="G1958" i="1" s="1"/>
  <c r="G1957" i="1" a="1"/>
  <c r="G1957" i="1" s="1"/>
  <c r="H1956" i="1" a="1"/>
  <c r="H1956" i="1" s="1"/>
  <c r="H1957" i="1" a="1"/>
  <c r="H1957" i="1" s="1"/>
  <c r="F1958" i="1" a="1"/>
  <c r="F1958" i="1" s="1"/>
  <c r="K1956" i="1" a="1"/>
  <c r="K1956" i="1" s="1"/>
  <c r="G1955" i="1" a="1"/>
  <c r="G1955" i="1" s="1"/>
  <c r="J1955" i="1" a="1"/>
  <c r="J1955" i="1"/>
  <c r="O1956" i="1" a="1"/>
  <c r="O1956" i="1" s="1"/>
  <c r="H1955" i="1" a="1"/>
  <c r="H1955" i="1" s="1"/>
  <c r="I1957" i="1" a="1"/>
  <c r="I1957" i="1"/>
  <c r="P1956" i="1" a="1"/>
  <c r="P1956" i="1"/>
  <c r="L1955" i="1" a="1"/>
  <c r="L1955" i="1"/>
  <c r="O1953" i="1" a="1"/>
  <c r="O1953" i="1"/>
  <c r="N1956" i="1" a="1"/>
  <c r="N1956" i="1" s="1"/>
  <c r="N1955" i="1" a="1"/>
  <c r="N1955" i="1"/>
  <c r="Q1957" i="1" a="1"/>
  <c r="Q1957" i="1" s="1"/>
  <c r="M1958" i="1" a="1"/>
  <c r="M1958" i="1" s="1"/>
  <c r="J1959" i="1" a="1"/>
  <c r="J1959" i="1" s="1"/>
  <c r="N1958" i="1" a="1"/>
  <c r="N1958" i="1"/>
  <c r="M1957" i="1" a="1"/>
  <c r="M1957" i="1"/>
  <c r="L1956" i="1" a="1"/>
  <c r="L1956" i="1" s="1"/>
  <c r="F1955" i="1" a="1"/>
  <c r="F1955" i="1" s="1"/>
  <c r="K1955" i="1" a="1"/>
  <c r="K1955" i="1"/>
  <c r="F1957" i="1" a="1"/>
  <c r="F1957" i="1" s="1"/>
  <c r="F1956" i="1" a="1"/>
  <c r="F1956" i="1" s="1"/>
  <c r="P1955" i="1" a="1"/>
  <c r="P1955" i="1" s="1"/>
  <c r="Q1953" i="1" a="1"/>
  <c r="Q1953" i="1"/>
  <c r="J1958" i="1" a="1"/>
  <c r="J1958" i="1" s="1"/>
  <c r="M1956" i="1" a="1"/>
  <c r="M1956" i="1" s="1"/>
  <c r="O1957" i="1" a="1"/>
  <c r="O1957" i="1" s="1"/>
  <c r="P1957" i="1" a="1"/>
  <c r="P1957" i="1" s="1"/>
  <c r="L1959" i="1" a="1"/>
  <c r="L1959" i="1"/>
  <c r="Q1958" i="1" a="1"/>
  <c r="Q1958" i="1" s="1"/>
  <c r="J1956" i="1" a="1"/>
  <c r="J1956" i="1"/>
  <c r="G1959" i="1" a="1"/>
  <c r="G1959" i="1" s="1"/>
  <c r="Q1956" i="1" a="1"/>
  <c r="Q1956" i="1"/>
  <c r="I1956" i="1" a="1"/>
  <c r="I1956" i="1" s="1"/>
  <c r="N1957" i="1" a="1"/>
  <c r="N1957" i="1" s="1"/>
  <c r="J1957" i="1" a="1"/>
  <c r="J1957" i="1"/>
  <c r="Q1955" i="1" a="1"/>
  <c r="Q1955" i="1"/>
  <c r="K1959" i="1" a="1"/>
  <c r="K1959" i="1"/>
  <c r="I1959" i="1" a="1"/>
  <c r="I1959" i="1" s="1"/>
  <c r="H1959" i="1" a="1"/>
  <c r="H1959" i="1" s="1"/>
  <c r="F1959" i="1" a="1"/>
  <c r="F1959" i="1"/>
  <c r="N1953" i="1" a="1"/>
  <c r="N1953" i="1" s="1"/>
  <c r="P1953" i="1" a="1"/>
  <c r="P1953" i="1" s="1"/>
  <c r="H1958" i="1" a="1"/>
  <c r="H1958" i="1" s="1"/>
  <c r="O1955" i="1" a="1"/>
  <c r="O1955" i="1"/>
  <c r="K1957" i="1" a="1"/>
  <c r="K1957" i="1" s="1"/>
  <c r="P1958" i="1" a="1"/>
  <c r="P1958" i="1" s="1"/>
  <c r="O1958" i="1" a="1"/>
  <c r="O1958" i="1" s="1"/>
  <c r="L1958" i="1" a="1"/>
  <c r="L1958" i="1"/>
  <c r="K1958" i="1" a="1"/>
  <c r="K1958" i="1" s="1"/>
  <c r="J1953" i="1" a="1"/>
  <c r="J1953" i="1" s="1"/>
  <c r="N1951" i="1" a="1"/>
  <c r="N1951" i="1" s="1"/>
  <c r="I1953" i="1" a="1"/>
  <c r="I1953" i="1"/>
  <c r="F1953" i="1" a="1"/>
  <c r="F1953" i="1" s="1"/>
  <c r="Q1950" i="1" a="1"/>
  <c r="Q1950" i="1"/>
  <c r="L1950" i="1" a="1"/>
  <c r="L1950" i="1" s="1"/>
  <c r="M1952" i="1" a="1"/>
  <c r="M1952" i="1" s="1"/>
  <c r="P1951" i="1" a="1"/>
  <c r="P1951" i="1"/>
  <c r="M1951" i="1" a="1"/>
  <c r="M1951" i="1"/>
  <c r="K1948" i="1" a="1"/>
  <c r="K1948" i="1" s="1"/>
  <c r="M1950" i="1" a="1"/>
  <c r="M1950" i="1"/>
  <c r="J1950" i="1" a="1"/>
  <c r="J1950" i="1"/>
  <c r="N1950" i="1" a="1"/>
  <c r="N1950" i="1" s="1"/>
  <c r="F1951" i="1" a="1"/>
  <c r="F1951" i="1"/>
  <c r="J1948" i="1" a="1"/>
  <c r="J1948" i="1"/>
  <c r="Q1952" i="1" a="1"/>
  <c r="Q1952" i="1"/>
  <c r="I1950" i="1" a="1"/>
  <c r="I1950" i="1"/>
  <c r="K1951" i="1" a="1"/>
  <c r="K1951" i="1" s="1"/>
  <c r="P1952" i="1" a="1"/>
  <c r="P1952" i="1" s="1"/>
  <c r="G1952" i="1" a="1"/>
  <c r="G1952" i="1" s="1"/>
  <c r="N1949" i="1" a="1"/>
  <c r="N1949" i="1" s="1"/>
  <c r="H1953" i="1" a="1"/>
  <c r="H1953" i="1" s="1"/>
  <c r="G1953" i="1" a="1"/>
  <c r="G1953" i="1" s="1"/>
  <c r="O1952" i="1" a="1"/>
  <c r="O1952" i="1"/>
  <c r="G1951" i="1" a="1"/>
  <c r="G1951" i="1" s="1"/>
  <c r="P1950" i="1" a="1"/>
  <c r="P1950" i="1" s="1"/>
  <c r="Q1949" i="1" a="1"/>
  <c r="Q1949" i="1" s="1"/>
  <c r="N1952" i="1" a="1"/>
  <c r="N1952" i="1"/>
  <c r="L1952" i="1" a="1"/>
  <c r="L1952" i="1" s="1"/>
  <c r="I1951" i="1" a="1"/>
  <c r="I1951" i="1" s="1"/>
  <c r="G1949" i="1" a="1"/>
  <c r="G1949" i="1" s="1"/>
  <c r="Q1948" i="1" a="1"/>
  <c r="Q1948" i="1"/>
  <c r="K1949" i="1" a="1"/>
  <c r="K1949" i="1"/>
  <c r="M1949" i="1" a="1"/>
  <c r="M1949" i="1" s="1"/>
  <c r="K1952" i="1" a="1"/>
  <c r="K1952" i="1" s="1"/>
  <c r="J1952" i="1" a="1"/>
  <c r="J1952" i="1" s="1"/>
  <c r="H1952" i="1" a="1"/>
  <c r="H1952" i="1"/>
  <c r="M1948" i="1" a="1"/>
  <c r="M1948" i="1" s="1"/>
  <c r="H1950" i="1" a="1"/>
  <c r="H1950" i="1" s="1"/>
  <c r="J1949" i="1" a="1"/>
  <c r="J1949" i="1"/>
  <c r="F1952" i="1" a="1"/>
  <c r="F1952" i="1"/>
  <c r="F1950" i="1" a="1"/>
  <c r="F1950" i="1" s="1"/>
  <c r="I1952" i="1" a="1"/>
  <c r="I1952" i="1"/>
  <c r="P1949" i="1" a="1"/>
  <c r="P1949" i="1"/>
  <c r="Q1951" i="1" a="1"/>
  <c r="Q1951" i="1"/>
  <c r="O1951" i="1" a="1"/>
  <c r="O1951" i="1"/>
  <c r="L1951" i="1" a="1"/>
  <c r="L1951" i="1"/>
  <c r="J1951" i="1" a="1"/>
  <c r="J1951" i="1" s="1"/>
  <c r="O1950" i="1" a="1"/>
  <c r="O1950" i="1" s="1"/>
  <c r="K1950" i="1" a="1"/>
  <c r="K1950" i="1" s="1"/>
  <c r="H1949" i="1" a="1"/>
  <c r="H1949" i="1" s="1"/>
  <c r="O1948" i="1" a="1"/>
  <c r="O1948" i="1"/>
  <c r="G1950" i="1" a="1"/>
  <c r="G1950" i="1" s="1"/>
  <c r="L1949" i="1" a="1"/>
  <c r="L1949" i="1" s="1"/>
  <c r="I1949" i="1" a="1"/>
  <c r="I1949" i="1" s="1"/>
  <c r="F1949" i="1" a="1"/>
  <c r="F1949" i="1" s="1"/>
  <c r="O1949" i="1" a="1"/>
  <c r="O1949" i="1"/>
  <c r="P1948" i="1" a="1"/>
  <c r="P1948" i="1" s="1"/>
  <c r="H1951" i="1" a="1"/>
  <c r="H1951" i="1" s="1"/>
  <c r="L1948" i="1" a="1"/>
  <c r="L1948" i="1" s="1"/>
  <c r="N1948" i="1" a="1"/>
  <c r="N1948" i="1"/>
  <c r="M1953" i="1" a="1"/>
  <c r="M1953" i="1" s="1"/>
  <c r="L1953" i="1" a="1"/>
  <c r="L1953" i="1" s="1"/>
  <c r="K1953" i="1" a="1"/>
  <c r="K1953" i="1" s="1"/>
  <c r="N1943" i="1" a="1"/>
  <c r="N1943" i="1" s="1"/>
  <c r="O1945" i="1" a="1"/>
  <c r="O1945" i="1" s="1"/>
  <c r="I1945" i="1" a="1"/>
  <c r="I1945" i="1"/>
  <c r="P1944" i="1" a="1"/>
  <c r="P1944" i="1" s="1"/>
  <c r="O1943" i="1" a="1"/>
  <c r="O1943" i="1" s="1"/>
  <c r="K1943" i="1" a="1"/>
  <c r="K1943" i="1"/>
  <c r="H1947" i="1" a="1"/>
  <c r="H1947" i="1" s="1"/>
  <c r="P1946" i="1" a="1"/>
  <c r="P1946" i="1"/>
  <c r="M1946" i="1" a="1"/>
  <c r="M1946" i="1"/>
  <c r="L1943" i="1" a="1"/>
  <c r="L1943" i="1"/>
  <c r="J1946" i="1" a="1"/>
  <c r="J1946" i="1"/>
  <c r="H1945" i="1" a="1"/>
  <c r="H1945" i="1" s="1"/>
  <c r="J1944" i="1" a="1"/>
  <c r="J1944" i="1"/>
  <c r="G1943" i="1" a="1"/>
  <c r="G1943" i="1" s="1"/>
  <c r="N1945" i="1" a="1"/>
  <c r="N1945" i="1" s="1"/>
  <c r="M1944" i="1" a="1"/>
  <c r="M1944" i="1" s="1"/>
  <c r="P1943" i="1" a="1"/>
  <c r="P1943" i="1" s="1"/>
  <c r="H1944" i="1" a="1"/>
  <c r="H1944" i="1"/>
  <c r="I1943" i="1" a="1"/>
  <c r="I1943" i="1" s="1"/>
  <c r="I1948" i="1" a="1"/>
  <c r="I1948" i="1" s="1"/>
  <c r="G1945" i="1" a="1"/>
  <c r="G1945" i="1" s="1"/>
  <c r="J1943" i="1" a="1"/>
  <c r="J1943" i="1"/>
  <c r="H1948" i="1" a="1"/>
  <c r="H1948" i="1" s="1"/>
  <c r="L1945" i="1" a="1"/>
  <c r="L1945" i="1" s="1"/>
  <c r="G1948" i="1" a="1"/>
  <c r="G1948" i="1" s="1"/>
  <c r="F1948" i="1" a="1"/>
  <c r="F1948" i="1" s="1"/>
  <c r="Q1944" i="1" a="1"/>
  <c r="Q1944" i="1"/>
  <c r="O1947" i="1" a="1"/>
  <c r="O1947" i="1"/>
  <c r="F1947" i="1" a="1"/>
  <c r="F1947" i="1" s="1"/>
  <c r="N1944" i="1" a="1"/>
  <c r="N1944" i="1" s="1"/>
  <c r="M1947" i="1" a="1"/>
  <c r="M1947" i="1"/>
  <c r="J1947" i="1" a="1"/>
  <c r="J1947" i="1"/>
  <c r="I1947" i="1" a="1"/>
  <c r="I1947" i="1" s="1"/>
  <c r="G1947" i="1" a="1"/>
  <c r="G1947" i="1"/>
  <c r="G1946" i="1" a="1"/>
  <c r="G1946" i="1" s="1"/>
  <c r="L1946" i="1" a="1"/>
  <c r="L1946" i="1" s="1"/>
  <c r="F1944" i="1" a="1"/>
  <c r="F1944" i="1" s="1"/>
  <c r="K1946" i="1" a="1"/>
  <c r="K1946" i="1"/>
  <c r="P1945" i="1" a="1"/>
  <c r="P1945" i="1"/>
  <c r="M1945" i="1" a="1"/>
  <c r="M1945" i="1"/>
  <c r="I1944" i="1" a="1"/>
  <c r="I1944" i="1"/>
  <c r="Q1946" i="1" a="1"/>
  <c r="Q1946" i="1" s="1"/>
  <c r="F1946" i="1" a="1"/>
  <c r="F1946" i="1" s="1"/>
  <c r="K1945" i="1" a="1"/>
  <c r="K1945" i="1" s="1"/>
  <c r="L1944" i="1" a="1"/>
  <c r="L1944" i="1"/>
  <c r="F1943" i="1" a="1"/>
  <c r="F1943" i="1" s="1"/>
  <c r="Q1947" i="1" a="1"/>
  <c r="Q1947" i="1" s="1"/>
  <c r="P1947" i="1" a="1"/>
  <c r="P1947" i="1"/>
  <c r="N1947" i="1" a="1"/>
  <c r="N1947" i="1" s="1"/>
  <c r="J1945" i="1" a="1"/>
  <c r="J1945" i="1" s="1"/>
  <c r="O1946" i="1" a="1"/>
  <c r="O1946" i="1" s="1"/>
  <c r="H1943" i="1" a="1"/>
  <c r="H1943" i="1" s="1"/>
  <c r="H1946" i="1" a="1"/>
  <c r="H1946" i="1"/>
  <c r="N1946" i="1" a="1"/>
  <c r="N1946" i="1"/>
  <c r="K1947" i="1" a="1"/>
  <c r="K1947" i="1"/>
  <c r="M1943" i="1" a="1"/>
  <c r="M1943" i="1"/>
  <c r="Q1945" i="1" a="1"/>
  <c r="Q1945" i="1" s="1"/>
  <c r="G1944" i="1" a="1"/>
  <c r="G1944" i="1"/>
  <c r="Q1943" i="1" a="1"/>
  <c r="Q1943" i="1"/>
  <c r="O1944" i="1" a="1"/>
  <c r="O1944" i="1" s="1"/>
  <c r="L1947" i="1" a="1"/>
  <c r="L1947" i="1" s="1"/>
  <c r="F1945" i="1" a="1"/>
  <c r="F1945" i="1" s="1"/>
  <c r="K1944" i="1" a="1"/>
  <c r="K1944" i="1" s="1"/>
  <c r="I1946" i="1" a="1"/>
  <c r="I1946" i="1"/>
  <c r="N1939" i="1" a="1"/>
  <c r="N1939" i="1"/>
  <c r="L1938" i="1" a="1"/>
  <c r="L1938" i="1" s="1"/>
  <c r="P1942" i="1" a="1"/>
  <c r="P1942" i="1" s="1"/>
  <c r="O1942" i="1" a="1"/>
  <c r="O1942" i="1" s="1"/>
  <c r="N1942" i="1" a="1"/>
  <c r="N1942" i="1" s="1"/>
  <c r="P1941" i="1" a="1"/>
  <c r="P1941" i="1"/>
  <c r="L1942" i="1" a="1"/>
  <c r="L1942" i="1" s="1"/>
  <c r="J1939" i="1" a="1"/>
  <c r="J1939" i="1" s="1"/>
  <c r="G1941" i="1" a="1"/>
  <c r="G1941" i="1" s="1"/>
  <c r="J1942" i="1" a="1"/>
  <c r="J1942" i="1" s="1"/>
  <c r="O1940" i="1" a="1"/>
  <c r="O1940" i="1" s="1"/>
  <c r="I1940" i="1" a="1"/>
  <c r="I1940" i="1" s="1"/>
  <c r="F1940" i="1" a="1"/>
  <c r="F1940" i="1"/>
  <c r="P1940" i="1" a="1"/>
  <c r="P1940" i="1" s="1"/>
  <c r="F1941" i="1" a="1"/>
  <c r="F1941" i="1" s="1"/>
  <c r="O1939" i="1" a="1"/>
  <c r="O1939" i="1" s="1"/>
  <c r="F1942" i="1" a="1"/>
  <c r="F1942" i="1" s="1"/>
  <c r="L1941" i="1" a="1"/>
  <c r="L1941" i="1"/>
  <c r="M1940" i="1" a="1"/>
  <c r="M1940" i="1"/>
  <c r="H1940" i="1" a="1"/>
  <c r="H1940" i="1"/>
  <c r="K1938" i="1" a="1"/>
  <c r="K1938" i="1" s="1"/>
  <c r="O1941" i="1" a="1"/>
  <c r="O1941" i="1" s="1"/>
  <c r="M1939" i="1" a="1"/>
  <c r="M1939" i="1" s="1"/>
  <c r="L1940" i="1" a="1"/>
  <c r="L1940" i="1"/>
  <c r="M1938" i="1" a="1"/>
  <c r="M1938" i="1" s="1"/>
  <c r="I1941" i="1" a="1"/>
  <c r="I1941" i="1" s="1"/>
  <c r="K1939" i="1" a="1"/>
  <c r="K1939" i="1" s="1"/>
  <c r="F1938" i="1" a="1"/>
  <c r="F1938" i="1" s="1"/>
  <c r="Q1940" i="1" a="1"/>
  <c r="Q1940" i="1"/>
  <c r="G1942" i="1" a="1"/>
  <c r="G1942" i="1" s="1"/>
  <c r="K1942" i="1" a="1"/>
  <c r="K1942" i="1" s="1"/>
  <c r="I1942" i="1" a="1"/>
  <c r="I1942" i="1" s="1"/>
  <c r="H1942" i="1" a="1"/>
  <c r="H1942" i="1" s="1"/>
  <c r="N1941" i="1" a="1"/>
  <c r="N1941" i="1" s="1"/>
  <c r="I1939" i="1" a="1"/>
  <c r="I1939" i="1"/>
  <c r="K1940" i="1" a="1"/>
  <c r="K1940" i="1" s="1"/>
  <c r="M1941" i="1" a="1"/>
  <c r="M1941" i="1"/>
  <c r="H1938" i="1" a="1"/>
  <c r="H1938" i="1" s="1"/>
  <c r="N1940" i="1" a="1"/>
  <c r="N1940" i="1" s="1"/>
  <c r="G1940" i="1" a="1"/>
  <c r="G1940" i="1" s="1"/>
  <c r="P1938" i="1" a="1"/>
  <c r="P1938" i="1" s="1"/>
  <c r="J1941" i="1" a="1"/>
  <c r="J1941" i="1"/>
  <c r="H1939" i="1" a="1"/>
  <c r="H1939" i="1" s="1"/>
  <c r="G1939" i="1" a="1"/>
  <c r="G1939" i="1" s="1"/>
  <c r="G1938" i="1" a="1"/>
  <c r="G1938" i="1" s="1"/>
  <c r="H1941" i="1" a="1"/>
  <c r="H1941" i="1" s="1"/>
  <c r="Q1939" i="1" a="1"/>
  <c r="Q1939" i="1"/>
  <c r="P1939" i="1" a="1"/>
  <c r="P1939" i="1"/>
  <c r="F1939" i="1" a="1"/>
  <c r="F1939" i="1"/>
  <c r="O1938" i="1" a="1"/>
  <c r="O1938" i="1" s="1"/>
  <c r="I1938" i="1" a="1"/>
  <c r="I1938" i="1" s="1"/>
  <c r="L1939" i="1" a="1"/>
  <c r="L1939" i="1"/>
  <c r="K1941" i="1" a="1"/>
  <c r="K1941" i="1"/>
  <c r="Q1938" i="1" a="1"/>
  <c r="Q1938" i="1"/>
  <c r="N1938" i="1" a="1"/>
  <c r="N1938" i="1"/>
  <c r="Q1942" i="1" a="1"/>
  <c r="Q1942" i="1" s="1"/>
  <c r="M1942" i="1" a="1"/>
  <c r="M1942" i="1" s="1"/>
  <c r="Q1941" i="1" a="1"/>
  <c r="Q1941" i="1" s="1"/>
  <c r="J1940" i="1" a="1"/>
  <c r="J1940" i="1" s="1"/>
  <c r="J1938" i="1" a="1"/>
  <c r="J1938" i="1" s="1"/>
  <c r="J1936" i="1" a="1"/>
  <c r="J1936" i="1" s="1"/>
  <c r="L1935" i="1" a="1"/>
  <c r="L1935" i="1" s="1"/>
  <c r="N1937" i="1" a="1"/>
  <c r="N1937" i="1" s="1"/>
  <c r="H1936" i="1" a="1"/>
  <c r="H1936" i="1" s="1"/>
  <c r="I1935" i="1" a="1"/>
  <c r="I1935" i="1" s="1"/>
  <c r="J1937" i="1" a="1"/>
  <c r="J1937" i="1"/>
  <c r="Q1935" i="1" a="1"/>
  <c r="Q1935" i="1" s="1"/>
  <c r="F1935" i="1" a="1"/>
  <c r="F1935" i="1" s="1"/>
  <c r="P1934" i="1" a="1"/>
  <c r="P1934" i="1" s="1"/>
  <c r="F1937" i="1" a="1"/>
  <c r="F1937" i="1"/>
  <c r="O1933" i="1" a="1"/>
  <c r="O1933" i="1"/>
  <c r="M1936" i="1" a="1"/>
  <c r="M1936" i="1" s="1"/>
  <c r="G1936" i="1" a="1"/>
  <c r="G1936" i="1"/>
  <c r="G1935" i="1" a="1"/>
  <c r="G1935" i="1" s="1"/>
  <c r="F1934" i="1" a="1"/>
  <c r="F1934" i="1" s="1"/>
  <c r="I1937" i="1" a="1"/>
  <c r="I1937" i="1"/>
  <c r="P1937" i="1" a="1"/>
  <c r="P1937" i="1"/>
  <c r="O1937" i="1" a="1"/>
  <c r="O1937" i="1"/>
  <c r="M1937" i="1" a="1"/>
  <c r="M1937" i="1" s="1"/>
  <c r="N1934" i="1" a="1"/>
  <c r="N1934" i="1" s="1"/>
  <c r="J1934" i="1" a="1"/>
  <c r="J1934" i="1" s="1"/>
  <c r="L1937" i="1" a="1"/>
  <c r="L1937" i="1"/>
  <c r="O1935" i="1" a="1"/>
  <c r="O1935" i="1" s="1"/>
  <c r="M1934" i="1" a="1"/>
  <c r="M1934" i="1"/>
  <c r="G1937" i="1" a="1"/>
  <c r="G1937" i="1" s="1"/>
  <c r="J1935" i="1" a="1"/>
  <c r="J1935" i="1" s="1"/>
  <c r="H1934" i="1" a="1"/>
  <c r="H1934" i="1"/>
  <c r="L1934" i="1" a="1"/>
  <c r="L1934" i="1" s="1"/>
  <c r="N1933" i="1" a="1"/>
  <c r="N1933" i="1" s="1"/>
  <c r="K1936" i="1" a="1"/>
  <c r="K1936" i="1" s="1"/>
  <c r="I1934" i="1" a="1"/>
  <c r="I1934" i="1" s="1"/>
  <c r="K1937" i="1" a="1"/>
  <c r="K1937" i="1" s="1"/>
  <c r="Q1936" i="1" a="1"/>
  <c r="Q1936" i="1" s="1"/>
  <c r="K1935" i="1" a="1"/>
  <c r="K1935" i="1"/>
  <c r="I1936" i="1" a="1"/>
  <c r="I1936" i="1"/>
  <c r="M1935" i="1" a="1"/>
  <c r="M1935" i="1" s="1"/>
  <c r="N1936" i="1" a="1"/>
  <c r="N1936" i="1" s="1"/>
  <c r="K1934" i="1" a="1"/>
  <c r="K1934" i="1"/>
  <c r="F1936" i="1" a="1"/>
  <c r="F1936" i="1" s="1"/>
  <c r="P1933" i="1" a="1"/>
  <c r="P1933" i="1" s="1"/>
  <c r="M1933" i="1" a="1"/>
  <c r="M1933" i="1" s="1"/>
  <c r="P1936" i="1" a="1"/>
  <c r="P1936" i="1"/>
  <c r="H1935" i="1" a="1"/>
  <c r="H1935" i="1" s="1"/>
  <c r="O1934" i="1" a="1"/>
  <c r="O1934" i="1" s="1"/>
  <c r="L1933" i="1" a="1"/>
  <c r="L1933" i="1"/>
  <c r="G1934" i="1" a="1"/>
  <c r="G1934" i="1"/>
  <c r="O1936" i="1" a="1"/>
  <c r="O1936" i="1"/>
  <c r="H1937" i="1" a="1"/>
  <c r="H1937" i="1" s="1"/>
  <c r="L1936" i="1" a="1"/>
  <c r="L1936" i="1"/>
  <c r="P1935" i="1" a="1"/>
  <c r="P1935" i="1" s="1"/>
  <c r="Q1933" i="1" a="1"/>
  <c r="Q1933" i="1"/>
  <c r="N1935" i="1" a="1"/>
  <c r="N1935" i="1" s="1"/>
  <c r="Q1934" i="1" a="1"/>
  <c r="Q1934" i="1" s="1"/>
  <c r="K1933" i="1" a="1"/>
  <c r="K1933" i="1" s="1"/>
  <c r="Q1937" i="1" a="1"/>
  <c r="Q1937" i="1" s="1"/>
  <c r="P1929" i="1" a="1"/>
  <c r="P1929" i="1"/>
  <c r="P1931" i="1" a="1"/>
  <c r="P1931" i="1" s="1"/>
  <c r="Q1932" i="1" a="1"/>
  <c r="Q1932" i="1" s="1"/>
  <c r="P1932" i="1" a="1"/>
  <c r="P1932" i="1" s="1"/>
  <c r="K1931" i="1" a="1"/>
  <c r="K1931" i="1" s="1"/>
  <c r="O1932" i="1" a="1"/>
  <c r="O1932" i="1" s="1"/>
  <c r="N1932" i="1" a="1"/>
  <c r="N1932" i="1" s="1"/>
  <c r="I1931" i="1" a="1"/>
  <c r="I1931" i="1" s="1"/>
  <c r="Q1928" i="1" a="1"/>
  <c r="Q1928" i="1"/>
  <c r="M1932" i="1" a="1"/>
  <c r="M1932" i="1" s="1"/>
  <c r="F1932" i="1" a="1"/>
  <c r="F1932" i="1" s="1"/>
  <c r="L1932" i="1" a="1"/>
  <c r="L1932" i="1"/>
  <c r="J1932" i="1" a="1"/>
  <c r="J1932" i="1" s="1"/>
  <c r="H1932" i="1" a="1"/>
  <c r="H1932" i="1" s="1"/>
  <c r="H1930" i="1" a="1"/>
  <c r="H1930" i="1" s="1"/>
  <c r="I1932" i="1" a="1"/>
  <c r="I1932" i="1"/>
  <c r="M1931" i="1" a="1"/>
  <c r="M1931" i="1" s="1"/>
  <c r="K1929" i="1" a="1"/>
  <c r="K1929" i="1"/>
  <c r="H1928" i="1" a="1"/>
  <c r="H1928" i="1"/>
  <c r="G1932" i="1" a="1"/>
  <c r="G1932" i="1"/>
  <c r="Q1931" i="1" a="1"/>
  <c r="Q1931" i="1"/>
  <c r="N1931" i="1" a="1"/>
  <c r="N1931" i="1"/>
  <c r="G1931" i="1" a="1"/>
  <c r="G1931" i="1" s="1"/>
  <c r="M1930" i="1" a="1"/>
  <c r="M1930" i="1"/>
  <c r="Q1930" i="1" a="1"/>
  <c r="Q1930" i="1"/>
  <c r="P1930" i="1" a="1"/>
  <c r="P1930" i="1"/>
  <c r="M1928" i="1" a="1"/>
  <c r="M1928" i="1" s="1"/>
  <c r="L1928" i="1" a="1"/>
  <c r="L1928" i="1" s="1"/>
  <c r="O1930" i="1" a="1"/>
  <c r="O1930" i="1" s="1"/>
  <c r="J1930" i="1" a="1"/>
  <c r="J1930" i="1" s="1"/>
  <c r="I1930" i="1" a="1"/>
  <c r="I1930" i="1" s="1"/>
  <c r="F1930" i="1" a="1"/>
  <c r="F1930" i="1" s="1"/>
  <c r="Q1929" i="1" a="1"/>
  <c r="Q1929" i="1" s="1"/>
  <c r="I1929" i="1" a="1"/>
  <c r="I1929" i="1" s="1"/>
  <c r="N1929" i="1" a="1"/>
  <c r="N1929" i="1" s="1"/>
  <c r="J1928" i="1" a="1"/>
  <c r="J1928" i="1" s="1"/>
  <c r="J1929" i="1" a="1"/>
  <c r="J1929" i="1" s="1"/>
  <c r="G1929" i="1" a="1"/>
  <c r="G1929" i="1"/>
  <c r="K1930" i="1" a="1"/>
  <c r="K1930" i="1" s="1"/>
  <c r="G1930" i="1" a="1"/>
  <c r="G1930" i="1" s="1"/>
  <c r="G1928" i="1" a="1"/>
  <c r="G1928" i="1" s="1"/>
  <c r="L1930" i="1" a="1"/>
  <c r="L1930" i="1"/>
  <c r="K1928" i="1" a="1"/>
  <c r="K1928" i="1"/>
  <c r="I1928" i="1" a="1"/>
  <c r="I1928" i="1" s="1"/>
  <c r="H1931" i="1" a="1"/>
  <c r="H1931" i="1" s="1"/>
  <c r="K1932" i="1" a="1"/>
  <c r="K1932" i="1" s="1"/>
  <c r="P1928" i="1" a="1"/>
  <c r="P1928" i="1"/>
  <c r="J1933" i="1" a="1"/>
  <c r="J1933" i="1"/>
  <c r="I1933" i="1" a="1"/>
  <c r="I1933" i="1"/>
  <c r="O1928" i="1" a="1"/>
  <c r="O1928" i="1"/>
  <c r="H1933" i="1" a="1"/>
  <c r="H1933" i="1" s="1"/>
  <c r="N1930" i="1" a="1"/>
  <c r="N1930" i="1"/>
  <c r="G1933" i="1" a="1"/>
  <c r="G1933" i="1"/>
  <c r="F1933" i="1" a="1"/>
  <c r="F1933" i="1"/>
  <c r="J1931" i="1" a="1"/>
  <c r="J1931" i="1" s="1"/>
  <c r="O1929" i="1" a="1"/>
  <c r="O1929" i="1"/>
  <c r="H1929" i="1" a="1"/>
  <c r="H1929" i="1"/>
  <c r="O1931" i="1" a="1"/>
  <c r="O1931" i="1"/>
  <c r="N1928" i="1" a="1"/>
  <c r="N1928" i="1" s="1"/>
  <c r="M1929" i="1" a="1"/>
  <c r="M1929" i="1" s="1"/>
  <c r="F1929" i="1" a="1"/>
  <c r="F1929" i="1" s="1"/>
  <c r="L1931" i="1" a="1"/>
  <c r="L1931" i="1" s="1"/>
  <c r="L1929" i="1" a="1"/>
  <c r="L1929" i="1" s="1"/>
  <c r="F1931" i="1" a="1"/>
  <c r="F1931" i="1" s="1"/>
  <c r="I1924" i="1" a="1"/>
  <c r="I1924" i="1" s="1"/>
  <c r="I1926" i="1" a="1"/>
  <c r="I1926" i="1" s="1"/>
  <c r="G1925" i="1" a="1"/>
  <c r="G1925" i="1"/>
  <c r="F1924" i="1" a="1"/>
  <c r="F1924" i="1" s="1"/>
  <c r="N1923" i="1" a="1"/>
  <c r="N1923" i="1" s="1"/>
  <c r="H1923" i="1" a="1"/>
  <c r="H1923" i="1" s="1"/>
  <c r="Q1922" i="1" a="1"/>
  <c r="Q1922" i="1" s="1"/>
  <c r="Q1925" i="1" a="1"/>
  <c r="Q1925" i="1"/>
  <c r="L1925" i="1" a="1"/>
  <c r="L1925" i="1"/>
  <c r="I1923" i="1" a="1"/>
  <c r="I1923" i="1" s="1"/>
  <c r="K1924" i="1" a="1"/>
  <c r="K1924" i="1" s="1"/>
  <c r="J1926" i="1" a="1"/>
  <c r="J1926" i="1"/>
  <c r="I1925" i="1" a="1"/>
  <c r="I1925" i="1"/>
  <c r="F1926" i="1" a="1"/>
  <c r="F1926" i="1"/>
  <c r="N1925" i="1" a="1"/>
  <c r="N1925" i="1"/>
  <c r="N1924" i="1" a="1"/>
  <c r="N1924" i="1" s="1"/>
  <c r="Q1923" i="1" a="1"/>
  <c r="Q1923" i="1" s="1"/>
  <c r="J1925" i="1" a="1"/>
  <c r="J1925" i="1"/>
  <c r="G1926" i="1" a="1"/>
  <c r="G1926" i="1" s="1"/>
  <c r="G1924" i="1" a="1"/>
  <c r="G1924" i="1" s="1"/>
  <c r="K1923" i="1" a="1"/>
  <c r="K1923" i="1" s="1"/>
  <c r="F1923" i="1" a="1"/>
  <c r="F1923" i="1" s="1"/>
  <c r="P1925" i="1" a="1"/>
  <c r="P1925" i="1" s="1"/>
  <c r="G1923" i="1" a="1"/>
  <c r="G1923" i="1" s="1"/>
  <c r="P1924" i="1" a="1"/>
  <c r="P1924" i="1" s="1"/>
  <c r="O1923" i="1" a="1"/>
  <c r="O1923" i="1" s="1"/>
  <c r="M1926" i="1" a="1"/>
  <c r="M1926" i="1" s="1"/>
  <c r="H1926" i="1" a="1"/>
  <c r="H1926" i="1" s="1"/>
  <c r="O1924" i="1" a="1"/>
  <c r="O1924" i="1" s="1"/>
  <c r="H1925" i="1" a="1"/>
  <c r="H1925" i="1"/>
  <c r="J1924" i="1" a="1"/>
  <c r="J1924" i="1"/>
  <c r="K1925" i="1" a="1"/>
  <c r="K1925" i="1" s="1"/>
  <c r="Q1924" i="1" a="1"/>
  <c r="Q1924" i="1" s="1"/>
  <c r="M1924" i="1" a="1"/>
  <c r="M1924" i="1"/>
  <c r="M1923" i="1" a="1"/>
  <c r="M1923" i="1"/>
  <c r="P1922" i="1" a="1"/>
  <c r="P1922" i="1"/>
  <c r="O1922" i="1" a="1"/>
  <c r="O1922" i="1"/>
  <c r="F1928" i="1" a="1"/>
  <c r="F1928" i="1"/>
  <c r="Q1927" i="1" a="1"/>
  <c r="Q1927" i="1"/>
  <c r="P1927" i="1" a="1"/>
  <c r="P1927" i="1" s="1"/>
  <c r="P1923" i="1" a="1"/>
  <c r="P1923" i="1"/>
  <c r="J1923" i="1" a="1"/>
  <c r="J1923" i="1"/>
  <c r="O1927" i="1" a="1"/>
  <c r="O1927" i="1"/>
  <c r="N1927" i="1" a="1"/>
  <c r="N1927" i="1"/>
  <c r="M1927" i="1" a="1"/>
  <c r="M1927" i="1" s="1"/>
  <c r="L1927" i="1" a="1"/>
  <c r="L1927" i="1" s="1"/>
  <c r="I1927" i="1" a="1"/>
  <c r="I1927" i="1" s="1"/>
  <c r="G1927" i="1" a="1"/>
  <c r="G1927" i="1" s="1"/>
  <c r="F1927" i="1" a="1"/>
  <c r="F1927" i="1" s="1"/>
  <c r="O1925" i="1" a="1"/>
  <c r="O1925" i="1" s="1"/>
  <c r="N1926" i="1" a="1"/>
  <c r="N1926" i="1"/>
  <c r="M1925" i="1" a="1"/>
  <c r="M1925" i="1" s="1"/>
  <c r="L1924" i="1" a="1"/>
  <c r="L1924" i="1" s="1"/>
  <c r="K1927" i="1" a="1"/>
  <c r="K1927" i="1" s="1"/>
  <c r="J1927" i="1" a="1"/>
  <c r="J1927" i="1" s="1"/>
  <c r="H1927" i="1" a="1"/>
  <c r="H1927" i="1" s="1"/>
  <c r="Q1926" i="1" a="1"/>
  <c r="Q1926" i="1" s="1"/>
  <c r="P1926" i="1" a="1"/>
  <c r="P1926" i="1" s="1"/>
  <c r="L1923" i="1" a="1"/>
  <c r="L1923" i="1" s="1"/>
  <c r="O1926" i="1" a="1"/>
  <c r="O1926" i="1"/>
  <c r="L1926" i="1" a="1"/>
  <c r="L1926" i="1" s="1"/>
  <c r="F1925" i="1" a="1"/>
  <c r="F1925" i="1" s="1"/>
  <c r="H1924" i="1" a="1"/>
  <c r="H1924" i="1"/>
  <c r="K1926" i="1" a="1"/>
  <c r="K1926" i="1" s="1"/>
  <c r="H1922" i="1" a="1"/>
  <c r="H1922" i="1" s="1"/>
  <c r="G1922" i="1" a="1"/>
  <c r="G1922" i="1" s="1"/>
  <c r="N1921" i="1" a="1"/>
  <c r="N1921" i="1"/>
  <c r="G1921" i="1" a="1"/>
  <c r="G1921" i="1"/>
  <c r="L1921" i="1" a="1"/>
  <c r="L1921" i="1" s="1"/>
  <c r="O1920" i="1" a="1"/>
  <c r="O1920" i="1"/>
  <c r="H1920" i="1" a="1"/>
  <c r="H1920" i="1"/>
  <c r="N1919" i="1" a="1"/>
  <c r="N1919" i="1"/>
  <c r="M1919" i="1" a="1"/>
  <c r="M1919" i="1"/>
  <c r="P1918" i="1" a="1"/>
  <c r="P1918" i="1" s="1"/>
  <c r="P1920" i="1" a="1"/>
  <c r="P1920" i="1" s="1"/>
  <c r="G1919" i="1" a="1"/>
  <c r="G1919" i="1"/>
  <c r="J1920" i="1" a="1"/>
  <c r="J1920" i="1" s="1"/>
  <c r="H1918" i="1" a="1"/>
  <c r="H1918" i="1" s="1"/>
  <c r="O1917" i="1" a="1"/>
  <c r="O1917" i="1" s="1"/>
  <c r="N1917" i="1" a="1"/>
  <c r="N1917" i="1" s="1"/>
  <c r="Q1918" i="1" a="1"/>
  <c r="Q1918" i="1" s="1"/>
  <c r="F1922" i="1" a="1"/>
  <c r="F1922" i="1" s="1"/>
  <c r="P1921" i="1" a="1"/>
  <c r="P1921" i="1"/>
  <c r="Q1919" i="1" a="1"/>
  <c r="Q1919" i="1" s="1"/>
  <c r="F1918" i="1" a="1"/>
  <c r="F1918" i="1" s="1"/>
  <c r="M1921" i="1" a="1"/>
  <c r="M1921" i="1" s="1"/>
  <c r="K1921" i="1" a="1"/>
  <c r="K1921" i="1" s="1"/>
  <c r="L1918" i="1" a="1"/>
  <c r="L1918" i="1" s="1"/>
  <c r="I1921" i="1" a="1"/>
  <c r="I1921" i="1" s="1"/>
  <c r="F1921" i="1" a="1"/>
  <c r="F1921" i="1" s="1"/>
  <c r="O1918" i="1" a="1"/>
  <c r="O1918" i="1"/>
  <c r="L1917" i="1" a="1"/>
  <c r="L1917" i="1"/>
  <c r="L1920" i="1" a="1"/>
  <c r="L1920" i="1" s="1"/>
  <c r="O1919" i="1" a="1"/>
  <c r="O1919" i="1" s="1"/>
  <c r="I1920" i="1" a="1"/>
  <c r="I1920" i="1" s="1"/>
  <c r="P1919" i="1" a="1"/>
  <c r="P1919" i="1" s="1"/>
  <c r="K1919" i="1" a="1"/>
  <c r="K1919" i="1" s="1"/>
  <c r="L1919" i="1" a="1"/>
  <c r="L1919" i="1" s="1"/>
  <c r="M1918" i="1" a="1"/>
  <c r="M1918" i="1"/>
  <c r="F1919" i="1" a="1"/>
  <c r="F1919" i="1" s="1"/>
  <c r="N1918" i="1" a="1"/>
  <c r="N1918" i="1"/>
  <c r="N1922" i="1" a="1"/>
  <c r="N1922" i="1"/>
  <c r="M1917" i="1" a="1"/>
  <c r="M1917" i="1" s="1"/>
  <c r="M1922" i="1" a="1"/>
  <c r="M1922" i="1" s="1"/>
  <c r="L1922" i="1" a="1"/>
  <c r="L1922" i="1"/>
  <c r="Q1920" i="1" a="1"/>
  <c r="Q1920" i="1" s="1"/>
  <c r="K1922" i="1" a="1"/>
  <c r="K1922" i="1" s="1"/>
  <c r="Q1921" i="1" a="1"/>
  <c r="Q1921" i="1" s="1"/>
  <c r="K1920" i="1" a="1"/>
  <c r="K1920" i="1"/>
  <c r="K1918" i="1" a="1"/>
  <c r="K1918" i="1" s="1"/>
  <c r="G1918" i="1" a="1"/>
  <c r="G1918" i="1" s="1"/>
  <c r="J1918" i="1" a="1"/>
  <c r="J1918" i="1" s="1"/>
  <c r="Q1917" i="1" a="1"/>
  <c r="Q1917" i="1" s="1"/>
  <c r="J1922" i="1" a="1"/>
  <c r="J1922" i="1" s="1"/>
  <c r="I1922" i="1" a="1"/>
  <c r="I1922" i="1" s="1"/>
  <c r="I1918" i="1" a="1"/>
  <c r="I1918" i="1" s="1"/>
  <c r="N1920" i="1" a="1"/>
  <c r="N1920" i="1" s="1"/>
  <c r="O1921" i="1" a="1"/>
  <c r="O1921" i="1" s="1"/>
  <c r="H1919" i="1" a="1"/>
  <c r="H1919" i="1"/>
  <c r="F1920" i="1" a="1"/>
  <c r="F1920" i="1"/>
  <c r="J1921" i="1" a="1"/>
  <c r="J1921" i="1"/>
  <c r="I1919" i="1" a="1"/>
  <c r="I1919" i="1" s="1"/>
  <c r="P1917" i="1" a="1"/>
  <c r="P1917" i="1"/>
  <c r="K1917" i="1" a="1"/>
  <c r="K1917" i="1"/>
  <c r="H1921" i="1" a="1"/>
  <c r="H1921" i="1" s="1"/>
  <c r="M1920" i="1" a="1"/>
  <c r="M1920" i="1" s="1"/>
  <c r="G1920" i="1" a="1"/>
  <c r="G1920" i="1" s="1"/>
  <c r="J1919" i="1" a="1"/>
  <c r="J1919" i="1"/>
  <c r="H1913" i="1" a="1"/>
  <c r="H1913" i="1" s="1"/>
  <c r="Q1912" i="1" a="1"/>
  <c r="Q1912" i="1"/>
  <c r="Q1913" i="1" a="1"/>
  <c r="Q1913" i="1" s="1"/>
  <c r="H1914" i="1" a="1"/>
  <c r="H1914" i="1" s="1"/>
  <c r="G1914" i="1" a="1"/>
  <c r="G1914" i="1"/>
  <c r="F1914" i="1" a="1"/>
  <c r="F1914" i="1" s="1"/>
  <c r="O1913" i="1" a="1"/>
  <c r="O1913" i="1" s="1"/>
  <c r="I1913" i="1" a="1"/>
  <c r="I1913" i="1" s="1"/>
  <c r="J1917" i="1" a="1"/>
  <c r="J1917" i="1" s="1"/>
  <c r="I1917" i="1" a="1"/>
  <c r="I1917" i="1" s="1"/>
  <c r="J1915" i="1" a="1"/>
  <c r="J1915" i="1" s="1"/>
  <c r="J1916" i="1" a="1"/>
  <c r="J1916" i="1" s="1"/>
  <c r="M1915" i="1" a="1"/>
  <c r="M1915" i="1" s="1"/>
  <c r="Q1914" i="1" a="1"/>
  <c r="Q1914" i="1" s="1"/>
  <c r="H1917" i="1" a="1"/>
  <c r="H1917" i="1" s="1"/>
  <c r="F1917" i="1" a="1"/>
  <c r="F1917" i="1" s="1"/>
  <c r="Q1916" i="1" a="1"/>
  <c r="Q1916" i="1" s="1"/>
  <c r="H1916" i="1" a="1"/>
  <c r="H1916" i="1"/>
  <c r="G1915" i="1" a="1"/>
  <c r="G1915" i="1" s="1"/>
  <c r="F1916" i="1" a="1"/>
  <c r="F1916" i="1" s="1"/>
  <c r="H1915" i="1" a="1"/>
  <c r="H1915" i="1"/>
  <c r="M1914" i="1" a="1"/>
  <c r="M1914" i="1" s="1"/>
  <c r="P1913" i="1" a="1"/>
  <c r="P1913" i="1" s="1"/>
  <c r="F1913" i="1" a="1"/>
  <c r="F1913" i="1" s="1"/>
  <c r="L1913" i="1" a="1"/>
  <c r="L1913" i="1" s="1"/>
  <c r="G1917" i="1" a="1"/>
  <c r="G1917" i="1" s="1"/>
  <c r="P1916" i="1" a="1"/>
  <c r="P1916" i="1"/>
  <c r="K1915" i="1" a="1"/>
  <c r="K1915" i="1"/>
  <c r="O1914" i="1" a="1"/>
  <c r="O1914" i="1"/>
  <c r="I1914" i="1" a="1"/>
  <c r="I1914" i="1" s="1"/>
  <c r="M1916" i="1" a="1"/>
  <c r="M1916" i="1" s="1"/>
  <c r="I1916" i="1" a="1"/>
  <c r="I1916" i="1" s="1"/>
  <c r="L1915" i="1" a="1"/>
  <c r="L1915" i="1"/>
  <c r="L1914" i="1" a="1"/>
  <c r="L1914" i="1" s="1"/>
  <c r="K1913" i="1" a="1"/>
  <c r="K1913" i="1"/>
  <c r="N1913" i="1" a="1"/>
  <c r="N1913" i="1"/>
  <c r="O1915" i="1" a="1"/>
  <c r="O1915" i="1"/>
  <c r="O1916" i="1" a="1"/>
  <c r="O1916" i="1"/>
  <c r="N1916" i="1" a="1"/>
  <c r="N1916" i="1"/>
  <c r="G1913" i="1" a="1"/>
  <c r="G1913" i="1"/>
  <c r="I1915" i="1" a="1"/>
  <c r="I1915" i="1" s="1"/>
  <c r="M1913" i="1" a="1"/>
  <c r="M1913" i="1"/>
  <c r="L1916" i="1" a="1"/>
  <c r="L1916" i="1" s="1"/>
  <c r="J1913" i="1" a="1"/>
  <c r="J1913" i="1" s="1"/>
  <c r="K1916" i="1" a="1"/>
  <c r="K1916" i="1" s="1"/>
  <c r="G1916" i="1" a="1"/>
  <c r="G1916" i="1"/>
  <c r="Q1915" i="1" a="1"/>
  <c r="Q1915" i="1"/>
  <c r="P1915" i="1" a="1"/>
  <c r="P1915" i="1" s="1"/>
  <c r="N1915" i="1" a="1"/>
  <c r="N1915" i="1" s="1"/>
  <c r="F1915" i="1" a="1"/>
  <c r="F1915" i="1" s="1"/>
  <c r="P1914" i="1" a="1"/>
  <c r="P1914" i="1" s="1"/>
  <c r="N1914" i="1" a="1"/>
  <c r="N1914" i="1"/>
  <c r="K1914" i="1" a="1"/>
  <c r="K1914" i="1" s="1"/>
  <c r="J1914" i="1" a="1"/>
  <c r="J1914" i="1" s="1"/>
  <c r="K1910" i="1" a="1"/>
  <c r="K1910" i="1" s="1"/>
  <c r="K1909" i="1" a="1"/>
  <c r="K1909" i="1"/>
  <c r="I1908" i="1" a="1"/>
  <c r="I1908" i="1" s="1"/>
  <c r="M1907" i="1" a="1"/>
  <c r="M1907" i="1"/>
  <c r="I1910" i="1" a="1"/>
  <c r="I1910" i="1" s="1"/>
  <c r="J1909" i="1" a="1"/>
  <c r="J1909" i="1" s="1"/>
  <c r="O1909" i="1" a="1"/>
  <c r="O1909" i="1" s="1"/>
  <c r="O1908" i="1" a="1"/>
  <c r="O1908" i="1" s="1"/>
  <c r="F1909" i="1" a="1"/>
  <c r="F1909" i="1" s="1"/>
  <c r="M1912" i="1" a="1"/>
  <c r="M1912" i="1" s="1"/>
  <c r="L1912" i="1" a="1"/>
  <c r="L1912" i="1" s="1"/>
  <c r="J1912" i="1" a="1"/>
  <c r="J1912" i="1"/>
  <c r="F1912" i="1" a="1"/>
  <c r="F1912" i="1"/>
  <c r="G1910" i="1" a="1"/>
  <c r="G1910" i="1"/>
  <c r="Q1911" i="1" a="1"/>
  <c r="Q1911" i="1" s="1"/>
  <c r="J1910" i="1" a="1"/>
  <c r="J1910" i="1"/>
  <c r="I1909" i="1" a="1"/>
  <c r="I1909" i="1"/>
  <c r="G1912" i="1" a="1"/>
  <c r="G1912" i="1" s="1"/>
  <c r="H1909" i="1" a="1"/>
  <c r="H1909" i="1" s="1"/>
  <c r="I1911" i="1" a="1"/>
  <c r="I1911" i="1" s="1"/>
  <c r="L1911" i="1" a="1"/>
  <c r="L1911" i="1"/>
  <c r="P1907" i="1" a="1"/>
  <c r="P1907" i="1"/>
  <c r="L1908" i="1" a="1"/>
  <c r="L1908" i="1" s="1"/>
  <c r="F1908" i="1" a="1"/>
  <c r="F1908" i="1" s="1"/>
  <c r="P1911" i="1" a="1"/>
  <c r="P1911" i="1" s="1"/>
  <c r="N1910" i="1" a="1"/>
  <c r="N1910" i="1"/>
  <c r="N1907" i="1" a="1"/>
  <c r="N1907" i="1"/>
  <c r="J1908" i="1" a="1"/>
  <c r="J1908" i="1" s="1"/>
  <c r="I1912" i="1" a="1"/>
  <c r="I1912" i="1"/>
  <c r="P1909" i="1" a="1"/>
  <c r="P1909" i="1"/>
  <c r="G1908" i="1" a="1"/>
  <c r="G1908" i="1" s="1"/>
  <c r="H1912" i="1" a="1"/>
  <c r="H1912" i="1" s="1"/>
  <c r="G1909" i="1" a="1"/>
  <c r="G1909" i="1" s="1"/>
  <c r="N1911" i="1" a="1"/>
  <c r="N1911" i="1" s="1"/>
  <c r="J1911" i="1" a="1"/>
  <c r="J1911" i="1" s="1"/>
  <c r="P1910" i="1" a="1"/>
  <c r="P1910" i="1" s="1"/>
  <c r="Q1909" i="1" a="1"/>
  <c r="Q1909" i="1"/>
  <c r="K1911" i="1" a="1"/>
  <c r="K1911" i="1" s="1"/>
  <c r="H1910" i="1" a="1"/>
  <c r="H1910" i="1" s="1"/>
  <c r="L1910" i="1" a="1"/>
  <c r="L1910" i="1" s="1"/>
  <c r="Q1908" i="1" a="1"/>
  <c r="Q1908" i="1" s="1"/>
  <c r="Q1910" i="1" a="1"/>
  <c r="Q1910" i="1" s="1"/>
  <c r="M1910" i="1" a="1"/>
  <c r="M1910" i="1" s="1"/>
  <c r="K1908" i="1" a="1"/>
  <c r="K1908" i="1"/>
  <c r="H1908" i="1" a="1"/>
  <c r="H1908" i="1"/>
  <c r="L1909" i="1" a="1"/>
  <c r="L1909" i="1" s="1"/>
  <c r="P1912" i="1" a="1"/>
  <c r="P1912" i="1" s="1"/>
  <c r="H1911" i="1" a="1"/>
  <c r="H1911" i="1"/>
  <c r="F1911" i="1" a="1"/>
  <c r="F1911" i="1" s="1"/>
  <c r="F1910" i="1" a="1"/>
  <c r="F1910" i="1"/>
  <c r="O1911" i="1" a="1"/>
  <c r="O1911" i="1"/>
  <c r="Q1907" i="1" a="1"/>
  <c r="Q1907" i="1" s="1"/>
  <c r="O1912" i="1" a="1"/>
  <c r="O1912" i="1"/>
  <c r="M1909" i="1" a="1"/>
  <c r="M1909" i="1" s="1"/>
  <c r="N1912" i="1" a="1"/>
  <c r="N1912" i="1" s="1"/>
  <c r="K1912" i="1" a="1"/>
  <c r="K1912" i="1" s="1"/>
  <c r="P1908" i="1" a="1"/>
  <c r="P1908" i="1" s="1"/>
  <c r="M1911" i="1" a="1"/>
  <c r="M1911" i="1" s="1"/>
  <c r="G1911" i="1" a="1"/>
  <c r="G1911" i="1"/>
  <c r="N1909" i="1" a="1"/>
  <c r="N1909" i="1" s="1"/>
  <c r="N1908" i="1" a="1"/>
  <c r="N1908" i="1" s="1"/>
  <c r="O1910" i="1" a="1"/>
  <c r="O1910" i="1" s="1"/>
  <c r="O1907" i="1" a="1"/>
  <c r="O1907" i="1"/>
  <c r="M1908" i="1" a="1"/>
  <c r="M1908" i="1" s="1"/>
  <c r="G1904" i="1" a="1"/>
  <c r="G1904" i="1" s="1"/>
  <c r="K1904" i="1" a="1"/>
  <c r="K1904" i="1"/>
  <c r="O1906" i="1" a="1"/>
  <c r="O1906" i="1"/>
  <c r="I1904" i="1" a="1"/>
  <c r="I1904" i="1" s="1"/>
  <c r="L1906" i="1" a="1"/>
  <c r="L1906" i="1" s="1"/>
  <c r="P1904" i="1" a="1"/>
  <c r="P1904" i="1"/>
  <c r="L1907" i="1" a="1"/>
  <c r="L1907" i="1" s="1"/>
  <c r="Q1905" i="1" a="1"/>
  <c r="Q1905" i="1" s="1"/>
  <c r="O1905" i="1" a="1"/>
  <c r="O1905" i="1" s="1"/>
  <c r="K1905" i="1" a="1"/>
  <c r="K1905" i="1" s="1"/>
  <c r="K1907" i="1" a="1"/>
  <c r="K1907" i="1" s="1"/>
  <c r="J1907" i="1" a="1"/>
  <c r="J1907" i="1"/>
  <c r="I1907" i="1" a="1"/>
  <c r="I1907" i="1"/>
  <c r="M1904" i="1" a="1"/>
  <c r="M1904" i="1" s="1"/>
  <c r="H1907" i="1" a="1"/>
  <c r="H1907" i="1"/>
  <c r="Q1904" i="1" a="1"/>
  <c r="Q1904" i="1"/>
  <c r="G1907" i="1" a="1"/>
  <c r="G1907" i="1" s="1"/>
  <c r="F1907" i="1" a="1"/>
  <c r="F1907" i="1"/>
  <c r="Q1906" i="1" a="1"/>
  <c r="Q1906" i="1"/>
  <c r="P1906" i="1" a="1"/>
  <c r="P1906" i="1" s="1"/>
  <c r="J1906" i="1" a="1"/>
  <c r="J1906" i="1"/>
  <c r="N1906" i="1" a="1"/>
  <c r="N1906" i="1" s="1"/>
  <c r="K1906" i="1" a="1"/>
  <c r="K1906" i="1"/>
  <c r="G1906" i="1" a="1"/>
  <c r="G1906" i="1" s="1"/>
  <c r="J1905" i="1" a="1"/>
  <c r="J1905" i="1" s="1"/>
  <c r="F1906" i="1" a="1"/>
  <c r="F1906" i="1" s="1"/>
  <c r="I1905" i="1" a="1"/>
  <c r="I1905" i="1"/>
  <c r="H1906" i="1" a="1"/>
  <c r="H1906" i="1"/>
  <c r="L1905" i="1" a="1"/>
  <c r="L1905" i="1" s="1"/>
  <c r="M1906" i="1" a="1"/>
  <c r="M1906" i="1" s="1"/>
  <c r="I1906" i="1" a="1"/>
  <c r="I1906" i="1" s="1"/>
  <c r="F1905" i="1" a="1"/>
  <c r="F1905" i="1" s="1"/>
  <c r="J1904" i="1" a="1"/>
  <c r="J1904" i="1"/>
  <c r="P1905" i="1" a="1"/>
  <c r="P1905" i="1"/>
  <c r="N1905" i="1" a="1"/>
  <c r="N1905" i="1"/>
  <c r="M1905" i="1" a="1"/>
  <c r="M1905" i="1" s="1"/>
  <c r="L1904" i="1" a="1"/>
  <c r="L1904" i="1" s="1"/>
  <c r="H1905" i="1" a="1"/>
  <c r="H1905" i="1"/>
  <c r="G1905" i="1" a="1"/>
  <c r="G1905" i="1" s="1"/>
  <c r="O1904" i="1" a="1"/>
  <c r="O1904" i="1" s="1"/>
  <c r="H1904" i="1" a="1"/>
  <c r="H1904" i="1"/>
  <c r="N1904" i="1" a="1"/>
  <c r="N1904" i="1"/>
  <c r="F1904" i="1" a="1"/>
  <c r="F1904" i="1" s="1"/>
  <c r="N1185" i="1" a="1"/>
  <c r="N1185" i="1"/>
  <c r="L1185" i="1" a="1"/>
  <c r="L1185" i="1"/>
  <c r="K1185" i="1" a="1"/>
  <c r="K1185" i="1"/>
  <c r="J1185" i="1" a="1"/>
  <c r="J1185" i="1"/>
  <c r="J1187" i="1" a="1"/>
  <c r="J1187" i="1" s="1"/>
  <c r="I1187" i="1" a="1"/>
  <c r="I1187" i="1" s="1"/>
  <c r="G1187" i="1" a="1"/>
  <c r="G1187" i="1" s="1"/>
  <c r="Q1186" i="1" a="1"/>
  <c r="Q1186" i="1"/>
  <c r="P1186" i="1" a="1"/>
  <c r="P1186" i="1" s="1"/>
  <c r="L1186" i="1" a="1"/>
  <c r="L1186" i="1" s="1"/>
  <c r="F1186" i="1" a="1"/>
  <c r="F1186" i="1"/>
  <c r="J1186" i="1" a="1"/>
  <c r="J1186" i="1" s="1"/>
  <c r="Q1185" i="1" a="1"/>
  <c r="Q1185" i="1"/>
  <c r="H1187" i="1" a="1"/>
  <c r="H1187" i="1"/>
  <c r="F1187" i="1" a="1"/>
  <c r="F1187" i="1" s="1"/>
  <c r="H1186" i="1" a="1"/>
  <c r="H1186" i="1" s="1"/>
  <c r="M1185" i="1" a="1"/>
  <c r="M1185" i="1" s="1"/>
  <c r="F1185" i="1" a="1"/>
  <c r="F1185" i="1"/>
  <c r="G1185" i="1" a="1"/>
  <c r="G1185" i="1" s="1"/>
  <c r="I1185" i="1" a="1"/>
  <c r="I1185" i="1" s="1"/>
  <c r="H1185" i="1" a="1"/>
  <c r="H1185" i="1" s="1"/>
  <c r="O1186" i="1" a="1"/>
  <c r="O1186" i="1"/>
  <c r="G1186" i="1" a="1"/>
  <c r="G1186" i="1"/>
  <c r="N1186" i="1" a="1"/>
  <c r="N1186" i="1" s="1"/>
  <c r="M1186" i="1" a="1"/>
  <c r="M1186" i="1"/>
  <c r="O1185" i="1" a="1"/>
  <c r="O1185" i="1" s="1"/>
  <c r="P1185" i="1" a="1"/>
  <c r="P1185" i="1"/>
  <c r="K1186" i="1" a="1"/>
  <c r="K1186" i="1"/>
  <c r="I1186" i="1" a="1"/>
  <c r="I1186" i="1" s="1"/>
  <c r="P1179" i="1" a="1"/>
  <c r="P1179" i="1"/>
  <c r="L1179" i="1" a="1"/>
  <c r="L1179" i="1"/>
  <c r="Q1179" i="1" a="1"/>
  <c r="Q1179" i="1" s="1"/>
  <c r="O1179" i="1" a="1"/>
  <c r="O1179" i="1"/>
  <c r="N1179" i="1" a="1"/>
  <c r="N1179" i="1" s="1"/>
  <c r="M1179" i="1" a="1"/>
  <c r="M1179" i="1"/>
  <c r="N1177" i="1" a="1"/>
  <c r="N1177" i="1"/>
  <c r="N1178" i="1" a="1"/>
  <c r="N1178" i="1" s="1"/>
  <c r="L1178" i="1" a="1"/>
  <c r="L1178" i="1" s="1"/>
  <c r="H1178" i="1" a="1"/>
  <c r="H1178" i="1"/>
  <c r="J1178" i="1" a="1"/>
  <c r="J1178" i="1"/>
  <c r="F1178" i="1" a="1"/>
  <c r="F1178" i="1" s="1"/>
  <c r="H1177" i="1" a="1"/>
  <c r="H1177" i="1" s="1"/>
  <c r="J1175" i="1" a="1"/>
  <c r="J1175" i="1"/>
  <c r="L1177" i="1" a="1"/>
  <c r="L1177" i="1" s="1"/>
  <c r="I1177" i="1" a="1"/>
  <c r="I1177" i="1" s="1"/>
  <c r="G1178" i="1" a="1"/>
  <c r="G1178" i="1"/>
  <c r="G1176" i="1" a="1"/>
  <c r="G1176" i="1"/>
  <c r="M1177" i="1" a="1"/>
  <c r="M1177" i="1" s="1"/>
  <c r="N1174" i="1" a="1"/>
  <c r="N1174" i="1" s="1"/>
  <c r="H1174" i="1" a="1"/>
  <c r="H1174" i="1" s="1"/>
  <c r="P1175" i="1" a="1"/>
  <c r="P1175" i="1"/>
  <c r="P1176" i="1" a="1"/>
  <c r="P1176" i="1" s="1"/>
  <c r="J1176" i="1" a="1"/>
  <c r="J1176" i="1" s="1"/>
  <c r="K1178" i="1" a="1"/>
  <c r="K1178" i="1"/>
  <c r="Q1177" i="1" a="1"/>
  <c r="Q1177" i="1"/>
  <c r="O1177" i="1" a="1"/>
  <c r="O1177" i="1"/>
  <c r="J1177" i="1" a="1"/>
  <c r="J1177" i="1" s="1"/>
  <c r="F1177" i="1" a="1"/>
  <c r="F1177" i="1" s="1"/>
  <c r="G1175" i="1" a="1"/>
  <c r="G1175" i="1"/>
  <c r="M1175" i="1" a="1"/>
  <c r="M1175" i="1"/>
  <c r="L1176" i="1" a="1"/>
  <c r="L1176" i="1"/>
  <c r="F1176" i="1" a="1"/>
  <c r="F1176" i="1"/>
  <c r="N1175" i="1" a="1"/>
  <c r="N1175" i="1" s="1"/>
  <c r="K1175" i="1" a="1"/>
  <c r="K1175" i="1" s="1"/>
  <c r="O1176" i="1" a="1"/>
  <c r="O1176" i="1"/>
  <c r="P1174" i="1" a="1"/>
  <c r="P1174" i="1" s="1"/>
  <c r="I1174" i="1" a="1"/>
  <c r="I1174" i="1"/>
  <c r="N1176" i="1" a="1"/>
  <c r="N1176" i="1"/>
  <c r="Q1175" i="1" a="1"/>
  <c r="Q1175" i="1" s="1"/>
  <c r="L1175" i="1" a="1"/>
  <c r="L1175" i="1" s="1"/>
  <c r="J1174" i="1" a="1"/>
  <c r="J1174" i="1" s="1"/>
  <c r="Q1174" i="1" a="1"/>
  <c r="Q1174" i="1"/>
  <c r="I1178" i="1" a="1"/>
  <c r="I1178" i="1" s="1"/>
  <c r="K1179" i="1" a="1"/>
  <c r="K1179" i="1" s="1"/>
  <c r="J1179" i="1" a="1"/>
  <c r="J1179" i="1"/>
  <c r="H1175" i="1" a="1"/>
  <c r="H1175" i="1"/>
  <c r="I1179" i="1" a="1"/>
  <c r="I1179" i="1" s="1"/>
  <c r="G1179" i="1" a="1"/>
  <c r="G1179" i="1" s="1"/>
  <c r="P1177" i="1" a="1"/>
  <c r="P1177" i="1"/>
  <c r="H1176" i="1" a="1"/>
  <c r="H1176" i="1" s="1"/>
  <c r="M1174" i="1" a="1"/>
  <c r="M1174" i="1" s="1"/>
  <c r="I1175" i="1" a="1"/>
  <c r="I1175" i="1"/>
  <c r="F1175" i="1" a="1"/>
  <c r="F1175" i="1" s="1"/>
  <c r="H1179" i="1" a="1"/>
  <c r="H1179" i="1" s="1"/>
  <c r="F1179" i="1" a="1"/>
  <c r="F1179" i="1" s="1"/>
  <c r="Q1178" i="1" a="1"/>
  <c r="Q1178" i="1"/>
  <c r="P1178" i="1" a="1"/>
  <c r="P1178" i="1" s="1"/>
  <c r="G1177" i="1" a="1"/>
  <c r="G1177" i="1"/>
  <c r="K1174" i="1" a="1"/>
  <c r="K1174" i="1"/>
  <c r="O1175" i="1" a="1"/>
  <c r="O1175" i="1" s="1"/>
  <c r="Q1176" i="1" a="1"/>
  <c r="Q1176" i="1"/>
  <c r="K1176" i="1" a="1"/>
  <c r="K1176" i="1" s="1"/>
  <c r="I1176" i="1" a="1"/>
  <c r="I1176" i="1" s="1"/>
  <c r="K1177" i="1" a="1"/>
  <c r="K1177" i="1" s="1"/>
  <c r="O1174" i="1" a="1"/>
  <c r="O1174" i="1"/>
  <c r="O1178" i="1" a="1"/>
  <c r="O1178" i="1" s="1"/>
  <c r="M1176" i="1" a="1"/>
  <c r="M1176" i="1" s="1"/>
  <c r="L1174" i="1" a="1"/>
  <c r="L1174" i="1"/>
  <c r="M1178" i="1" a="1"/>
  <c r="M1178" i="1" s="1"/>
  <c r="N1171" i="1" a="1"/>
  <c r="N1171" i="1" s="1"/>
  <c r="F1173" i="1" a="1"/>
  <c r="F1173" i="1" s="1"/>
  <c r="K1172" i="1" a="1"/>
  <c r="K1172" i="1" s="1"/>
  <c r="P1171" i="1" a="1"/>
  <c r="P1171" i="1" s="1"/>
  <c r="M1170" i="1" a="1"/>
  <c r="M1170" i="1"/>
  <c r="Q1170" i="1" a="1"/>
  <c r="Q1170" i="1"/>
  <c r="K1170" i="1" a="1"/>
  <c r="K1170" i="1" s="1"/>
  <c r="J1170" i="1" a="1"/>
  <c r="J1170" i="1"/>
  <c r="K1169" i="1" a="1"/>
  <c r="K1169" i="1" s="1"/>
  <c r="J1169" i="1" a="1"/>
  <c r="J1169" i="1" s="1"/>
  <c r="P1169" i="1" a="1"/>
  <c r="P1169" i="1"/>
  <c r="F1170" i="1" a="1"/>
  <c r="F1170" i="1"/>
  <c r="G1169" i="1" a="1"/>
  <c r="G1169" i="1" s="1"/>
  <c r="H1170" i="1" a="1"/>
  <c r="H1170" i="1" s="1"/>
  <c r="N1169" i="1" a="1"/>
  <c r="N1169" i="1" s="1"/>
  <c r="Q1168" i="1" a="1"/>
  <c r="Q1168" i="1"/>
  <c r="F1169" i="1" a="1"/>
  <c r="F1169" i="1"/>
  <c r="F1171" i="1" a="1"/>
  <c r="F1171" i="1"/>
  <c r="G1174" i="1" a="1"/>
  <c r="G1174" i="1"/>
  <c r="Q1171" i="1" a="1"/>
  <c r="Q1171" i="1" s="1"/>
  <c r="O1170" i="1" a="1"/>
  <c r="O1170" i="1"/>
  <c r="N1170" i="1" a="1"/>
  <c r="N1170" i="1"/>
  <c r="F1174" i="1" a="1"/>
  <c r="F1174" i="1" s="1"/>
  <c r="J1171" i="1" a="1"/>
  <c r="J1171" i="1"/>
  <c r="O1173" i="1" a="1"/>
  <c r="O1173" i="1" s="1"/>
  <c r="H1172" i="1" a="1"/>
  <c r="H1172" i="1"/>
  <c r="P1168" i="1" a="1"/>
  <c r="P1168" i="1" s="1"/>
  <c r="N1173" i="1" a="1"/>
  <c r="N1173" i="1"/>
  <c r="Q1172" i="1" a="1"/>
  <c r="Q1172" i="1" s="1"/>
  <c r="J1172" i="1" a="1"/>
  <c r="J1172" i="1" s="1"/>
  <c r="P1172" i="1" a="1"/>
  <c r="P1172" i="1"/>
  <c r="L1172" i="1" a="1"/>
  <c r="L1172" i="1" s="1"/>
  <c r="F1172" i="1" a="1"/>
  <c r="F1172" i="1" s="1"/>
  <c r="K1171" i="1" a="1"/>
  <c r="K1171" i="1" s="1"/>
  <c r="L1170" i="1" a="1"/>
  <c r="L1170" i="1" s="1"/>
  <c r="Q1169" i="1" a="1"/>
  <c r="Q1169" i="1"/>
  <c r="H1171" i="1" a="1"/>
  <c r="H1171" i="1" s="1"/>
  <c r="G1170" i="1" a="1"/>
  <c r="G1170" i="1"/>
  <c r="I1171" i="1" a="1"/>
  <c r="I1171" i="1" s="1"/>
  <c r="O1169" i="1" a="1"/>
  <c r="O1169" i="1" s="1"/>
  <c r="P1170" i="1" a="1"/>
  <c r="P1170" i="1"/>
  <c r="L1169" i="1" a="1"/>
  <c r="L1169" i="1"/>
  <c r="Q1173" i="1" a="1"/>
  <c r="Q1173" i="1"/>
  <c r="O1171" i="1" a="1"/>
  <c r="O1171" i="1"/>
  <c r="P1173" i="1" a="1"/>
  <c r="P1173" i="1" s="1"/>
  <c r="O1172" i="1" a="1"/>
  <c r="O1172" i="1" s="1"/>
  <c r="N1172" i="1" a="1"/>
  <c r="N1172" i="1"/>
  <c r="M1172" i="1" a="1"/>
  <c r="M1172" i="1"/>
  <c r="I1169" i="1" a="1"/>
  <c r="I1169" i="1"/>
  <c r="M1173" i="1" a="1"/>
  <c r="M1173" i="1" s="1"/>
  <c r="G1171" i="1" a="1"/>
  <c r="G1171" i="1" s="1"/>
  <c r="G1173" i="1" a="1"/>
  <c r="G1173" i="1" s="1"/>
  <c r="H1173" i="1" a="1"/>
  <c r="H1173" i="1"/>
  <c r="I1172" i="1" a="1"/>
  <c r="I1172" i="1"/>
  <c r="M1169" i="1" a="1"/>
  <c r="M1169" i="1" s="1"/>
  <c r="G1172" i="1" a="1"/>
  <c r="G1172" i="1"/>
  <c r="M1171" i="1" a="1"/>
  <c r="M1171" i="1" s="1"/>
  <c r="H1169" i="1" a="1"/>
  <c r="H1169" i="1"/>
  <c r="J1173" i="1" a="1"/>
  <c r="J1173" i="1"/>
  <c r="L1173" i="1" a="1"/>
  <c r="L1173" i="1"/>
  <c r="K1173" i="1" a="1"/>
  <c r="K1173" i="1" s="1"/>
  <c r="I1173" i="1" a="1"/>
  <c r="I1173" i="1" s="1"/>
  <c r="L1171" i="1" a="1"/>
  <c r="L1171" i="1" s="1"/>
  <c r="I1170" i="1" a="1"/>
  <c r="I1170" i="1" s="1"/>
  <c r="H1166" i="1" a="1"/>
  <c r="H1166" i="1" s="1"/>
  <c r="F1166" i="1" a="1"/>
  <c r="F1166" i="1" s="1"/>
  <c r="N1165" i="1" a="1"/>
  <c r="N1165" i="1"/>
  <c r="K1164" i="1" a="1"/>
  <c r="K1164" i="1"/>
  <c r="P1166" i="1" a="1"/>
  <c r="P1166" i="1" s="1"/>
  <c r="H1167" i="1" a="1"/>
  <c r="H1167" i="1" s="1"/>
  <c r="G1164" i="1" a="1"/>
  <c r="G1164" i="1"/>
  <c r="O1168" i="1" a="1"/>
  <c r="O1168" i="1" s="1"/>
  <c r="I1168" i="1" a="1"/>
  <c r="I1168" i="1"/>
  <c r="P1167" i="1" a="1"/>
  <c r="P1167" i="1" s="1"/>
  <c r="M1165" i="1" a="1"/>
  <c r="M1165" i="1"/>
  <c r="N1164" i="1" a="1"/>
  <c r="N1164" i="1"/>
  <c r="K1165" i="1" a="1"/>
  <c r="K1165" i="1"/>
  <c r="P1163" i="1" a="1"/>
  <c r="P1163" i="1" s="1"/>
  <c r="G1168" i="1" a="1"/>
  <c r="G1168" i="1" s="1"/>
  <c r="M1166" i="1" a="1"/>
  <c r="M1166" i="1" s="1"/>
  <c r="H1165" i="1" a="1"/>
  <c r="H1165" i="1"/>
  <c r="N1168" i="1" a="1"/>
  <c r="N1168" i="1" s="1"/>
  <c r="L1168" i="1" a="1"/>
  <c r="L1168" i="1"/>
  <c r="J1168" i="1" a="1"/>
  <c r="J1168" i="1"/>
  <c r="L1167" i="1" a="1"/>
  <c r="L1167" i="1" s="1"/>
  <c r="F1164" i="1" a="1"/>
  <c r="F1164" i="1"/>
  <c r="K1167" i="1" a="1"/>
  <c r="K1167" i="1"/>
  <c r="L1166" i="1" a="1"/>
  <c r="L1166" i="1"/>
  <c r="Q1165" i="1" a="1"/>
  <c r="Q1165" i="1" s="1"/>
  <c r="G1166" i="1" a="1"/>
  <c r="G1166" i="1" s="1"/>
  <c r="L1163" i="1" a="1"/>
  <c r="L1163" i="1" s="1"/>
  <c r="F1167" i="1" a="1"/>
  <c r="F1167" i="1"/>
  <c r="L1165" i="1" a="1"/>
  <c r="L1165" i="1" s="1"/>
  <c r="P1165" i="1" a="1"/>
  <c r="P1165" i="1"/>
  <c r="I1165" i="1" a="1"/>
  <c r="I1165" i="1" s="1"/>
  <c r="O1164" i="1" a="1"/>
  <c r="O1164" i="1" s="1"/>
  <c r="M1168" i="1" a="1"/>
  <c r="M1168" i="1" s="1"/>
  <c r="K1168" i="1" a="1"/>
  <c r="K1168" i="1"/>
  <c r="G1165" i="1" a="1"/>
  <c r="G1165" i="1" s="1"/>
  <c r="M1164" i="1" a="1"/>
  <c r="M1164" i="1" s="1"/>
  <c r="H1168" i="1" a="1"/>
  <c r="H1168" i="1"/>
  <c r="H1164" i="1" a="1"/>
  <c r="H1164" i="1" s="1"/>
  <c r="K1166" i="1" a="1"/>
  <c r="K1166" i="1"/>
  <c r="I1166" i="1" a="1"/>
  <c r="I1166" i="1"/>
  <c r="J1164" i="1" a="1"/>
  <c r="J1164" i="1"/>
  <c r="I1164" i="1" a="1"/>
  <c r="I1164" i="1"/>
  <c r="M1163" i="1" a="1"/>
  <c r="M1163" i="1" s="1"/>
  <c r="O1167" i="1" a="1"/>
  <c r="O1167" i="1"/>
  <c r="Q1167" i="1" a="1"/>
  <c r="Q1167" i="1"/>
  <c r="N1163" i="1" a="1"/>
  <c r="N1163" i="1"/>
  <c r="O1166" i="1" a="1"/>
  <c r="O1166" i="1"/>
  <c r="F1168" i="1" a="1"/>
  <c r="F1168" i="1" s="1"/>
  <c r="N1167" i="1" a="1"/>
  <c r="N1167" i="1"/>
  <c r="O1163" i="1" a="1"/>
  <c r="O1163" i="1"/>
  <c r="J1167" i="1" a="1"/>
  <c r="J1167" i="1" s="1"/>
  <c r="I1167" i="1" a="1"/>
  <c r="I1167" i="1"/>
  <c r="Q1163" i="1" a="1"/>
  <c r="Q1163" i="1"/>
  <c r="Q1166" i="1" a="1"/>
  <c r="Q1166" i="1" s="1"/>
  <c r="F1165" i="1" a="1"/>
  <c r="F1165" i="1" s="1"/>
  <c r="L1164" i="1" a="1"/>
  <c r="L1164" i="1" s="1"/>
  <c r="O1165" i="1" a="1"/>
  <c r="O1165" i="1" s="1"/>
  <c r="G1167" i="1" a="1"/>
  <c r="G1167" i="1"/>
  <c r="J1165" i="1" a="1"/>
  <c r="J1165" i="1" s="1"/>
  <c r="P1164" i="1" a="1"/>
  <c r="P1164" i="1" s="1"/>
  <c r="N1166" i="1" a="1"/>
  <c r="N1166" i="1"/>
  <c r="Q1164" i="1" a="1"/>
  <c r="Q1164" i="1" s="1"/>
  <c r="J1166" i="1" a="1"/>
  <c r="J1166" i="1"/>
  <c r="M1167" i="1" a="1"/>
  <c r="M1167" i="1"/>
  <c r="O1155" i="1" a="1"/>
  <c r="O1155" i="1" s="1"/>
  <c r="P1156" i="1" a="1"/>
  <c r="P1156" i="1" s="1"/>
  <c r="G1156" i="1" a="1"/>
  <c r="G1156" i="1"/>
  <c r="H1156" i="1" a="1"/>
  <c r="H1156" i="1"/>
  <c r="J1162" i="1" a="1"/>
  <c r="J1162" i="1"/>
  <c r="H1163" i="1" a="1"/>
  <c r="H1163" i="1"/>
  <c r="G1163" i="1" a="1"/>
  <c r="G1163" i="1" s="1"/>
  <c r="F1163" i="1" a="1"/>
  <c r="F1163" i="1"/>
  <c r="Q1162" i="1" a="1"/>
  <c r="Q1162" i="1"/>
  <c r="O1162" i="1" a="1"/>
  <c r="O1162" i="1"/>
  <c r="L1162" i="1" a="1"/>
  <c r="L1162" i="1" s="1"/>
  <c r="K1162" i="1" a="1"/>
  <c r="K1162" i="1" s="1"/>
  <c r="F1156" i="1" a="1"/>
  <c r="F1156" i="1"/>
  <c r="L1156" i="1" a="1"/>
  <c r="L1156" i="1" s="1"/>
  <c r="Q1155" i="1" a="1"/>
  <c r="Q1155" i="1"/>
  <c r="M1162" i="1" a="1"/>
  <c r="M1162" i="1"/>
  <c r="M1155" i="1" a="1"/>
  <c r="M1155" i="1" s="1"/>
  <c r="L1155" i="1" a="1"/>
  <c r="L1155" i="1" s="1"/>
  <c r="O1156" i="1" a="1"/>
  <c r="O1156" i="1"/>
  <c r="K1163" i="1" a="1"/>
  <c r="K1163" i="1" s="1"/>
  <c r="J1163" i="1" a="1"/>
  <c r="J1163" i="1" s="1"/>
  <c r="I1163" i="1" a="1"/>
  <c r="I1163" i="1" s="1"/>
  <c r="N1156" i="1" a="1"/>
  <c r="N1156" i="1" s="1"/>
  <c r="K1156" i="1" a="1"/>
  <c r="K1156" i="1"/>
  <c r="N1155" i="1" a="1"/>
  <c r="N1155" i="1"/>
  <c r="P1162" i="1" a="1"/>
  <c r="P1162" i="1"/>
  <c r="N1162" i="1" a="1"/>
  <c r="N1162" i="1" s="1"/>
  <c r="I1162" i="1" a="1"/>
  <c r="I1162" i="1"/>
  <c r="J1156" i="1" a="1"/>
  <c r="J1156" i="1" s="1"/>
  <c r="P1155" i="1" a="1"/>
  <c r="P1155" i="1"/>
  <c r="Q1156" i="1" a="1"/>
  <c r="Q1156" i="1"/>
  <c r="M1156" i="1" a="1"/>
  <c r="M1156" i="1" s="1"/>
  <c r="H1162" i="1" a="1"/>
  <c r="H1162" i="1" s="1"/>
  <c r="G1162" i="1" a="1"/>
  <c r="G1162" i="1" s="1"/>
  <c r="F1162" i="1" a="1"/>
  <c r="F1162" i="1" s="1"/>
  <c r="I1156" i="1" a="1"/>
  <c r="I1156" i="1"/>
  <c r="Q1154" i="1" a="1"/>
  <c r="Q1154" i="1"/>
  <c r="M1149" i="1" a="1"/>
  <c r="M1149" i="1"/>
  <c r="F1149" i="1" a="1"/>
  <c r="F1149" i="1" s="1"/>
  <c r="K1150" i="1" a="1"/>
  <c r="K1150" i="1"/>
  <c r="H1149" i="1" a="1"/>
  <c r="H1149" i="1" s="1"/>
  <c r="P1153" i="1" a="1"/>
  <c r="P1153" i="1" s="1"/>
  <c r="F1153" i="1" a="1"/>
  <c r="F1153" i="1" s="1"/>
  <c r="N1149" i="1" a="1"/>
  <c r="N1149" i="1"/>
  <c r="L1153" i="1" a="1"/>
  <c r="L1153" i="1" s="1"/>
  <c r="J1155" i="1" a="1"/>
  <c r="J1155" i="1" s="1"/>
  <c r="J1153" i="1" a="1"/>
  <c r="J1153" i="1"/>
  <c r="N1150" i="1" a="1"/>
  <c r="N1150" i="1"/>
  <c r="Q1149" i="1" a="1"/>
  <c r="Q1149" i="1" s="1"/>
  <c r="I1155" i="1" a="1"/>
  <c r="I1155" i="1"/>
  <c r="F1155" i="1" a="1"/>
  <c r="F1155" i="1" s="1"/>
  <c r="K1153" i="1" a="1"/>
  <c r="K1153" i="1"/>
  <c r="J1154" i="1" a="1"/>
  <c r="J1154" i="1"/>
  <c r="N1153" i="1" a="1"/>
  <c r="N1153" i="1"/>
  <c r="F1154" i="1" a="1"/>
  <c r="F1154" i="1" s="1"/>
  <c r="O1150" i="1" a="1"/>
  <c r="O1150" i="1" s="1"/>
  <c r="P1154" i="1" a="1"/>
  <c r="P1154" i="1"/>
  <c r="L1154" i="1" a="1"/>
  <c r="L1154" i="1" s="1"/>
  <c r="G1154" i="1" a="1"/>
  <c r="G1154" i="1"/>
  <c r="P1149" i="1" a="1"/>
  <c r="P1149" i="1"/>
  <c r="J1150" i="1" a="1"/>
  <c r="J1150" i="1" s="1"/>
  <c r="P1148" i="1" a="1"/>
  <c r="P1148" i="1"/>
  <c r="O1154" i="1" a="1"/>
  <c r="O1154" i="1" s="1"/>
  <c r="M1153" i="1" a="1"/>
  <c r="M1153" i="1" s="1"/>
  <c r="P1150" i="1" a="1"/>
  <c r="P1150" i="1" s="1"/>
  <c r="K1148" i="1" a="1"/>
  <c r="K1148" i="1" s="1"/>
  <c r="Q1150" i="1" a="1"/>
  <c r="Q1150" i="1" s="1"/>
  <c r="G1150" i="1" a="1"/>
  <c r="G1150" i="1" s="1"/>
  <c r="M1154" i="1" a="1"/>
  <c r="M1154" i="1"/>
  <c r="G1149" i="1" a="1"/>
  <c r="G1149" i="1"/>
  <c r="G1153" i="1" a="1"/>
  <c r="G1153" i="1" s="1"/>
  <c r="K1154" i="1" a="1"/>
  <c r="K1154" i="1"/>
  <c r="H1154" i="1" a="1"/>
  <c r="H1154" i="1" s="1"/>
  <c r="M1148" i="1" a="1"/>
  <c r="M1148" i="1"/>
  <c r="M1150" i="1" a="1"/>
  <c r="M1150" i="1"/>
  <c r="L1149" i="1" a="1"/>
  <c r="L1149" i="1" s="1"/>
  <c r="L1150" i="1" a="1"/>
  <c r="L1150" i="1" s="1"/>
  <c r="F1150" i="1" a="1"/>
  <c r="F1150" i="1"/>
  <c r="I1150" i="1" a="1"/>
  <c r="I1150" i="1"/>
  <c r="L1148" i="1" a="1"/>
  <c r="L1148" i="1"/>
  <c r="N1148" i="1" a="1"/>
  <c r="N1148" i="1"/>
  <c r="J1149" i="1" a="1"/>
  <c r="J1149" i="1" s="1"/>
  <c r="I1149" i="1" a="1"/>
  <c r="I1149" i="1"/>
  <c r="H1155" i="1" a="1"/>
  <c r="H1155" i="1" s="1"/>
  <c r="G1155" i="1" a="1"/>
  <c r="G1155" i="1" s="1"/>
  <c r="N1154" i="1" a="1"/>
  <c r="N1154" i="1" s="1"/>
  <c r="K1149" i="1" a="1"/>
  <c r="K1149" i="1" s="1"/>
  <c r="I1153" i="1" a="1"/>
  <c r="I1153" i="1"/>
  <c r="O1149" i="1" a="1"/>
  <c r="O1149" i="1"/>
  <c r="H1150" i="1" a="1"/>
  <c r="H1150" i="1" s="1"/>
  <c r="Q1148" i="1" a="1"/>
  <c r="Q1148" i="1" s="1"/>
  <c r="O1148" i="1" a="1"/>
  <c r="O1148" i="1" s="1"/>
  <c r="H1153" i="1" a="1"/>
  <c r="H1153" i="1" s="1"/>
  <c r="J1148" i="1" a="1"/>
  <c r="J1148" i="1"/>
  <c r="Q1153" i="1" a="1"/>
  <c r="Q1153" i="1" s="1"/>
  <c r="K1155" i="1" a="1"/>
  <c r="K1155" i="1"/>
  <c r="O1153" i="1" a="1"/>
  <c r="O1153" i="1"/>
  <c r="I1154" i="1" a="1"/>
  <c r="I1154" i="1" s="1"/>
  <c r="O1144" i="1" a="1"/>
  <c r="O1144" i="1"/>
  <c r="G1148" i="1" a="1"/>
  <c r="G1148" i="1" s="1"/>
  <c r="H1146" i="1" a="1"/>
  <c r="H1146" i="1" s="1"/>
  <c r="G1145" i="1" a="1"/>
  <c r="G1145" i="1"/>
  <c r="L1144" i="1" a="1"/>
  <c r="L1144" i="1"/>
  <c r="F1148" i="1" a="1"/>
  <c r="F1148" i="1" s="1"/>
  <c r="N1143" i="1" a="1"/>
  <c r="N1143" i="1" s="1"/>
  <c r="N1146" i="1" a="1"/>
  <c r="N1146" i="1" s="1"/>
  <c r="I1145" i="1" a="1"/>
  <c r="I1145" i="1"/>
  <c r="Q1143" i="1" a="1"/>
  <c r="Q1143" i="1"/>
  <c r="Q1147" i="1" a="1"/>
  <c r="Q1147" i="1" s="1"/>
  <c r="P1147" i="1" a="1"/>
  <c r="P1147" i="1"/>
  <c r="J1145" i="1" a="1"/>
  <c r="J1145" i="1" s="1"/>
  <c r="N1147" i="1" a="1"/>
  <c r="N1147" i="1"/>
  <c r="L1147" i="1" a="1"/>
  <c r="L1147" i="1"/>
  <c r="N1145" i="1" a="1"/>
  <c r="N1145" i="1" s="1"/>
  <c r="J1146" i="1" a="1"/>
  <c r="J1146" i="1"/>
  <c r="P1145" i="1" a="1"/>
  <c r="P1145" i="1"/>
  <c r="L1145" i="1" a="1"/>
  <c r="L1145" i="1" s="1"/>
  <c r="M1145" i="1" a="1"/>
  <c r="M1145" i="1"/>
  <c r="P1144" i="1" a="1"/>
  <c r="P1144" i="1" s="1"/>
  <c r="Q1144" i="1" a="1"/>
  <c r="Q1144" i="1" s="1"/>
  <c r="F1144" i="1" a="1"/>
  <c r="F1144" i="1"/>
  <c r="I1143" i="1" a="1"/>
  <c r="I1143" i="1" s="1"/>
  <c r="K1146" i="1" a="1"/>
  <c r="K1146" i="1"/>
  <c r="F1147" i="1" a="1"/>
  <c r="F1147" i="1" s="1"/>
  <c r="O1146" i="1" a="1"/>
  <c r="O1146" i="1" s="1"/>
  <c r="L1146" i="1" a="1"/>
  <c r="L1146" i="1"/>
  <c r="G1146" i="1" a="1"/>
  <c r="G1146" i="1" s="1"/>
  <c r="K1144" i="1" a="1"/>
  <c r="K1144" i="1"/>
  <c r="P1146" i="1" a="1"/>
  <c r="P1146" i="1"/>
  <c r="Q1145" i="1" a="1"/>
  <c r="Q1145" i="1" s="1"/>
  <c r="G1144" i="1" a="1"/>
  <c r="G1144" i="1"/>
  <c r="O1147" i="1" a="1"/>
  <c r="O1147" i="1" s="1"/>
  <c r="I1146" i="1" a="1"/>
  <c r="I1146" i="1" s="1"/>
  <c r="H1144" i="1" a="1"/>
  <c r="H1144" i="1" s="1"/>
  <c r="K1143" i="1" a="1"/>
  <c r="K1143" i="1" s="1"/>
  <c r="M1147" i="1" a="1"/>
  <c r="M1147" i="1"/>
  <c r="N1144" i="1" a="1"/>
  <c r="N1144" i="1"/>
  <c r="G1147" i="1" a="1"/>
  <c r="G1147" i="1"/>
  <c r="Q1146" i="1" a="1"/>
  <c r="Q1146" i="1"/>
  <c r="I1144" i="1" a="1"/>
  <c r="I1144" i="1" s="1"/>
  <c r="M1146" i="1" a="1"/>
  <c r="M1146" i="1" s="1"/>
  <c r="K1147" i="1" a="1"/>
  <c r="K1147" i="1"/>
  <c r="J1147" i="1" a="1"/>
  <c r="J1147" i="1" s="1"/>
  <c r="I1147" i="1" a="1"/>
  <c r="I1147" i="1"/>
  <c r="H1143" i="1" a="1"/>
  <c r="H1143" i="1" s="1"/>
  <c r="H1147" i="1" a="1"/>
  <c r="H1147" i="1" s="1"/>
  <c r="F1145" i="1" a="1"/>
  <c r="F1145" i="1" s="1"/>
  <c r="F1146" i="1" a="1"/>
  <c r="F1146" i="1"/>
  <c r="P1143" i="1" a="1"/>
  <c r="P1143" i="1"/>
  <c r="O1145" i="1" a="1"/>
  <c r="O1145" i="1" s="1"/>
  <c r="J1144" i="1" a="1"/>
  <c r="J1144" i="1" s="1"/>
  <c r="O1143" i="1" a="1"/>
  <c r="O1143" i="1" s="1"/>
  <c r="K1145" i="1" a="1"/>
  <c r="K1145" i="1"/>
  <c r="M1144" i="1" a="1"/>
  <c r="M1144" i="1"/>
  <c r="M1143" i="1" a="1"/>
  <c r="M1143" i="1"/>
  <c r="J1143" i="1" a="1"/>
  <c r="J1143" i="1" s="1"/>
  <c r="L1143" i="1" a="1"/>
  <c r="L1143" i="1" s="1"/>
  <c r="H1145" i="1" a="1"/>
  <c r="H1145" i="1"/>
  <c r="I1148" i="1" a="1"/>
  <c r="I1148" i="1" s="1"/>
  <c r="H1148" i="1" a="1"/>
  <c r="H1148" i="1" s="1"/>
  <c r="M1142" i="1" a="1"/>
  <c r="M1142" i="1" s="1"/>
  <c r="N1142" i="1" a="1"/>
  <c r="N1142" i="1" s="1"/>
  <c r="J1142" i="1" a="1"/>
  <c r="J1142" i="1"/>
  <c r="L1142" i="1" a="1"/>
  <c r="L1142" i="1"/>
  <c r="K1142" i="1" a="1"/>
  <c r="K1142" i="1" s="1"/>
  <c r="I1142" i="1" a="1"/>
  <c r="I1142" i="1"/>
  <c r="H1142" i="1" a="1"/>
  <c r="H1142" i="1" s="1"/>
  <c r="Q1141" i="1" a="1"/>
  <c r="Q1141" i="1" s="1"/>
  <c r="G1142" i="1" a="1"/>
  <c r="G1142" i="1"/>
  <c r="F1142" i="1" a="1"/>
  <c r="F1142" i="1"/>
  <c r="O1142" i="1" a="1"/>
  <c r="O1142" i="1"/>
  <c r="G1143" i="1" a="1"/>
  <c r="G1143" i="1" s="1"/>
  <c r="F1143" i="1" a="1"/>
  <c r="F1143" i="1" s="1"/>
  <c r="Q1142" i="1" a="1"/>
  <c r="Q1142" i="1"/>
  <c r="P1142" i="1" a="1"/>
  <c r="P1142" i="1" s="1"/>
  <c r="Q1140" i="1" a="1"/>
  <c r="Q1140" i="1"/>
  <c r="P1141" i="1" a="1"/>
  <c r="P1141" i="1"/>
  <c r="N1141" i="1" a="1"/>
  <c r="N1141" i="1"/>
  <c r="M1141" i="1" a="1"/>
  <c r="M1141" i="1" s="1"/>
  <c r="K1141" i="1" a="1"/>
  <c r="K1141" i="1" s="1"/>
  <c r="J1141" i="1" a="1"/>
  <c r="J1141" i="1"/>
  <c r="O1140" i="1" a="1"/>
  <c r="O1140" i="1"/>
  <c r="M1140" i="1" a="1"/>
  <c r="M1140" i="1"/>
  <c r="H1141" i="1" a="1"/>
  <c r="H1141" i="1" s="1"/>
  <c r="P1140" i="1" a="1"/>
  <c r="P1140" i="1"/>
  <c r="L1140" i="1" a="1"/>
  <c r="L1140" i="1" s="1"/>
  <c r="N1140" i="1" a="1"/>
  <c r="N1140" i="1"/>
  <c r="G1141" i="1" a="1"/>
  <c r="G1141" i="1" s="1"/>
  <c r="L1141" i="1" a="1"/>
  <c r="L1141" i="1" s="1"/>
  <c r="I1141" i="1" a="1"/>
  <c r="I1141" i="1"/>
  <c r="O1141" i="1" a="1"/>
  <c r="O1141" i="1" s="1"/>
  <c r="F1141" i="1" a="1"/>
  <c r="F1141" i="1"/>
  <c r="J1138" i="1" a="1"/>
  <c r="J1138" i="1" s="1"/>
  <c r="I1138" i="1" a="1"/>
  <c r="I1138" i="1" s="1"/>
  <c r="G1138" i="1" a="1"/>
  <c r="G1138" i="1"/>
  <c r="K1138" i="1" a="1"/>
  <c r="K1138" i="1"/>
  <c r="O1139" i="1" a="1"/>
  <c r="O1139" i="1" s="1"/>
  <c r="H1139" i="1" a="1"/>
  <c r="H1139" i="1" s="1"/>
  <c r="K1139" i="1" a="1"/>
  <c r="K1139" i="1" s="1"/>
  <c r="I1139" i="1" a="1"/>
  <c r="I1139" i="1"/>
  <c r="J1139" i="1" a="1"/>
  <c r="J1139" i="1"/>
  <c r="N1138" i="1" a="1"/>
  <c r="N1138" i="1"/>
  <c r="M1138" i="1" a="1"/>
  <c r="M1138" i="1" s="1"/>
  <c r="H1138" i="1" a="1"/>
  <c r="H1138" i="1" s="1"/>
  <c r="G1139" i="1" a="1"/>
  <c r="G1139" i="1"/>
  <c r="P1139" i="1" a="1"/>
  <c r="P1139" i="1" s="1"/>
  <c r="Q1139" i="1" a="1"/>
  <c r="Q1139" i="1"/>
  <c r="K1140" i="1" a="1"/>
  <c r="K1140" i="1"/>
  <c r="J1140" i="1" a="1"/>
  <c r="J1140" i="1" s="1"/>
  <c r="F1139" i="1" a="1"/>
  <c r="F1139" i="1"/>
  <c r="I1140" i="1" a="1"/>
  <c r="I1140" i="1" s="1"/>
  <c r="L1139" i="1" a="1"/>
  <c r="L1139" i="1"/>
  <c r="H1140" i="1" a="1"/>
  <c r="H1140" i="1"/>
  <c r="G1140" i="1" a="1"/>
  <c r="G1140" i="1"/>
  <c r="F1140" i="1" a="1"/>
  <c r="F1140" i="1" s="1"/>
  <c r="N1139" i="1" a="1"/>
  <c r="N1139" i="1"/>
  <c r="M1139" i="1" a="1"/>
  <c r="M1139" i="1" s="1"/>
  <c r="Q1138" i="1" a="1"/>
  <c r="Q1138" i="1"/>
  <c r="P1138" i="1" a="1"/>
  <c r="P1138" i="1" s="1"/>
  <c r="F1138" i="1" a="1"/>
  <c r="F1138" i="1" s="1"/>
  <c r="O1138" i="1" a="1"/>
  <c r="O1138" i="1" s="1"/>
  <c r="L1138" i="1" a="1"/>
  <c r="L1138" i="1"/>
  <c r="N1228" i="1" a="1"/>
  <c r="N1228" i="1"/>
  <c r="K1228" i="1" a="1"/>
  <c r="K1228" i="1"/>
  <c r="J1228" i="1" a="1"/>
  <c r="J1228" i="1" s="1"/>
  <c r="M1226" i="1" a="1"/>
  <c r="M1226" i="1" s="1"/>
  <c r="H1228" i="1" a="1"/>
  <c r="H1228" i="1"/>
  <c r="G1227" i="1" a="1"/>
  <c r="G1227" i="1"/>
  <c r="I1225" i="1" a="1"/>
  <c r="I1225" i="1"/>
  <c r="F1228" i="1" a="1"/>
  <c r="F1228" i="1" s="1"/>
  <c r="J1226" i="1" a="1"/>
  <c r="J1226" i="1" s="1"/>
  <c r="N1227" i="1" a="1"/>
  <c r="N1227" i="1"/>
  <c r="F1227" i="1" a="1"/>
  <c r="F1227" i="1"/>
  <c r="L1229" i="1" a="1"/>
  <c r="L1229" i="1" s="1"/>
  <c r="Q1225" i="1" a="1"/>
  <c r="Q1225" i="1" s="1"/>
  <c r="K1229" i="1" a="1"/>
  <c r="K1229" i="1"/>
  <c r="J1229" i="1" a="1"/>
  <c r="J1229" i="1"/>
  <c r="P1228" i="1" a="1"/>
  <c r="P1228" i="1" s="1"/>
  <c r="L1228" i="1" a="1"/>
  <c r="L1228" i="1" s="1"/>
  <c r="O1227" i="1" a="1"/>
  <c r="O1227" i="1"/>
  <c r="M1227" i="1" a="1"/>
  <c r="M1227" i="1" s="1"/>
  <c r="Q1226" i="1" a="1"/>
  <c r="Q1226" i="1"/>
  <c r="I1227" i="1" a="1"/>
  <c r="I1227" i="1" s="1"/>
  <c r="F1226" i="1" a="1"/>
  <c r="F1226" i="1" s="1"/>
  <c r="P1226" i="1" a="1"/>
  <c r="P1226" i="1" s="1"/>
  <c r="H1226" i="1" a="1"/>
  <c r="H1226" i="1" s="1"/>
  <c r="O1225" i="1" a="1"/>
  <c r="O1225" i="1"/>
  <c r="K1226" i="1" a="1"/>
  <c r="K1226" i="1" s="1"/>
  <c r="Q1228" i="1" a="1"/>
  <c r="Q1228" i="1"/>
  <c r="N1226" i="1" a="1"/>
  <c r="N1226" i="1" s="1"/>
  <c r="M1225" i="1" a="1"/>
  <c r="M1225" i="1"/>
  <c r="J1227" i="1" a="1"/>
  <c r="J1227" i="1" s="1"/>
  <c r="H1229" i="1" a="1"/>
  <c r="H1229" i="1"/>
  <c r="O1228" i="1" a="1"/>
  <c r="O1228" i="1"/>
  <c r="M1228" i="1" a="1"/>
  <c r="M1228" i="1"/>
  <c r="I1226" i="1" a="1"/>
  <c r="I1226" i="1" s="1"/>
  <c r="L1225" i="1" a="1"/>
  <c r="L1225" i="1"/>
  <c r="P1225" i="1" a="1"/>
  <c r="P1225" i="1" s="1"/>
  <c r="H1225" i="1" a="1"/>
  <c r="H1225" i="1" s="1"/>
  <c r="G1225" i="1" a="1"/>
  <c r="G1225" i="1"/>
  <c r="J1230" i="1" a="1"/>
  <c r="J1230" i="1" s="1"/>
  <c r="I1230" i="1" a="1"/>
  <c r="I1230" i="1" s="1"/>
  <c r="G1228" i="1" a="1"/>
  <c r="G1228" i="1" s="1"/>
  <c r="P1227" i="1" a="1"/>
  <c r="P1227" i="1"/>
  <c r="O1226" i="1" a="1"/>
  <c r="O1226" i="1" s="1"/>
  <c r="G1226" i="1" a="1"/>
  <c r="G1226" i="1"/>
  <c r="F1230" i="1" a="1"/>
  <c r="F1230" i="1" s="1"/>
  <c r="Q1229" i="1" a="1"/>
  <c r="Q1229" i="1" s="1"/>
  <c r="I1229" i="1" a="1"/>
  <c r="I1229" i="1"/>
  <c r="K1225" i="1" a="1"/>
  <c r="K1225" i="1"/>
  <c r="N1225" i="1" a="1"/>
  <c r="N1225" i="1"/>
  <c r="K1227" i="1" a="1"/>
  <c r="K1227" i="1" s="1"/>
  <c r="H1230" i="1" a="1"/>
  <c r="H1230" i="1" s="1"/>
  <c r="G1230" i="1" a="1"/>
  <c r="G1230" i="1"/>
  <c r="P1229" i="1" a="1"/>
  <c r="P1229" i="1"/>
  <c r="O1229" i="1" a="1"/>
  <c r="O1229" i="1"/>
  <c r="I1228" i="1" a="1"/>
  <c r="I1228" i="1" s="1"/>
  <c r="H1227" i="1" a="1"/>
  <c r="H1227" i="1" s="1"/>
  <c r="J1225" i="1" a="1"/>
  <c r="J1225" i="1" s="1"/>
  <c r="N1229" i="1" a="1"/>
  <c r="N1229" i="1" s="1"/>
  <c r="Q1227" i="1" a="1"/>
  <c r="Q1227" i="1"/>
  <c r="M1229" i="1" a="1"/>
  <c r="M1229" i="1"/>
  <c r="L1226" i="1" a="1"/>
  <c r="L1226" i="1" s="1"/>
  <c r="G1229" i="1" a="1"/>
  <c r="G1229" i="1"/>
  <c r="L1227" i="1" a="1"/>
  <c r="L1227" i="1"/>
  <c r="F1229" i="1" a="1"/>
  <c r="F1229" i="1" s="1"/>
  <c r="N1221" i="1" a="1"/>
  <c r="N1221" i="1" s="1"/>
  <c r="L1223" i="1" a="1"/>
  <c r="L1223" i="1" s="1"/>
  <c r="N1223" i="1" a="1"/>
  <c r="N1223" i="1"/>
  <c r="M1221" i="1" a="1"/>
  <c r="M1221" i="1" s="1"/>
  <c r="M1222" i="1" a="1"/>
  <c r="M1222" i="1" s="1"/>
  <c r="F1224" i="1" a="1"/>
  <c r="F1224" i="1" s="1"/>
  <c r="L1224" i="1" a="1"/>
  <c r="L1224" i="1"/>
  <c r="I1224" i="1" a="1"/>
  <c r="I1224" i="1"/>
  <c r="K1223" i="1" a="1"/>
  <c r="K1223" i="1"/>
  <c r="H1224" i="1" a="1"/>
  <c r="H1224" i="1" s="1"/>
  <c r="K1221" i="1" a="1"/>
  <c r="K1221" i="1"/>
  <c r="I1223" i="1" a="1"/>
  <c r="I1223" i="1" s="1"/>
  <c r="I1222" i="1" a="1"/>
  <c r="I1222" i="1"/>
  <c r="P1221" i="1" a="1"/>
  <c r="P1221" i="1" s="1"/>
  <c r="Q1221" i="1" a="1"/>
  <c r="Q1221" i="1" s="1"/>
  <c r="L1221" i="1" a="1"/>
  <c r="L1221" i="1" s="1"/>
  <c r="J1223" i="1" a="1"/>
  <c r="J1223" i="1" s="1"/>
  <c r="H1223" i="1" a="1"/>
  <c r="H1223" i="1" s="1"/>
  <c r="K1224" i="1" a="1"/>
  <c r="K1224" i="1"/>
  <c r="G1222" i="1" a="1"/>
  <c r="G1222" i="1"/>
  <c r="O1221" i="1" a="1"/>
  <c r="O1221" i="1"/>
  <c r="F1222" i="1" a="1"/>
  <c r="F1222" i="1" s="1"/>
  <c r="M1224" i="1" a="1"/>
  <c r="M1224" i="1" s="1"/>
  <c r="F1225" i="1" a="1"/>
  <c r="F1225" i="1"/>
  <c r="Q1224" i="1" a="1"/>
  <c r="Q1224" i="1"/>
  <c r="K1222" i="1" a="1"/>
  <c r="K1222" i="1" s="1"/>
  <c r="P1224" i="1" a="1"/>
  <c r="P1224" i="1"/>
  <c r="P1222" i="1" a="1"/>
  <c r="P1222" i="1"/>
  <c r="G1223" i="1" a="1"/>
  <c r="G1223" i="1" s="1"/>
  <c r="L1222" i="1" a="1"/>
  <c r="L1222" i="1"/>
  <c r="H1222" i="1" a="1"/>
  <c r="H1222" i="1" s="1"/>
  <c r="O1224" i="1" a="1"/>
  <c r="O1224" i="1" s="1"/>
  <c r="M1223" i="1" a="1"/>
  <c r="M1223" i="1" s="1"/>
  <c r="N1224" i="1" a="1"/>
  <c r="N1224" i="1"/>
  <c r="O1223" i="1" a="1"/>
  <c r="O1223" i="1"/>
  <c r="F1223" i="1" a="1"/>
  <c r="F1223" i="1"/>
  <c r="J1222" i="1" a="1"/>
  <c r="J1222" i="1" s="1"/>
  <c r="Q1222" i="1" a="1"/>
  <c r="Q1222" i="1" s="1"/>
  <c r="I1221" i="1" a="1"/>
  <c r="I1221" i="1" s="1"/>
  <c r="J1224" i="1" a="1"/>
  <c r="J1224" i="1" s="1"/>
  <c r="G1224" i="1" a="1"/>
  <c r="G1224" i="1" s="1"/>
  <c r="Q1223" i="1" a="1"/>
  <c r="Q1223" i="1"/>
  <c r="J1221" i="1" a="1"/>
  <c r="J1221" i="1" s="1"/>
  <c r="H1221" i="1" a="1"/>
  <c r="H1221" i="1" s="1"/>
  <c r="P1223" i="1" a="1"/>
  <c r="P1223" i="1"/>
  <c r="O1222" i="1" a="1"/>
  <c r="O1222" i="1" s="1"/>
  <c r="G1221" i="1" a="1"/>
  <c r="G1221" i="1"/>
  <c r="N1222" i="1" a="1"/>
  <c r="N1222" i="1"/>
  <c r="H1218" i="1" a="1"/>
  <c r="H1218" i="1" s="1"/>
  <c r="M1220" i="1" a="1"/>
  <c r="M1220" i="1"/>
  <c r="L1220" i="1" a="1"/>
  <c r="L1220" i="1" s="1"/>
  <c r="K1220" i="1" a="1"/>
  <c r="K1220" i="1" s="1"/>
  <c r="P1217" i="1" a="1"/>
  <c r="P1217" i="1" s="1"/>
  <c r="I1220" i="1" a="1"/>
  <c r="I1220" i="1"/>
  <c r="H1220" i="1" a="1"/>
  <c r="H1220" i="1"/>
  <c r="G1220" i="1" a="1"/>
  <c r="G1220" i="1" s="1"/>
  <c r="Q1219" i="1" a="1"/>
  <c r="Q1219" i="1" s="1"/>
  <c r="P1219" i="1" a="1"/>
  <c r="P1219" i="1"/>
  <c r="M1218" i="1" a="1"/>
  <c r="M1218" i="1" s="1"/>
  <c r="L1217" i="1" a="1"/>
  <c r="L1217" i="1"/>
  <c r="J1218" i="1" a="1"/>
  <c r="J1218" i="1"/>
  <c r="I1219" i="1" a="1"/>
  <c r="I1219" i="1"/>
  <c r="Q1217" i="1" a="1"/>
  <c r="Q1217" i="1" s="1"/>
  <c r="I1217" i="1" a="1"/>
  <c r="I1217" i="1" s="1"/>
  <c r="O1219" i="1" a="1"/>
  <c r="O1219" i="1" s="1"/>
  <c r="H1219" i="1" a="1"/>
  <c r="H1219" i="1"/>
  <c r="N1219" i="1" a="1"/>
  <c r="N1219" i="1"/>
  <c r="Q1218" i="1" a="1"/>
  <c r="Q1218" i="1" s="1"/>
  <c r="P1218" i="1" a="1"/>
  <c r="P1218" i="1"/>
  <c r="K1219" i="1" a="1"/>
  <c r="K1219" i="1"/>
  <c r="M1219" i="1" a="1"/>
  <c r="M1219" i="1" s="1"/>
  <c r="L1219" i="1" a="1"/>
  <c r="L1219" i="1"/>
  <c r="L1218" i="1" a="1"/>
  <c r="L1218" i="1"/>
  <c r="J1219" i="1" a="1"/>
  <c r="J1219" i="1" s="1"/>
  <c r="G1219" i="1" a="1"/>
  <c r="G1219" i="1"/>
  <c r="F1219" i="1" a="1"/>
  <c r="F1219" i="1"/>
  <c r="N1218" i="1" a="1"/>
  <c r="N1218" i="1"/>
  <c r="I1218" i="1" a="1"/>
  <c r="I1218" i="1" s="1"/>
  <c r="F1218" i="1" a="1"/>
  <c r="F1218" i="1" s="1"/>
  <c r="G1218" i="1" a="1"/>
  <c r="G1218" i="1" s="1"/>
  <c r="N1217" i="1" a="1"/>
  <c r="N1217" i="1" s="1"/>
  <c r="O1217" i="1" a="1"/>
  <c r="O1217" i="1"/>
  <c r="G1217" i="1" a="1"/>
  <c r="G1217" i="1"/>
  <c r="J1217" i="1" a="1"/>
  <c r="J1217" i="1"/>
  <c r="M1217" i="1" a="1"/>
  <c r="M1217" i="1" s="1"/>
  <c r="F1221" i="1" a="1"/>
  <c r="F1221" i="1" s="1"/>
  <c r="K1218" i="1" a="1"/>
  <c r="K1218" i="1" s="1"/>
  <c r="Q1220" i="1" a="1"/>
  <c r="Q1220" i="1"/>
  <c r="P1220" i="1" a="1"/>
  <c r="P1220" i="1" s="1"/>
  <c r="F1220" i="1" a="1"/>
  <c r="F1220" i="1"/>
  <c r="O1218" i="1" a="1"/>
  <c r="O1218" i="1"/>
  <c r="K1217" i="1" a="1"/>
  <c r="K1217" i="1"/>
  <c r="H1217" i="1" a="1"/>
  <c r="H1217" i="1" s="1"/>
  <c r="F1217" i="1" a="1"/>
  <c r="F1217" i="1" s="1"/>
  <c r="O1220" i="1" a="1"/>
  <c r="O1220" i="1" s="1"/>
  <c r="N1220" i="1" a="1"/>
  <c r="N1220" i="1" s="1"/>
  <c r="J1220" i="1" a="1"/>
  <c r="J1220" i="1" s="1"/>
  <c r="Q1215" i="1" a="1"/>
  <c r="Q1215" i="1"/>
  <c r="J1214" i="1" a="1"/>
  <c r="J1214" i="1" s="1"/>
  <c r="I1215" i="1" a="1"/>
  <c r="I1215" i="1"/>
  <c r="O1214" i="1" a="1"/>
  <c r="O1214" i="1" s="1"/>
  <c r="I1212" i="1" a="1"/>
  <c r="I1212" i="1"/>
  <c r="I1216" i="1" a="1"/>
  <c r="I1216" i="1"/>
  <c r="J1212" i="1" a="1"/>
  <c r="J1212" i="1" s="1"/>
  <c r="H1216" i="1" a="1"/>
  <c r="H1216" i="1" s="1"/>
  <c r="P1212" i="1" a="1"/>
  <c r="P1212" i="1"/>
  <c r="P1216" i="1" a="1"/>
  <c r="P1216" i="1" s="1"/>
  <c r="G1215" i="1" a="1"/>
  <c r="G1215" i="1"/>
  <c r="G1212" i="1" a="1"/>
  <c r="G1212" i="1"/>
  <c r="Q1211" i="1" a="1"/>
  <c r="Q1211" i="1"/>
  <c r="O1216" i="1" a="1"/>
  <c r="O1216" i="1"/>
  <c r="L1216" i="1" a="1"/>
  <c r="L1216" i="1"/>
  <c r="K1216" i="1" a="1"/>
  <c r="K1216" i="1" s="1"/>
  <c r="M1216" i="1" a="1"/>
  <c r="M1216" i="1" s="1"/>
  <c r="O1215" i="1" a="1"/>
  <c r="O1215" i="1" s="1"/>
  <c r="J1216" i="1" a="1"/>
  <c r="J1216" i="1"/>
  <c r="H1215" i="1" a="1"/>
  <c r="H1215" i="1" s="1"/>
  <c r="H1212" i="1" a="1"/>
  <c r="H1212" i="1" s="1"/>
  <c r="Q1214" i="1" a="1"/>
  <c r="Q1214" i="1"/>
  <c r="P1214" i="1" a="1"/>
  <c r="P1214" i="1" s="1"/>
  <c r="G1214" i="1" a="1"/>
  <c r="G1214" i="1"/>
  <c r="F1214" i="1" a="1"/>
  <c r="F1214" i="1"/>
  <c r="N1212" i="1" a="1"/>
  <c r="N1212" i="1"/>
  <c r="L1212" i="1" a="1"/>
  <c r="L1212" i="1" s="1"/>
  <c r="G1216" i="1" a="1"/>
  <c r="G1216" i="1" s="1"/>
  <c r="P1215" i="1" a="1"/>
  <c r="P1215" i="1" s="1"/>
  <c r="H1214" i="1" a="1"/>
  <c r="H1214" i="1" s="1"/>
  <c r="M1215" i="1" a="1"/>
  <c r="M1215" i="1"/>
  <c r="Q1212" i="1" a="1"/>
  <c r="Q1212" i="1"/>
  <c r="L1215" i="1" a="1"/>
  <c r="L1215" i="1" s="1"/>
  <c r="F1212" i="1" a="1"/>
  <c r="F1212" i="1" s="1"/>
  <c r="J1215" i="1" a="1"/>
  <c r="J1215" i="1"/>
  <c r="O1212" i="1" a="1"/>
  <c r="O1212" i="1"/>
  <c r="N1214" i="1" a="1"/>
  <c r="N1214" i="1"/>
  <c r="M1214" i="1" a="1"/>
  <c r="M1214" i="1" s="1"/>
  <c r="N1215" i="1" a="1"/>
  <c r="N1215" i="1" s="1"/>
  <c r="K1215" i="1" a="1"/>
  <c r="K1215" i="1"/>
  <c r="P1211" i="1" a="1"/>
  <c r="P1211" i="1" s="1"/>
  <c r="L1214" i="1" a="1"/>
  <c r="L1214" i="1"/>
  <c r="Q1216" i="1" a="1"/>
  <c r="Q1216" i="1" s="1"/>
  <c r="F1215" i="1" a="1"/>
  <c r="F1215" i="1" s="1"/>
  <c r="I1214" i="1" a="1"/>
  <c r="I1214" i="1"/>
  <c r="M1212" i="1" a="1"/>
  <c r="M1212" i="1" s="1"/>
  <c r="K1212" i="1" a="1"/>
  <c r="K1212" i="1" s="1"/>
  <c r="N1216" i="1" a="1"/>
  <c r="N1216" i="1"/>
  <c r="K1214" i="1" a="1"/>
  <c r="K1214" i="1"/>
  <c r="F1216" i="1" a="1"/>
  <c r="F1216" i="1" s="1"/>
  <c r="I1208" i="1" a="1"/>
  <c r="I1208" i="1" s="1"/>
  <c r="O1210" i="1" a="1"/>
  <c r="O1210" i="1" s="1"/>
  <c r="I1210" i="1" a="1"/>
  <c r="I1210" i="1"/>
  <c r="N1209" i="1" a="1"/>
  <c r="N1209" i="1" s="1"/>
  <c r="L1211" i="1" a="1"/>
  <c r="L1211" i="1"/>
  <c r="J1211" i="1" a="1"/>
  <c r="J1211" i="1"/>
  <c r="K1211" i="1" a="1"/>
  <c r="K1211" i="1" s="1"/>
  <c r="I1211" i="1" a="1"/>
  <c r="I1211" i="1"/>
  <c r="F1208" i="1" a="1"/>
  <c r="F1208" i="1" s="1"/>
  <c r="H1209" i="1" a="1"/>
  <c r="H1209" i="1"/>
  <c r="M1210" i="1" a="1"/>
  <c r="M1210" i="1"/>
  <c r="J1210" i="1" a="1"/>
  <c r="J1210" i="1" s="1"/>
  <c r="Q1208" i="1" a="1"/>
  <c r="Q1208" i="1" s="1"/>
  <c r="I1209" i="1" a="1"/>
  <c r="I1209" i="1" s="1"/>
  <c r="G1209" i="1" a="1"/>
  <c r="G1209" i="1" s="1"/>
  <c r="F1211" i="1" a="1"/>
  <c r="F1211" i="1"/>
  <c r="Q1210" i="1" a="1"/>
  <c r="Q1210" i="1"/>
  <c r="K1210" i="1" a="1"/>
  <c r="K1210" i="1"/>
  <c r="K1209" i="1" a="1"/>
  <c r="K1209" i="1" s="1"/>
  <c r="P1209" i="1" a="1"/>
  <c r="P1209" i="1" s="1"/>
  <c r="L1208" i="1" a="1"/>
  <c r="L1208" i="1" s="1"/>
  <c r="H1210" i="1" a="1"/>
  <c r="H1210" i="1"/>
  <c r="G1210" i="1" a="1"/>
  <c r="G1210" i="1"/>
  <c r="J1209" i="1" a="1"/>
  <c r="J1209" i="1"/>
  <c r="F1209" i="1" a="1"/>
  <c r="F1209" i="1" s="1"/>
  <c r="O1208" i="1" a="1"/>
  <c r="O1208" i="1" s="1"/>
  <c r="M1208" i="1" a="1"/>
  <c r="M1208" i="1"/>
  <c r="J1208" i="1" a="1"/>
  <c r="J1208" i="1" s="1"/>
  <c r="L1209" i="1" a="1"/>
  <c r="L1209" i="1"/>
  <c r="P1208" i="1" a="1"/>
  <c r="P1208" i="1"/>
  <c r="G1208" i="1" a="1"/>
  <c r="G1208" i="1" s="1"/>
  <c r="F1210" i="1" a="1"/>
  <c r="F1210" i="1" s="1"/>
  <c r="H1208" i="1" a="1"/>
  <c r="H1208" i="1" s="1"/>
  <c r="P1210" i="1" a="1"/>
  <c r="P1210" i="1"/>
  <c r="N1210" i="1" a="1"/>
  <c r="N1210" i="1" s="1"/>
  <c r="O1209" i="1" a="1"/>
  <c r="O1209" i="1" s="1"/>
  <c r="G1211" i="1" a="1"/>
  <c r="G1211" i="1"/>
  <c r="O1211" i="1" a="1"/>
  <c r="O1211" i="1" s="1"/>
  <c r="L1210" i="1" a="1"/>
  <c r="L1210" i="1"/>
  <c r="N1211" i="1" a="1"/>
  <c r="N1211" i="1"/>
  <c r="M1211" i="1" a="1"/>
  <c r="M1211" i="1" s="1"/>
  <c r="H1211" i="1" a="1"/>
  <c r="H1211" i="1"/>
  <c r="N1208" i="1" a="1"/>
  <c r="N1208" i="1"/>
  <c r="Q1209" i="1" a="1"/>
  <c r="Q1209" i="1" s="1"/>
  <c r="M1209" i="1" a="1"/>
  <c r="M1209" i="1" s="1"/>
  <c r="K1208" i="1" a="1"/>
  <c r="K1208" i="1" s="1"/>
  <c r="N1200" i="1" a="1"/>
  <c r="N1200" i="1"/>
  <c r="Q1202" i="1" a="1"/>
  <c r="Q1202" i="1"/>
  <c r="N1202" i="1" a="1"/>
  <c r="N1202" i="1" s="1"/>
  <c r="M1201" i="1" a="1"/>
  <c r="M1201" i="1"/>
  <c r="F1201" i="1" a="1"/>
  <c r="F1201" i="1" s="1"/>
  <c r="P1202" i="1" a="1"/>
  <c r="P1202" i="1"/>
  <c r="O1202" i="1" a="1"/>
  <c r="O1202" i="1"/>
  <c r="N1201" i="1" a="1"/>
  <c r="N1201" i="1" s="1"/>
  <c r="Q1199" i="1" a="1"/>
  <c r="Q1199" i="1" s="1"/>
  <c r="M1202" i="1" a="1"/>
  <c r="M1202" i="1"/>
  <c r="H1202" i="1" a="1"/>
  <c r="H1202" i="1" s="1"/>
  <c r="H1200" i="1" a="1"/>
  <c r="H1200" i="1" s="1"/>
  <c r="I1202" i="1" a="1"/>
  <c r="I1202" i="1" s="1"/>
  <c r="Q1201" i="1" a="1"/>
  <c r="Q1201" i="1"/>
  <c r="O1201" i="1" a="1"/>
  <c r="O1201" i="1"/>
  <c r="P1200" i="1" a="1"/>
  <c r="P1200" i="1" s="1"/>
  <c r="L1201" i="1" a="1"/>
  <c r="L1201" i="1" s="1"/>
  <c r="I1200" i="1" a="1"/>
  <c r="I1200" i="1"/>
  <c r="G1200" i="1" a="1"/>
  <c r="G1200" i="1"/>
  <c r="L1200" i="1" a="1"/>
  <c r="L1200" i="1" s="1"/>
  <c r="K1201" i="1" a="1"/>
  <c r="K1201" i="1" s="1"/>
  <c r="H1201" i="1" a="1"/>
  <c r="H1201" i="1"/>
  <c r="P1201" i="1" a="1"/>
  <c r="P1201" i="1"/>
  <c r="J1202" i="1" a="1"/>
  <c r="J1202" i="1" s="1"/>
  <c r="O1200" i="1" a="1"/>
  <c r="O1200" i="1"/>
  <c r="Q1200" i="1" a="1"/>
  <c r="Q1200" i="1"/>
  <c r="J1201" i="1" a="1"/>
  <c r="J1201" i="1"/>
  <c r="M1200" i="1" a="1"/>
  <c r="M1200" i="1"/>
  <c r="F1202" i="1" a="1"/>
  <c r="F1202" i="1" s="1"/>
  <c r="K1200" i="1" a="1"/>
  <c r="K1200" i="1" s="1"/>
  <c r="J1200" i="1" a="1"/>
  <c r="J1200" i="1" s="1"/>
  <c r="G1201" i="1" a="1"/>
  <c r="G1201" i="1" s="1"/>
  <c r="F1200" i="1" a="1"/>
  <c r="F1200" i="1" s="1"/>
  <c r="I1201" i="1" a="1"/>
  <c r="I1201" i="1" s="1"/>
  <c r="K1202" i="1" a="1"/>
  <c r="K1202" i="1"/>
  <c r="G1202" i="1" a="1"/>
  <c r="G1202" i="1"/>
  <c r="L1202" i="1" a="1"/>
  <c r="L1202" i="1" s="1"/>
  <c r="L1199" i="1" a="1"/>
  <c r="L1199" i="1" s="1"/>
  <c r="O1199" i="1" a="1"/>
  <c r="O1199" i="1"/>
  <c r="K1199" i="1" a="1"/>
  <c r="K1199" i="1"/>
  <c r="L1198" i="1" a="1"/>
  <c r="L1198" i="1" s="1"/>
  <c r="J1199" i="1" a="1"/>
  <c r="J1199" i="1" s="1"/>
  <c r="I1199" i="1" a="1"/>
  <c r="I1199" i="1" s="1"/>
  <c r="P1198" i="1" a="1"/>
  <c r="P1198" i="1" s="1"/>
  <c r="K1197" i="1" a="1"/>
  <c r="K1197" i="1" s="1"/>
  <c r="J1198" i="1" a="1"/>
  <c r="J1198" i="1" s="1"/>
  <c r="N1198" i="1" a="1"/>
  <c r="N1198" i="1" s="1"/>
  <c r="F1198" i="1" a="1"/>
  <c r="F1198" i="1" s="1"/>
  <c r="P1197" i="1" a="1"/>
  <c r="P1197" i="1"/>
  <c r="M1198" i="1" a="1"/>
  <c r="M1198" i="1" s="1"/>
  <c r="I1197" i="1" a="1"/>
  <c r="I1197" i="1"/>
  <c r="L1197" i="1" a="1"/>
  <c r="L1197" i="1"/>
  <c r="F1197" i="1" a="1"/>
  <c r="F1197" i="1" s="1"/>
  <c r="H1197" i="1" a="1"/>
  <c r="H1197" i="1"/>
  <c r="H1199" i="1" a="1"/>
  <c r="H1199" i="1" s="1"/>
  <c r="G1199" i="1" a="1"/>
  <c r="G1199" i="1"/>
  <c r="F1199" i="1" a="1"/>
  <c r="F1199" i="1"/>
  <c r="H1198" i="1" a="1"/>
  <c r="H1198" i="1"/>
  <c r="G1197" i="1" a="1"/>
  <c r="G1197" i="1" s="1"/>
  <c r="Q1197" i="1" a="1"/>
  <c r="Q1197" i="1" s="1"/>
  <c r="O1197" i="1" a="1"/>
  <c r="O1197" i="1"/>
  <c r="J1197" i="1" a="1"/>
  <c r="J1197" i="1"/>
  <c r="P1199" i="1" a="1"/>
  <c r="P1199" i="1"/>
  <c r="N1199" i="1" a="1"/>
  <c r="N1199" i="1" s="1"/>
  <c r="N1197" i="1" a="1"/>
  <c r="N1197" i="1"/>
  <c r="Q1198" i="1" a="1"/>
  <c r="Q1198" i="1" s="1"/>
  <c r="G1198" i="1" a="1"/>
  <c r="G1198" i="1" s="1"/>
  <c r="I1198" i="1" a="1"/>
  <c r="I1198" i="1"/>
  <c r="O1198" i="1" a="1"/>
  <c r="O1198" i="1"/>
  <c r="M1197" i="1" a="1"/>
  <c r="M1197" i="1"/>
  <c r="K1198" i="1" a="1"/>
  <c r="K1198" i="1"/>
  <c r="M1199" i="1" a="1"/>
  <c r="M1199" i="1" s="1"/>
  <c r="M1195" i="1" a="1"/>
  <c r="M1195" i="1" s="1"/>
  <c r="L1195" i="1" a="1"/>
  <c r="L1195" i="1"/>
  <c r="P1194" i="1" a="1"/>
  <c r="P1194" i="1"/>
  <c r="K1195" i="1" a="1"/>
  <c r="K1195" i="1" s="1"/>
  <c r="N1196" i="1" a="1"/>
  <c r="N1196" i="1" s="1"/>
  <c r="H1194" i="1" a="1"/>
  <c r="H1194" i="1" s="1"/>
  <c r="I1195" i="1" a="1"/>
  <c r="I1195" i="1" s="1"/>
  <c r="Q1196" i="1" a="1"/>
  <c r="Q1196" i="1"/>
  <c r="L1194" i="1" a="1"/>
  <c r="L1194" i="1"/>
  <c r="O1194" i="1" a="1"/>
  <c r="O1194" i="1" s="1"/>
  <c r="P1196" i="1" a="1"/>
  <c r="P1196" i="1" s="1"/>
  <c r="O1196" i="1" a="1"/>
  <c r="O1196" i="1" s="1"/>
  <c r="F1196" i="1" a="1"/>
  <c r="F1196" i="1"/>
  <c r="M1196" i="1" a="1"/>
  <c r="M1196" i="1" s="1"/>
  <c r="L1196" i="1" a="1"/>
  <c r="L1196" i="1" s="1"/>
  <c r="H1196" i="1" a="1"/>
  <c r="H1196" i="1" s="1"/>
  <c r="I1194" i="1" a="1"/>
  <c r="I1194" i="1" s="1"/>
  <c r="K1196" i="1" a="1"/>
  <c r="K1196" i="1" s="1"/>
  <c r="J1194" i="1" a="1"/>
  <c r="J1194" i="1" s="1"/>
  <c r="O1195" i="1" a="1"/>
  <c r="O1195" i="1"/>
  <c r="Q1195" i="1" a="1"/>
  <c r="Q1195" i="1"/>
  <c r="G1195" i="1" a="1"/>
  <c r="G1195" i="1"/>
  <c r="J1196" i="1" a="1"/>
  <c r="J1196" i="1" s="1"/>
  <c r="F1194" i="1" a="1"/>
  <c r="F1194" i="1" s="1"/>
  <c r="J1195" i="1" a="1"/>
  <c r="J1195" i="1"/>
  <c r="F1195" i="1" a="1"/>
  <c r="F1195" i="1"/>
  <c r="Q1194" i="1" a="1"/>
  <c r="Q1194" i="1" s="1"/>
  <c r="M1194" i="1" a="1"/>
  <c r="M1194" i="1"/>
  <c r="I1196" i="1" a="1"/>
  <c r="I1196" i="1" s="1"/>
  <c r="G1196" i="1" a="1"/>
  <c r="G1196" i="1" s="1"/>
  <c r="N1194" i="1" a="1"/>
  <c r="N1194" i="1"/>
  <c r="K1194" i="1" a="1"/>
  <c r="K1194" i="1"/>
  <c r="P1195" i="1" a="1"/>
  <c r="P1195" i="1"/>
  <c r="N1195" i="1" a="1"/>
  <c r="N1195" i="1"/>
  <c r="H1195" i="1" a="1"/>
  <c r="H1195" i="1" s="1"/>
  <c r="G1194" i="1" a="1"/>
  <c r="G1194" i="1" s="1"/>
  <c r="J1193" i="1" a="1"/>
  <c r="J1193" i="1"/>
  <c r="G1193" i="1" a="1"/>
  <c r="G1193" i="1"/>
  <c r="L1192" i="1" a="1"/>
  <c r="L1192" i="1" s="1"/>
  <c r="J1192" i="1" a="1"/>
  <c r="J1192" i="1"/>
  <c r="P1192" i="1" a="1"/>
  <c r="P1192" i="1"/>
  <c r="O1192" i="1" a="1"/>
  <c r="O1192" i="1" s="1"/>
  <c r="K1192" i="1" a="1"/>
  <c r="K1192" i="1" s="1"/>
  <c r="O1193" i="1" a="1"/>
  <c r="O1193" i="1"/>
  <c r="I1192" i="1" a="1"/>
  <c r="I1192" i="1"/>
  <c r="Q1192" i="1" a="1"/>
  <c r="Q1192" i="1"/>
  <c r="Q1193" i="1" a="1"/>
  <c r="Q1193" i="1" s="1"/>
  <c r="P1193" i="1" a="1"/>
  <c r="P1193" i="1" s="1"/>
  <c r="N1193" i="1" a="1"/>
  <c r="N1193" i="1" s="1"/>
  <c r="M1193" i="1" a="1"/>
  <c r="M1193" i="1" s="1"/>
  <c r="L1193" i="1" a="1"/>
  <c r="L1193" i="1"/>
  <c r="H1193" i="1" a="1"/>
  <c r="H1193" i="1" s="1"/>
  <c r="F1193" i="1" a="1"/>
  <c r="F1193" i="1" s="1"/>
  <c r="G1192" i="1" a="1"/>
  <c r="G1192" i="1"/>
  <c r="H1192" i="1" a="1"/>
  <c r="H1192" i="1" s="1"/>
  <c r="K1193" i="1" a="1"/>
  <c r="K1193" i="1" s="1"/>
  <c r="I1193" i="1" a="1"/>
  <c r="I1193" i="1" s="1"/>
  <c r="N1192" i="1" a="1"/>
  <c r="N1192" i="1" s="1"/>
  <c r="M1192" i="1" a="1"/>
  <c r="M1192" i="1" s="1"/>
  <c r="N1191" i="1" a="1"/>
  <c r="N1191" i="1"/>
  <c r="K1191" i="1" a="1"/>
  <c r="K1191" i="1" s="1"/>
  <c r="M1189" i="1" a="1"/>
  <c r="M1189" i="1"/>
  <c r="G1189" i="1" a="1"/>
  <c r="G1189" i="1"/>
  <c r="M1188" i="1" a="1"/>
  <c r="M1188" i="1"/>
  <c r="L1191" i="1" a="1"/>
  <c r="L1191" i="1" s="1"/>
  <c r="Q1189" i="1" a="1"/>
  <c r="Q1189" i="1"/>
  <c r="K1190" i="1" a="1"/>
  <c r="K1190" i="1"/>
  <c r="O1191" i="1" a="1"/>
  <c r="O1191" i="1" s="1"/>
  <c r="Q1191" i="1" a="1"/>
  <c r="Q1191" i="1" s="1"/>
  <c r="O1190" i="1" a="1"/>
  <c r="O1190" i="1" s="1"/>
  <c r="N1190" i="1" a="1"/>
  <c r="N1190" i="1" s="1"/>
  <c r="Q1188" i="1" a="1"/>
  <c r="Q1188" i="1" s="1"/>
  <c r="F1190" i="1" a="1"/>
  <c r="F1190" i="1"/>
  <c r="M1190" i="1" a="1"/>
  <c r="M1190" i="1" s="1"/>
  <c r="I1189" i="1" a="1"/>
  <c r="I1189" i="1"/>
  <c r="J1191" i="1" a="1"/>
  <c r="J1191" i="1"/>
  <c r="L1189" i="1" a="1"/>
  <c r="L1189" i="1"/>
  <c r="P1191" i="1" a="1"/>
  <c r="P1191" i="1" s="1"/>
  <c r="M1191" i="1" a="1"/>
  <c r="M1191" i="1" s="1"/>
  <c r="J1188" i="1" a="1"/>
  <c r="J1188" i="1"/>
  <c r="F1191" i="1" a="1"/>
  <c r="F1191" i="1" s="1"/>
  <c r="F1189" i="1" a="1"/>
  <c r="F1189" i="1" s="1"/>
  <c r="O1188" i="1" a="1"/>
  <c r="O1188" i="1"/>
  <c r="J1189" i="1" a="1"/>
  <c r="J1189" i="1"/>
  <c r="I1191" i="1" a="1"/>
  <c r="I1191" i="1" s="1"/>
  <c r="H1191" i="1" a="1"/>
  <c r="H1191" i="1" s="1"/>
  <c r="H1190" i="1" a="1"/>
  <c r="H1190" i="1"/>
  <c r="P1189" i="1" a="1"/>
  <c r="P1189" i="1"/>
  <c r="I1190" i="1" a="1"/>
  <c r="I1190" i="1" s="1"/>
  <c r="K1188" i="1" a="1"/>
  <c r="K1188" i="1" s="1"/>
  <c r="H1189" i="1" a="1"/>
  <c r="H1189" i="1"/>
  <c r="L1188" i="1" a="1"/>
  <c r="L1188" i="1" s="1"/>
  <c r="Q1190" i="1" a="1"/>
  <c r="Q1190" i="1"/>
  <c r="P1190" i="1" a="1"/>
  <c r="P1190" i="1" s="1"/>
  <c r="O1189" i="1" a="1"/>
  <c r="O1189" i="1"/>
  <c r="N1188" i="1" a="1"/>
  <c r="N1188" i="1"/>
  <c r="G1190" i="1" a="1"/>
  <c r="G1190" i="1" s="1"/>
  <c r="G1191" i="1" a="1"/>
  <c r="G1191" i="1" s="1"/>
  <c r="K1189" i="1" a="1"/>
  <c r="K1189" i="1" s="1"/>
  <c r="L1190" i="1" a="1"/>
  <c r="L1190" i="1"/>
  <c r="N1189" i="1" a="1"/>
  <c r="N1189" i="1"/>
  <c r="J1190" i="1" a="1"/>
  <c r="J1190" i="1" s="1"/>
  <c r="P1188" i="1" a="1"/>
  <c r="P1188" i="1" s="1"/>
  <c r="F1192" i="1" a="1"/>
  <c r="F1192" i="1" s="1"/>
  <c r="O1187" i="1" a="1"/>
  <c r="O1187" i="1" s="1"/>
  <c r="N1187" i="1" a="1"/>
  <c r="N1187" i="1"/>
  <c r="M1187" i="1" a="1"/>
  <c r="M1187" i="1"/>
  <c r="K1187" i="1" a="1"/>
  <c r="K1187" i="1"/>
  <c r="L1187" i="1" a="1"/>
  <c r="L1187" i="1"/>
  <c r="I1188" i="1" a="1"/>
  <c r="I1188" i="1" s="1"/>
  <c r="H1188" i="1" a="1"/>
  <c r="H1188" i="1" s="1"/>
  <c r="Q1187" i="1" a="1"/>
  <c r="Q1187" i="1"/>
  <c r="G1188" i="1" a="1"/>
  <c r="G1188" i="1" s="1"/>
  <c r="F1188" i="1" a="1"/>
  <c r="F1188" i="1" s="1"/>
  <c r="P1187" i="1" a="1"/>
  <c r="P1187" i="1" s="1"/>
  <c r="H2116" i="1" a="1"/>
  <c r="H2116" i="1" s="1"/>
  <c r="F2116" i="1" a="1"/>
  <c r="F2116" i="1" s="1"/>
  <c r="O2115" i="1" a="1"/>
  <c r="O2115" i="1"/>
  <c r="M2115" i="1" a="1"/>
  <c r="M2115" i="1"/>
  <c r="H2115" i="1" a="1"/>
  <c r="H2115" i="1" s="1"/>
  <c r="G2116" i="1" a="1"/>
  <c r="G2116" i="1" s="1"/>
  <c r="N2115" i="1" a="1"/>
  <c r="N2115" i="1"/>
  <c r="Q2115" i="1" a="1"/>
  <c r="Q2115" i="1" s="1"/>
  <c r="P2115" i="1" a="1"/>
  <c r="P2115" i="1"/>
  <c r="L2115" i="1" a="1"/>
  <c r="L2115" i="1"/>
  <c r="K2115" i="1" a="1"/>
  <c r="K2115" i="1" s="1"/>
  <c r="F2115" i="1" a="1"/>
  <c r="F2115" i="1" s="1"/>
  <c r="L2116" i="1" a="1"/>
  <c r="L2116" i="1" s="1"/>
  <c r="K2116" i="1" a="1"/>
  <c r="K2116" i="1" s="1"/>
  <c r="G2115" i="1" a="1"/>
  <c r="G2115" i="1"/>
  <c r="I2115" i="1" a="1"/>
  <c r="I2115" i="1"/>
  <c r="I2116" i="1" a="1"/>
  <c r="I2116" i="1"/>
  <c r="J2116" i="1" a="1"/>
  <c r="J2116" i="1"/>
  <c r="J2115" i="1" a="1"/>
  <c r="J2115" i="1" s="1"/>
  <c r="N2149" i="1" a="1"/>
  <c r="N2149" i="1" s="1"/>
  <c r="G2150" i="1" a="1"/>
  <c r="G2150" i="1" s="1"/>
  <c r="F2150" i="1" a="1"/>
  <c r="F2150" i="1"/>
  <c r="Q2149" i="1" a="1"/>
  <c r="Q2149" i="1"/>
  <c r="Q2151" i="1" a="1"/>
  <c r="Q2151" i="1" s="1"/>
  <c r="N2151" i="1" a="1"/>
  <c r="N2151" i="1" s="1"/>
  <c r="P2151" i="1" a="1"/>
  <c r="P2151" i="1" s="1"/>
  <c r="J2151" i="1" a="1"/>
  <c r="J2151" i="1"/>
  <c r="N2150" i="1" a="1"/>
  <c r="N2150" i="1"/>
  <c r="K2152" i="1" a="1"/>
  <c r="K2152" i="1"/>
  <c r="F2152" i="1" a="1"/>
  <c r="F2152" i="1" s="1"/>
  <c r="J2148" i="1" a="1"/>
  <c r="J2148" i="1" s="1"/>
  <c r="M2151" i="1" a="1"/>
  <c r="M2151" i="1" s="1"/>
  <c r="J2149" i="1" a="1"/>
  <c r="J2149" i="1" s="1"/>
  <c r="G2151" i="1" a="1"/>
  <c r="G2151" i="1"/>
  <c r="O2152" i="1" a="1"/>
  <c r="O2152" i="1"/>
  <c r="N2152" i="1" a="1"/>
  <c r="N2152" i="1" s="1"/>
  <c r="O2150" i="1" a="1"/>
  <c r="O2150" i="1" s="1"/>
  <c r="O2151" i="1" a="1"/>
  <c r="O2151" i="1"/>
  <c r="I2150" i="1" a="1"/>
  <c r="I2150" i="1"/>
  <c r="K2151" i="1" a="1"/>
  <c r="K2151" i="1" s="1"/>
  <c r="M2152" i="1" a="1"/>
  <c r="M2152" i="1"/>
  <c r="J2152" i="1" a="1"/>
  <c r="J2152" i="1"/>
  <c r="G2152" i="1" a="1"/>
  <c r="G2152" i="1"/>
  <c r="L2152" i="1" a="1"/>
  <c r="L2152" i="1"/>
  <c r="I2152" i="1" a="1"/>
  <c r="I2152" i="1" s="1"/>
  <c r="I2151" i="1" a="1"/>
  <c r="I2151" i="1" s="1"/>
  <c r="F2151" i="1" a="1"/>
  <c r="F2151" i="1" s="1"/>
  <c r="H2150" i="1" a="1"/>
  <c r="H2150" i="1" s="1"/>
  <c r="K2148" i="1" a="1"/>
  <c r="K2148" i="1"/>
  <c r="I2149" i="1" a="1"/>
  <c r="I2149" i="1"/>
  <c r="H2152" i="1" a="1"/>
  <c r="H2152" i="1" s="1"/>
  <c r="H2151" i="1" a="1"/>
  <c r="H2151" i="1"/>
  <c r="J2150" i="1" a="1"/>
  <c r="J2150" i="1" s="1"/>
  <c r="Q2150" i="1" a="1"/>
  <c r="Q2150" i="1" s="1"/>
  <c r="P2150" i="1" a="1"/>
  <c r="P2150" i="1" s="1"/>
  <c r="P2149" i="1" a="1"/>
  <c r="P2149" i="1"/>
  <c r="F2149" i="1" a="1"/>
  <c r="F2149" i="1" s="1"/>
  <c r="M2150" i="1" a="1"/>
  <c r="M2150" i="1"/>
  <c r="L2150" i="1" a="1"/>
  <c r="L2150" i="1" s="1"/>
  <c r="K2150" i="1" a="1"/>
  <c r="K2150" i="1" s="1"/>
  <c r="M2149" i="1" a="1"/>
  <c r="M2149" i="1"/>
  <c r="K2149" i="1" a="1"/>
  <c r="K2149" i="1"/>
  <c r="O2149" i="1" a="1"/>
  <c r="O2149" i="1"/>
  <c r="L2148" i="1" a="1"/>
  <c r="L2148" i="1"/>
  <c r="L2149" i="1" a="1"/>
  <c r="L2149" i="1" s="1"/>
  <c r="H2149" i="1" a="1"/>
  <c r="H2149" i="1" s="1"/>
  <c r="Q2148" i="1" a="1"/>
  <c r="Q2148" i="1"/>
  <c r="O2148" i="1" a="1"/>
  <c r="O2148" i="1" s="1"/>
  <c r="M2148" i="1" a="1"/>
  <c r="M2148" i="1"/>
  <c r="G2149" i="1" a="1"/>
  <c r="G2149" i="1"/>
  <c r="P2148" i="1" a="1"/>
  <c r="P2148" i="1"/>
  <c r="N2148" i="1" a="1"/>
  <c r="N2148" i="1" s="1"/>
  <c r="L2151" i="1" a="1"/>
  <c r="L2151" i="1" s="1"/>
  <c r="H2146" i="1" a="1"/>
  <c r="H2146" i="1" s="1"/>
  <c r="Q2145" i="1" a="1"/>
  <c r="Q2145" i="1" s="1"/>
  <c r="H2144" i="1" a="1"/>
  <c r="H2144" i="1" s="1"/>
  <c r="M2145" i="1" a="1"/>
  <c r="M2145" i="1"/>
  <c r="F2144" i="1" a="1"/>
  <c r="F2144" i="1"/>
  <c r="J2144" i="1" a="1"/>
  <c r="J2144" i="1"/>
  <c r="P2144" i="1" a="1"/>
  <c r="P2144" i="1" s="1"/>
  <c r="K2143" i="1" a="1"/>
  <c r="K2143" i="1"/>
  <c r="N2145" i="1" a="1"/>
  <c r="N2145" i="1" s="1"/>
  <c r="I2144" i="1" a="1"/>
  <c r="I2144" i="1"/>
  <c r="G2144" i="1" a="1"/>
  <c r="G2144" i="1" s="1"/>
  <c r="P2143" i="1" a="1"/>
  <c r="P2143" i="1"/>
  <c r="P2146" i="1" a="1"/>
  <c r="P2146" i="1"/>
  <c r="I2148" i="1" a="1"/>
  <c r="I2148" i="1" s="1"/>
  <c r="H2148" i="1" a="1"/>
  <c r="H2148" i="1" s="1"/>
  <c r="G2148" i="1" a="1"/>
  <c r="G2148" i="1" s="1"/>
  <c r="F2148" i="1" a="1"/>
  <c r="F2148" i="1" s="1"/>
  <c r="I2143" i="1" a="1"/>
  <c r="I2143" i="1" s="1"/>
  <c r="M2147" i="1" a="1"/>
  <c r="M2147" i="1"/>
  <c r="I2147" i="1" a="1"/>
  <c r="I2147" i="1" s="1"/>
  <c r="N2144" i="1" a="1"/>
  <c r="N2144" i="1"/>
  <c r="K2144" i="1" a="1"/>
  <c r="K2144" i="1" s="1"/>
  <c r="Q2147" i="1" a="1"/>
  <c r="Q2147" i="1" s="1"/>
  <c r="N2147" i="1" a="1"/>
  <c r="N2147" i="1" s="1"/>
  <c r="K2147" i="1" a="1"/>
  <c r="K2147" i="1" s="1"/>
  <c r="H2145" i="1" a="1"/>
  <c r="H2145" i="1"/>
  <c r="M2143" i="1" a="1"/>
  <c r="M2143" i="1" s="1"/>
  <c r="L2143" i="1" a="1"/>
  <c r="L2143" i="1" s="1"/>
  <c r="J2147" i="1" a="1"/>
  <c r="J2147" i="1"/>
  <c r="K2146" i="1" a="1"/>
  <c r="K2146" i="1"/>
  <c r="I2145" i="1" a="1"/>
  <c r="I2145" i="1"/>
  <c r="F2146" i="1" a="1"/>
  <c r="F2146" i="1"/>
  <c r="P2145" i="1" a="1"/>
  <c r="P2145" i="1"/>
  <c r="M2144" i="1" a="1"/>
  <c r="M2144" i="1" s="1"/>
  <c r="N2143" i="1" a="1"/>
  <c r="N2143" i="1" s="1"/>
  <c r="J2143" i="1" a="1"/>
  <c r="J2143" i="1" s="1"/>
  <c r="O2143" i="1" a="1"/>
  <c r="O2143" i="1" s="1"/>
  <c r="Q2144" i="1" a="1"/>
  <c r="Q2144" i="1"/>
  <c r="P2147" i="1" a="1"/>
  <c r="P2147" i="1"/>
  <c r="J2146" i="1" a="1"/>
  <c r="J2146" i="1" s="1"/>
  <c r="O2147" i="1" a="1"/>
  <c r="O2147" i="1"/>
  <c r="L2147" i="1" a="1"/>
  <c r="L2147" i="1"/>
  <c r="L2144" i="1" a="1"/>
  <c r="L2144" i="1"/>
  <c r="G2147" i="1" a="1"/>
  <c r="G2147" i="1" s="1"/>
  <c r="O2146" i="1" a="1"/>
  <c r="O2146" i="1" s="1"/>
  <c r="G2146" i="1" a="1"/>
  <c r="G2146" i="1" s="1"/>
  <c r="F2145" i="1" a="1"/>
  <c r="F2145" i="1" s="1"/>
  <c r="N2146" i="1" a="1"/>
  <c r="N2146" i="1" s="1"/>
  <c r="L2145" i="1" a="1"/>
  <c r="L2145" i="1"/>
  <c r="K2145" i="1" a="1"/>
  <c r="K2145" i="1" s="1"/>
  <c r="H2147" i="1" a="1"/>
  <c r="H2147" i="1" s="1"/>
  <c r="F2147" i="1" a="1"/>
  <c r="F2147" i="1"/>
  <c r="O2144" i="1" a="1"/>
  <c r="O2144" i="1"/>
  <c r="G2145" i="1" a="1"/>
  <c r="G2145" i="1" s="1"/>
  <c r="I2146" i="1" a="1"/>
  <c r="I2146" i="1" s="1"/>
  <c r="J2145" i="1" a="1"/>
  <c r="J2145" i="1" s="1"/>
  <c r="Q2146" i="1" a="1"/>
  <c r="Q2146" i="1" s="1"/>
  <c r="O2145" i="1" a="1"/>
  <c r="O2145" i="1"/>
  <c r="M2146" i="1" a="1"/>
  <c r="M2146" i="1"/>
  <c r="Q2143" i="1" a="1"/>
  <c r="Q2143" i="1"/>
  <c r="L2146" i="1" a="1"/>
  <c r="L2146" i="1"/>
  <c r="J2141" i="1" a="1"/>
  <c r="J2141" i="1"/>
  <c r="J2139" i="1" a="1"/>
  <c r="J2139" i="1" s="1"/>
  <c r="I2139" i="1" a="1"/>
  <c r="I2139" i="1" s="1"/>
  <c r="P2140" i="1" a="1"/>
  <c r="P2140" i="1" s="1"/>
  <c r="Q2139" i="1" a="1"/>
  <c r="Q2139" i="1" s="1"/>
  <c r="M2140" i="1" a="1"/>
  <c r="M2140" i="1"/>
  <c r="O2139" i="1" a="1"/>
  <c r="O2139" i="1"/>
  <c r="H2139" i="1" a="1"/>
  <c r="H2139" i="1" s="1"/>
  <c r="H2143" i="1" a="1"/>
  <c r="H2143" i="1" s="1"/>
  <c r="I2142" i="1" a="1"/>
  <c r="I2142" i="1" s="1"/>
  <c r="L2139" i="1" a="1"/>
  <c r="L2139" i="1" s="1"/>
  <c r="G2143" i="1" a="1"/>
  <c r="G2143" i="1"/>
  <c r="F2143" i="1" a="1"/>
  <c r="F2143" i="1"/>
  <c r="Q2142" i="1" a="1"/>
  <c r="Q2142" i="1"/>
  <c r="P2142" i="1" a="1"/>
  <c r="P2142" i="1"/>
  <c r="O2142" i="1" a="1"/>
  <c r="O2142" i="1"/>
  <c r="N2142" i="1" a="1"/>
  <c r="N2142" i="1" s="1"/>
  <c r="K2142" i="1" a="1"/>
  <c r="K2142" i="1" s="1"/>
  <c r="Q2137" i="1" a="1"/>
  <c r="Q2137" i="1" s="1"/>
  <c r="G2142" i="1" a="1"/>
  <c r="G2142" i="1"/>
  <c r="Q2141" i="1" a="1"/>
  <c r="Q2141" i="1" s="1"/>
  <c r="O2141" i="1" a="1"/>
  <c r="O2141" i="1" s="1"/>
  <c r="N2141" i="1" a="1"/>
  <c r="N2141" i="1" s="1"/>
  <c r="L2141" i="1" a="1"/>
  <c r="L2141" i="1" s="1"/>
  <c r="Q2140" i="1" a="1"/>
  <c r="Q2140" i="1"/>
  <c r="K2141" i="1" a="1"/>
  <c r="K2141" i="1"/>
  <c r="I2141" i="1" a="1"/>
  <c r="I2141" i="1" s="1"/>
  <c r="I2140" i="1" a="1"/>
  <c r="I2140" i="1" s="1"/>
  <c r="N2140" i="1" a="1"/>
  <c r="N2140" i="1" s="1"/>
  <c r="F2140" i="1" a="1"/>
  <c r="F2140" i="1" s="1"/>
  <c r="L2138" i="1" a="1"/>
  <c r="L2138" i="1" s="1"/>
  <c r="J2140" i="1" a="1"/>
  <c r="J2140" i="1" s="1"/>
  <c r="Q2138" i="1" a="1"/>
  <c r="Q2138" i="1" s="1"/>
  <c r="O2138" i="1" a="1"/>
  <c r="O2138" i="1" s="1"/>
  <c r="M2138" i="1" a="1"/>
  <c r="M2138" i="1" s="1"/>
  <c r="J2138" i="1" a="1"/>
  <c r="J2138" i="1" s="1"/>
  <c r="H2138" i="1" a="1"/>
  <c r="H2138" i="1" s="1"/>
  <c r="G2138" i="1" a="1"/>
  <c r="G2138" i="1" s="1"/>
  <c r="F2138" i="1" a="1"/>
  <c r="F2138" i="1" s="1"/>
  <c r="I2138" i="1" a="1"/>
  <c r="I2138" i="1"/>
  <c r="N2138" i="1" a="1"/>
  <c r="N2138" i="1"/>
  <c r="L2142" i="1" a="1"/>
  <c r="L2142" i="1" s="1"/>
  <c r="H2140" i="1" a="1"/>
  <c r="H2140" i="1" s="1"/>
  <c r="G2141" i="1" a="1"/>
  <c r="G2141" i="1" s="1"/>
  <c r="M2141" i="1" a="1"/>
  <c r="M2141" i="1" s="1"/>
  <c r="J2142" i="1" a="1"/>
  <c r="J2142" i="1" s="1"/>
  <c r="H2142" i="1" a="1"/>
  <c r="H2142" i="1" s="1"/>
  <c r="P2141" i="1" a="1"/>
  <c r="P2141" i="1" s="1"/>
  <c r="K2138" i="1" a="1"/>
  <c r="K2138" i="1"/>
  <c r="H2141" i="1" a="1"/>
  <c r="H2141" i="1"/>
  <c r="F2142" i="1" a="1"/>
  <c r="F2142" i="1"/>
  <c r="K2140" i="1" a="1"/>
  <c r="K2140" i="1" s="1"/>
  <c r="F2141" i="1" a="1"/>
  <c r="F2141" i="1"/>
  <c r="M2139" i="1" a="1"/>
  <c r="M2139" i="1" s="1"/>
  <c r="L2140" i="1" a="1"/>
  <c r="L2140" i="1" s="1"/>
  <c r="O2140" i="1" a="1"/>
  <c r="O2140" i="1"/>
  <c r="G2140" i="1" a="1"/>
  <c r="G2140" i="1"/>
  <c r="P2138" i="1" a="1"/>
  <c r="P2138" i="1"/>
  <c r="P2139" i="1" a="1"/>
  <c r="P2139" i="1"/>
  <c r="F2139" i="1" a="1"/>
  <c r="F2139" i="1" s="1"/>
  <c r="N2139" i="1" a="1"/>
  <c r="N2139" i="1" s="1"/>
  <c r="G2139" i="1" a="1"/>
  <c r="G2139" i="1"/>
  <c r="M2142" i="1" a="1"/>
  <c r="M2142" i="1" s="1"/>
  <c r="K2139" i="1" a="1"/>
  <c r="K2139" i="1"/>
  <c r="F2133" i="1" a="1"/>
  <c r="F2133" i="1"/>
  <c r="L2133" i="1" a="1"/>
  <c r="L2133" i="1"/>
  <c r="K2133" i="1" a="1"/>
  <c r="K2133" i="1" s="1"/>
  <c r="K2137" i="1" a="1"/>
  <c r="K2137" i="1"/>
  <c r="J2137" i="1" a="1"/>
  <c r="J2137" i="1" s="1"/>
  <c r="G2136" i="1" a="1"/>
  <c r="G2136" i="1" s="1"/>
  <c r="N2133" i="1" a="1"/>
  <c r="N2133" i="1"/>
  <c r="G2133" i="1" a="1"/>
  <c r="G2133" i="1"/>
  <c r="H2133" i="1" a="1"/>
  <c r="H2133" i="1"/>
  <c r="I2137" i="1" a="1"/>
  <c r="I2137" i="1" s="1"/>
  <c r="J2136" i="1" a="1"/>
  <c r="J2136" i="1" s="1"/>
  <c r="H2137" i="1" a="1"/>
  <c r="H2137" i="1" s="1"/>
  <c r="G2137" i="1" a="1"/>
  <c r="G2137" i="1"/>
  <c r="O2133" i="1" a="1"/>
  <c r="O2133" i="1"/>
  <c r="F2137" i="1" a="1"/>
  <c r="F2137" i="1" s="1"/>
  <c r="Q2136" i="1" a="1"/>
  <c r="Q2136" i="1" s="1"/>
  <c r="Q2133" i="1" a="1"/>
  <c r="Q2133" i="1" s="1"/>
  <c r="N2132" i="1" a="1"/>
  <c r="N2132" i="1" s="1"/>
  <c r="Q2135" i="1" a="1"/>
  <c r="Q2135" i="1"/>
  <c r="J2134" i="1" a="1"/>
  <c r="J2134" i="1"/>
  <c r="N2136" i="1" a="1"/>
  <c r="N2136" i="1"/>
  <c r="O2136" i="1" a="1"/>
  <c r="O2136" i="1" s="1"/>
  <c r="K2136" i="1" a="1"/>
  <c r="K2136" i="1" s="1"/>
  <c r="L2135" i="1" a="1"/>
  <c r="L2135" i="1" s="1"/>
  <c r="P2132" i="1" a="1"/>
  <c r="P2132" i="1"/>
  <c r="O2135" i="1" a="1"/>
  <c r="O2135" i="1"/>
  <c r="M2133" i="1" a="1"/>
  <c r="M2133" i="1" s="1"/>
  <c r="I2135" i="1" a="1"/>
  <c r="I2135" i="1" s="1"/>
  <c r="P2133" i="1" a="1"/>
  <c r="P2133" i="1" s="1"/>
  <c r="M2136" i="1" a="1"/>
  <c r="M2136" i="1" s="1"/>
  <c r="H2134" i="1" a="1"/>
  <c r="H2134" i="1" s="1"/>
  <c r="L2136" i="1" a="1"/>
  <c r="L2136" i="1" s="1"/>
  <c r="Q2134" i="1" a="1"/>
  <c r="Q2134" i="1" s="1"/>
  <c r="P2135" i="1" a="1"/>
  <c r="P2135" i="1"/>
  <c r="I2133" i="1" a="1"/>
  <c r="I2133" i="1" s="1"/>
  <c r="P2134" i="1" a="1"/>
  <c r="P2134" i="1"/>
  <c r="I2136" i="1" a="1"/>
  <c r="I2136" i="1" s="1"/>
  <c r="N2135" i="1" a="1"/>
  <c r="N2135" i="1" s="1"/>
  <c r="O2134" i="1" a="1"/>
  <c r="O2134" i="1" s="1"/>
  <c r="G2135" i="1" a="1"/>
  <c r="G2135" i="1" s="1"/>
  <c r="I2134" i="1" a="1"/>
  <c r="I2134" i="1" s="1"/>
  <c r="F2135" i="1" a="1"/>
  <c r="F2135" i="1" s="1"/>
  <c r="N2134" i="1" a="1"/>
  <c r="N2134" i="1" s="1"/>
  <c r="K2134" i="1" a="1"/>
  <c r="K2134" i="1"/>
  <c r="M2132" i="1" a="1"/>
  <c r="M2132" i="1"/>
  <c r="P2137" i="1" a="1"/>
  <c r="P2137" i="1"/>
  <c r="O2137" i="1" a="1"/>
  <c r="O2137" i="1" s="1"/>
  <c r="M2134" i="1" a="1"/>
  <c r="M2134" i="1"/>
  <c r="N2137" i="1" a="1"/>
  <c r="N2137" i="1" s="1"/>
  <c r="M2137" i="1" a="1"/>
  <c r="M2137" i="1" s="1"/>
  <c r="L2137" i="1" a="1"/>
  <c r="L2137" i="1"/>
  <c r="P2136" i="1" a="1"/>
  <c r="P2136" i="1"/>
  <c r="O2132" i="1" a="1"/>
  <c r="O2132" i="1"/>
  <c r="H2135" i="1" a="1"/>
  <c r="H2135" i="1"/>
  <c r="M2135" i="1" a="1"/>
  <c r="M2135" i="1"/>
  <c r="G2134" i="1" a="1"/>
  <c r="G2134" i="1" s="1"/>
  <c r="H2136" i="1" a="1"/>
  <c r="H2136" i="1"/>
  <c r="K2135" i="1" a="1"/>
  <c r="K2135" i="1" s="1"/>
  <c r="F2136" i="1" a="1"/>
  <c r="F2136" i="1" s="1"/>
  <c r="J2133" i="1" a="1"/>
  <c r="J2133" i="1" s="1"/>
  <c r="L2134" i="1" a="1"/>
  <c r="L2134" i="1" s="1"/>
  <c r="Q2132" i="1" a="1"/>
  <c r="Q2132" i="1" s="1"/>
  <c r="F2134" i="1" a="1"/>
  <c r="F2134" i="1"/>
  <c r="J2135" i="1" a="1"/>
  <c r="J2135" i="1" s="1"/>
  <c r="J2131" i="1" a="1"/>
  <c r="J2131" i="1"/>
  <c r="L2132" i="1" a="1"/>
  <c r="L2132" i="1" s="1"/>
  <c r="L2128" i="1" a="1"/>
  <c r="L2128" i="1" s="1"/>
  <c r="Q2128" i="1" a="1"/>
  <c r="Q2128" i="1" s="1"/>
  <c r="J2132" i="1" a="1"/>
  <c r="J2132" i="1" s="1"/>
  <c r="O2130" i="1" a="1"/>
  <c r="O2130" i="1" s="1"/>
  <c r="I2129" i="1" a="1"/>
  <c r="I2129" i="1" s="1"/>
  <c r="J2127" i="1" a="1"/>
  <c r="J2127" i="1" s="1"/>
  <c r="I2132" i="1" a="1"/>
  <c r="I2132" i="1"/>
  <c r="K2128" i="1" a="1"/>
  <c r="K2128" i="1"/>
  <c r="J2130" i="1" a="1"/>
  <c r="J2130" i="1"/>
  <c r="F2128" i="1" a="1"/>
  <c r="F2128" i="1" s="1"/>
  <c r="M2127" i="1" a="1"/>
  <c r="M2127" i="1"/>
  <c r="P2127" i="1" a="1"/>
  <c r="P2127" i="1" s="1"/>
  <c r="Q2127" i="1" a="1"/>
  <c r="Q2127" i="1" s="1"/>
  <c r="K2129" i="1" a="1"/>
  <c r="K2129" i="1" s="1"/>
  <c r="F2132" i="1" a="1"/>
  <c r="F2132" i="1"/>
  <c r="H2132" i="1" a="1"/>
  <c r="H2132" i="1"/>
  <c r="I2130" i="1" a="1"/>
  <c r="I2130" i="1"/>
  <c r="O2129" i="1" a="1"/>
  <c r="O2129" i="1" s="1"/>
  <c r="G2129" i="1" a="1"/>
  <c r="G2129" i="1" s="1"/>
  <c r="F2129" i="1" a="1"/>
  <c r="F2129" i="1"/>
  <c r="G2132" i="1" a="1"/>
  <c r="G2132" i="1" s="1"/>
  <c r="J2128" i="1" a="1"/>
  <c r="J2128" i="1" s="1"/>
  <c r="P2131" i="1" a="1"/>
  <c r="P2131" i="1" s="1"/>
  <c r="M2131" i="1" a="1"/>
  <c r="M2131" i="1" s="1"/>
  <c r="N2128" i="1" a="1"/>
  <c r="N2128" i="1" s="1"/>
  <c r="F2131" i="1" a="1"/>
  <c r="F2131" i="1"/>
  <c r="P2129" i="1" a="1"/>
  <c r="P2129" i="1" s="1"/>
  <c r="N2127" i="1" a="1"/>
  <c r="N2127" i="1"/>
  <c r="L2127" i="1" a="1"/>
  <c r="L2127" i="1" s="1"/>
  <c r="Q2130" i="1" a="1"/>
  <c r="Q2130" i="1" s="1"/>
  <c r="M2130" i="1" a="1"/>
  <c r="M2130" i="1" s="1"/>
  <c r="I2127" i="1" a="1"/>
  <c r="I2127" i="1" s="1"/>
  <c r="L2129" i="1" a="1"/>
  <c r="L2129" i="1"/>
  <c r="M2128" i="1" a="1"/>
  <c r="M2128" i="1" s="1"/>
  <c r="G2131" i="1" a="1"/>
  <c r="G2131" i="1" s="1"/>
  <c r="H2130" i="1" a="1"/>
  <c r="H2130" i="1"/>
  <c r="F2130" i="1" a="1"/>
  <c r="F2130" i="1"/>
  <c r="O2128" i="1" a="1"/>
  <c r="O2128" i="1"/>
  <c r="P2128" i="1" a="1"/>
  <c r="P2128" i="1" s="1"/>
  <c r="I2128" i="1" a="1"/>
  <c r="I2128" i="1"/>
  <c r="K2127" i="1" a="1"/>
  <c r="K2127" i="1" s="1"/>
  <c r="N2129" i="1" a="1"/>
  <c r="N2129" i="1" s="1"/>
  <c r="J2129" i="1" a="1"/>
  <c r="J2129" i="1" s="1"/>
  <c r="G2128" i="1" a="1"/>
  <c r="G2128" i="1"/>
  <c r="O2127" i="1" a="1"/>
  <c r="O2127" i="1"/>
  <c r="K2132" i="1" a="1"/>
  <c r="K2132" i="1" s="1"/>
  <c r="Q2129" i="1" a="1"/>
  <c r="Q2129" i="1" s="1"/>
  <c r="H2129" i="1" a="1"/>
  <c r="H2129" i="1" s="1"/>
  <c r="Q2131" i="1" a="1"/>
  <c r="Q2131" i="1"/>
  <c r="O2131" i="1" a="1"/>
  <c r="O2131" i="1" s="1"/>
  <c r="N2131" i="1" a="1"/>
  <c r="N2131" i="1" s="1"/>
  <c r="N2130" i="1" a="1"/>
  <c r="N2130" i="1" s="1"/>
  <c r="K2130" i="1" a="1"/>
  <c r="K2130" i="1"/>
  <c r="P2130" i="1" a="1"/>
  <c r="P2130" i="1" s="1"/>
  <c r="H2131" i="1" a="1"/>
  <c r="H2131" i="1"/>
  <c r="K2131" i="1" a="1"/>
  <c r="K2131" i="1" s="1"/>
  <c r="H2128" i="1" a="1"/>
  <c r="H2128" i="1"/>
  <c r="M2129" i="1" a="1"/>
  <c r="M2129" i="1" s="1"/>
  <c r="L2131" i="1" a="1"/>
  <c r="L2131" i="1" s="1"/>
  <c r="I2131" i="1" a="1"/>
  <c r="I2131" i="1" s="1"/>
  <c r="G2130" i="1" a="1"/>
  <c r="G2130" i="1"/>
  <c r="L2130" i="1" a="1"/>
  <c r="L2130" i="1"/>
  <c r="P2125" i="1" a="1"/>
  <c r="P2125" i="1" s="1"/>
  <c r="G2125" i="1" a="1"/>
  <c r="G2125" i="1" s="1"/>
  <c r="L2124" i="1" a="1"/>
  <c r="L2124" i="1"/>
  <c r="K2122" i="1" a="1"/>
  <c r="K2122" i="1"/>
  <c r="O2125" i="1" a="1"/>
  <c r="O2125" i="1"/>
  <c r="Q2124" i="1" a="1"/>
  <c r="Q2124" i="1"/>
  <c r="N2124" i="1" a="1"/>
  <c r="N2124" i="1"/>
  <c r="M2123" i="1" a="1"/>
  <c r="M2123" i="1" s="1"/>
  <c r="L2123" i="1" a="1"/>
  <c r="L2123" i="1" s="1"/>
  <c r="L2125" i="1" a="1"/>
  <c r="L2125" i="1" s="1"/>
  <c r="J2125" i="1" a="1"/>
  <c r="J2125" i="1" s="1"/>
  <c r="I2125" i="1" a="1"/>
  <c r="I2125" i="1" s="1"/>
  <c r="H2125" i="1" a="1"/>
  <c r="H2125" i="1" s="1"/>
  <c r="F2123" i="1" a="1"/>
  <c r="F2123" i="1" s="1"/>
  <c r="N2122" i="1" a="1"/>
  <c r="N2122" i="1" s="1"/>
  <c r="O2123" i="1" a="1"/>
  <c r="O2123" i="1"/>
  <c r="Q2122" i="1" a="1"/>
  <c r="Q2122" i="1" s="1"/>
  <c r="H2124" i="1" a="1"/>
  <c r="H2124" i="1" s="1"/>
  <c r="P2124" i="1" a="1"/>
  <c r="P2124" i="1" s="1"/>
  <c r="I2124" i="1" a="1"/>
  <c r="I2124" i="1" s="1"/>
  <c r="G2124" i="1" a="1"/>
  <c r="G2124" i="1" s="1"/>
  <c r="F2124" i="1" a="1"/>
  <c r="F2124" i="1"/>
  <c r="K2123" i="1" a="1"/>
  <c r="K2123" i="1" s="1"/>
  <c r="I2123" i="1" a="1"/>
  <c r="I2123" i="1"/>
  <c r="G2122" i="1" a="1"/>
  <c r="G2122" i="1"/>
  <c r="M2122" i="1" a="1"/>
  <c r="M2122" i="1" s="1"/>
  <c r="J2122" i="1" a="1"/>
  <c r="J2122" i="1"/>
  <c r="J2123" i="1" a="1"/>
  <c r="J2123" i="1"/>
  <c r="I2122" i="1" a="1"/>
  <c r="I2122" i="1"/>
  <c r="G2127" i="1" a="1"/>
  <c r="G2127" i="1" s="1"/>
  <c r="P2126" i="1" a="1"/>
  <c r="P2126" i="1" s="1"/>
  <c r="H2122" i="1" a="1"/>
  <c r="H2122" i="1"/>
  <c r="J2126" i="1" a="1"/>
  <c r="J2126" i="1"/>
  <c r="Q2121" i="1" a="1"/>
  <c r="Q2121" i="1"/>
  <c r="N2123" i="1" a="1"/>
  <c r="N2123" i="1" s="1"/>
  <c r="L2126" i="1" a="1"/>
  <c r="L2126" i="1" s="1"/>
  <c r="O2122" i="1" a="1"/>
  <c r="O2122" i="1" s="1"/>
  <c r="L2122" i="1" a="1"/>
  <c r="L2122" i="1" s="1"/>
  <c r="P2122" i="1" a="1"/>
  <c r="P2122" i="1" s="1"/>
  <c r="J2124" i="1" a="1"/>
  <c r="J2124" i="1" s="1"/>
  <c r="H2127" i="1" a="1"/>
  <c r="H2127" i="1" s="1"/>
  <c r="F2127" i="1" a="1"/>
  <c r="F2127" i="1" s="1"/>
  <c r="F2122" i="1" a="1"/>
  <c r="F2122" i="1" s="1"/>
  <c r="Q2126" i="1" a="1"/>
  <c r="Q2126" i="1" s="1"/>
  <c r="O2126" i="1" a="1"/>
  <c r="O2126" i="1"/>
  <c r="N2126" i="1" a="1"/>
  <c r="N2126" i="1" s="1"/>
  <c r="G2126" i="1" a="1"/>
  <c r="G2126" i="1" s="1"/>
  <c r="M2126" i="1" a="1"/>
  <c r="M2126" i="1" s="1"/>
  <c r="G2123" i="1" a="1"/>
  <c r="G2123" i="1" s="1"/>
  <c r="K2126" i="1" a="1"/>
  <c r="K2126" i="1"/>
  <c r="Q2125" i="1" a="1"/>
  <c r="Q2125" i="1"/>
  <c r="M2124" i="1" a="1"/>
  <c r="M2124" i="1" s="1"/>
  <c r="H2123" i="1" a="1"/>
  <c r="H2123" i="1"/>
  <c r="I2126" i="1" a="1"/>
  <c r="I2126" i="1" s="1"/>
  <c r="P2123" i="1" a="1"/>
  <c r="P2123" i="1"/>
  <c r="N2125" i="1" a="1"/>
  <c r="N2125" i="1"/>
  <c r="F2125" i="1" a="1"/>
  <c r="F2125" i="1"/>
  <c r="K2124" i="1" a="1"/>
  <c r="K2124" i="1"/>
  <c r="O2124" i="1" a="1"/>
  <c r="O2124" i="1" s="1"/>
  <c r="H2126" i="1" a="1"/>
  <c r="H2126" i="1" s="1"/>
  <c r="Q2123" i="1" a="1"/>
  <c r="Q2123" i="1"/>
  <c r="M2125" i="1" a="1"/>
  <c r="M2125" i="1"/>
  <c r="F2126" i="1" a="1"/>
  <c r="F2126" i="1"/>
  <c r="K2125" i="1" a="1"/>
  <c r="K2125" i="1" s="1"/>
  <c r="N2119" i="1" a="1"/>
  <c r="N2119" i="1" s="1"/>
  <c r="M2117" i="1" a="1"/>
  <c r="M2117" i="1"/>
  <c r="P2121" i="1" a="1"/>
  <c r="P2121" i="1" s="1"/>
  <c r="N2117" i="1" a="1"/>
  <c r="N2117" i="1" s="1"/>
  <c r="O2121" i="1" a="1"/>
  <c r="O2121" i="1" s="1"/>
  <c r="N2121" i="1" a="1"/>
  <c r="N2121" i="1" s="1"/>
  <c r="M2121" i="1" a="1"/>
  <c r="M2121" i="1" s="1"/>
  <c r="O2120" i="1" a="1"/>
  <c r="O2120" i="1" s="1"/>
  <c r="M2120" i="1" a="1"/>
  <c r="M2120" i="1" s="1"/>
  <c r="L2120" i="1" a="1"/>
  <c r="L2120" i="1"/>
  <c r="I2119" i="1" a="1"/>
  <c r="I2119" i="1" s="1"/>
  <c r="Q2119" i="1" a="1"/>
  <c r="Q2119" i="1" s="1"/>
  <c r="J2117" i="1" a="1"/>
  <c r="J2117" i="1" s="1"/>
  <c r="H2119" i="1" a="1"/>
  <c r="H2119" i="1"/>
  <c r="J2118" i="1" a="1"/>
  <c r="J2118" i="1"/>
  <c r="G2117" i="1" a="1"/>
  <c r="G2117" i="1"/>
  <c r="N2116" i="1" a="1"/>
  <c r="N2116" i="1"/>
  <c r="L2119" i="1" a="1"/>
  <c r="L2119" i="1" s="1"/>
  <c r="H2118" i="1" a="1"/>
  <c r="H2118" i="1"/>
  <c r="G2118" i="1" a="1"/>
  <c r="G2118" i="1" s="1"/>
  <c r="Q2116" i="1" a="1"/>
  <c r="Q2116" i="1"/>
  <c r="L2121" i="1" a="1"/>
  <c r="L2121" i="1"/>
  <c r="F2121" i="1" a="1"/>
  <c r="F2121" i="1"/>
  <c r="N2120" i="1" a="1"/>
  <c r="N2120" i="1" s="1"/>
  <c r="K2118" i="1" a="1"/>
  <c r="K2118" i="1" s="1"/>
  <c r="G2120" i="1" a="1"/>
  <c r="G2120" i="1"/>
  <c r="F2120" i="1" a="1"/>
  <c r="F2120" i="1"/>
  <c r="F2119" i="1" a="1"/>
  <c r="F2119" i="1"/>
  <c r="M2118" i="1" a="1"/>
  <c r="M2118" i="1" s="1"/>
  <c r="N2118" i="1" a="1"/>
  <c r="N2118" i="1" s="1"/>
  <c r="H2121" i="1" a="1"/>
  <c r="H2121" i="1"/>
  <c r="L2117" i="1" a="1"/>
  <c r="L2117" i="1" s="1"/>
  <c r="J2121" i="1" a="1"/>
  <c r="J2121" i="1"/>
  <c r="O2119" i="1" a="1"/>
  <c r="O2119" i="1" s="1"/>
  <c r="P2117" i="1" a="1"/>
  <c r="P2117" i="1"/>
  <c r="O2117" i="1" a="1"/>
  <c r="O2117" i="1" s="1"/>
  <c r="G2121" i="1" a="1"/>
  <c r="G2121" i="1" s="1"/>
  <c r="I2118" i="1" a="1"/>
  <c r="I2118" i="1" s="1"/>
  <c r="K2117" i="1" a="1"/>
  <c r="K2117" i="1"/>
  <c r="F2118" i="1" a="1"/>
  <c r="F2118" i="1" s="1"/>
  <c r="M2116" i="1" a="1"/>
  <c r="M2116" i="1" s="1"/>
  <c r="I2121" i="1" a="1"/>
  <c r="I2121" i="1" s="1"/>
  <c r="Q2120" i="1" a="1"/>
  <c r="Q2120" i="1"/>
  <c r="P2120" i="1" a="1"/>
  <c r="P2120" i="1"/>
  <c r="H2120" i="1" a="1"/>
  <c r="H2120" i="1"/>
  <c r="M2119" i="1" a="1"/>
  <c r="M2119" i="1" s="1"/>
  <c r="J2119" i="1" a="1"/>
  <c r="J2119" i="1" s="1"/>
  <c r="F2117" i="1" a="1"/>
  <c r="F2117" i="1"/>
  <c r="G2119" i="1" a="1"/>
  <c r="G2119" i="1" s="1"/>
  <c r="K2121" i="1" a="1"/>
  <c r="K2121" i="1"/>
  <c r="H2117" i="1" a="1"/>
  <c r="H2117" i="1"/>
  <c r="Q2118" i="1" a="1"/>
  <c r="Q2118" i="1"/>
  <c r="O2118" i="1" a="1"/>
  <c r="O2118" i="1" s="1"/>
  <c r="Q2117" i="1" a="1"/>
  <c r="Q2117" i="1" s="1"/>
  <c r="K2120" i="1" a="1"/>
  <c r="K2120" i="1"/>
  <c r="K2119" i="1" a="1"/>
  <c r="K2119" i="1"/>
  <c r="L2118" i="1" a="1"/>
  <c r="L2118" i="1"/>
  <c r="O2116" i="1" a="1"/>
  <c r="O2116" i="1" s="1"/>
  <c r="P2118" i="1" a="1"/>
  <c r="P2118" i="1"/>
  <c r="P2116" i="1" a="1"/>
  <c r="P2116" i="1" s="1"/>
  <c r="I2120" i="1" a="1"/>
  <c r="I2120" i="1" s="1"/>
  <c r="P2119" i="1" a="1"/>
  <c r="P2119" i="1"/>
  <c r="I2117" i="1" a="1"/>
  <c r="I2117" i="1"/>
  <c r="J2120" i="1" a="1"/>
  <c r="J2120" i="1"/>
  <c r="L1987" i="1" a="1"/>
  <c r="L1987" i="1" s="1"/>
  <c r="K1987" i="1" a="1"/>
  <c r="K1987" i="1" s="1"/>
  <c r="I1987" i="1" a="1"/>
  <c r="I1987" i="1" s="1"/>
  <c r="P1986" i="1" a="1"/>
  <c r="P1986" i="1"/>
  <c r="F1987" i="1" a="1"/>
  <c r="F1987" i="1" s="1"/>
  <c r="J1987" i="1" a="1"/>
  <c r="J1987" i="1" s="1"/>
  <c r="H1987" i="1" a="1"/>
  <c r="H1987" i="1" s="1"/>
  <c r="G1987" i="1" a="1"/>
  <c r="G1987" i="1" s="1"/>
  <c r="Q1986" i="1" a="1"/>
  <c r="Q1986" i="1" s="1"/>
  <c r="O1986" i="1" a="1"/>
  <c r="O1986" i="1" s="1"/>
  <c r="N1986" i="1" a="1"/>
  <c r="N1986" i="1" s="1"/>
  <c r="N1985" i="1" a="1"/>
  <c r="N1985" i="1" s="1"/>
  <c r="M1986" i="1" a="1"/>
  <c r="M1986" i="1"/>
  <c r="L1986" i="1" a="1"/>
  <c r="L1986" i="1"/>
  <c r="K1986" i="1" a="1"/>
  <c r="K1986" i="1" s="1"/>
  <c r="J1986" i="1" a="1"/>
  <c r="J1986" i="1"/>
  <c r="I1986" i="1" a="1"/>
  <c r="I1986" i="1"/>
  <c r="H1986" i="1" a="1"/>
  <c r="H1986" i="1" s="1"/>
  <c r="G1986" i="1" a="1"/>
  <c r="G1986" i="1" s="1"/>
  <c r="F1986" i="1" a="1"/>
  <c r="F1986" i="1"/>
  <c r="P1985" i="1" a="1"/>
  <c r="P1985" i="1"/>
  <c r="O1985" i="1" a="1"/>
  <c r="O1985" i="1"/>
  <c r="K1985" i="1" a="1"/>
  <c r="K1985" i="1" s="1"/>
  <c r="M1985" i="1" a="1"/>
  <c r="M1985" i="1" s="1"/>
  <c r="Q1985" i="1" a="1"/>
  <c r="Q1985" i="1" s="1"/>
  <c r="L1985" i="1" a="1"/>
  <c r="L1985" i="1"/>
  <c r="J1985" i="1" a="1"/>
  <c r="J1985" i="1"/>
  <c r="H1985" i="1" a="1"/>
  <c r="H1985" i="1" s="1"/>
  <c r="I1985" i="1" a="1"/>
  <c r="I1985" i="1"/>
  <c r="P1982" i="1" a="1"/>
  <c r="P1982" i="1" s="1"/>
  <c r="M1982" i="1" a="1"/>
  <c r="M1982" i="1" s="1"/>
  <c r="F1985" i="1" a="1"/>
  <c r="F1985" i="1" s="1"/>
  <c r="O1982" i="1" a="1"/>
  <c r="O1982" i="1"/>
  <c r="G1985" i="1" a="1"/>
  <c r="G1985" i="1" s="1"/>
  <c r="O1984" i="1" a="1"/>
  <c r="O1984" i="1" s="1"/>
  <c r="H1984" i="1" a="1"/>
  <c r="H1984" i="1" s="1"/>
  <c r="F1984" i="1" a="1"/>
  <c r="F1984" i="1" s="1"/>
  <c r="J1983" i="1" a="1"/>
  <c r="J1983" i="1" s="1"/>
  <c r="N1984" i="1" a="1"/>
  <c r="N1984" i="1" s="1"/>
  <c r="M1984" i="1" a="1"/>
  <c r="M1984" i="1" s="1"/>
  <c r="O1983" i="1" a="1"/>
  <c r="O1983" i="1" s="1"/>
  <c r="H1983" i="1" a="1"/>
  <c r="H1983" i="1"/>
  <c r="K1983" i="1" a="1"/>
  <c r="K1983" i="1" s="1"/>
  <c r="J1984" i="1" a="1"/>
  <c r="J1984" i="1"/>
  <c r="P1983" i="1" a="1"/>
  <c r="P1983" i="1"/>
  <c r="M1983" i="1" a="1"/>
  <c r="M1983" i="1"/>
  <c r="I1983" i="1" a="1"/>
  <c r="I1983" i="1" s="1"/>
  <c r="F1983" i="1" a="1"/>
  <c r="F1983" i="1" s="1"/>
  <c r="N1982" i="1" a="1"/>
  <c r="N1982" i="1"/>
  <c r="Q1984" i="1" a="1"/>
  <c r="Q1984" i="1"/>
  <c r="P1984" i="1" a="1"/>
  <c r="P1984" i="1"/>
  <c r="N1983" i="1" a="1"/>
  <c r="N1983" i="1" s="1"/>
  <c r="L1984" i="1" a="1"/>
  <c r="L1984" i="1" s="1"/>
  <c r="K1984" i="1" a="1"/>
  <c r="K1984" i="1"/>
  <c r="L1983" i="1" a="1"/>
  <c r="L1983" i="1" s="1"/>
  <c r="I1984" i="1" a="1"/>
  <c r="I1984" i="1"/>
  <c r="G1984" i="1" a="1"/>
  <c r="G1984" i="1" s="1"/>
  <c r="Q1983" i="1" a="1"/>
  <c r="Q1983" i="1" s="1"/>
  <c r="K1982" i="1" a="1"/>
  <c r="K1982" i="1" s="1"/>
  <c r="G1983" i="1" a="1"/>
  <c r="G1983" i="1" s="1"/>
  <c r="Q1982" i="1" a="1"/>
  <c r="Q1982" i="1" s="1"/>
  <c r="L1982" i="1" a="1"/>
  <c r="L1982" i="1"/>
  <c r="Q1976" i="1" a="1"/>
  <c r="Q1976" i="1" s="1"/>
  <c r="F1981" i="1" a="1"/>
  <c r="F1981" i="1" s="1"/>
  <c r="N1981" i="1" a="1"/>
  <c r="N1981" i="1"/>
  <c r="N1980" i="1" a="1"/>
  <c r="N1980" i="1" s="1"/>
  <c r="M1980" i="1" a="1"/>
  <c r="M1980" i="1" s="1"/>
  <c r="M1979" i="1" a="1"/>
  <c r="M1979" i="1" s="1"/>
  <c r="P1977" i="1" a="1"/>
  <c r="P1977" i="1" s="1"/>
  <c r="I1977" i="1" a="1"/>
  <c r="I1977" i="1" s="1"/>
  <c r="O1979" i="1" a="1"/>
  <c r="O1979" i="1" s="1"/>
  <c r="K1980" i="1" a="1"/>
  <c r="K1980" i="1" s="1"/>
  <c r="G1980" i="1" a="1"/>
  <c r="G1980" i="1" s="1"/>
  <c r="Q1977" i="1" a="1"/>
  <c r="Q1977" i="1"/>
  <c r="J1977" i="1" a="1"/>
  <c r="J1977" i="1"/>
  <c r="Q1981" i="1" a="1"/>
  <c r="Q1981" i="1" s="1"/>
  <c r="J1982" i="1" a="1"/>
  <c r="J1982" i="1" s="1"/>
  <c r="I1982" i="1" a="1"/>
  <c r="I1982" i="1"/>
  <c r="O1976" i="1" a="1"/>
  <c r="O1976" i="1"/>
  <c r="H1982" i="1" a="1"/>
  <c r="H1982" i="1" s="1"/>
  <c r="G1982" i="1" a="1"/>
  <c r="G1982" i="1"/>
  <c r="F1982" i="1" a="1"/>
  <c r="F1982" i="1"/>
  <c r="L1977" i="1" a="1"/>
  <c r="L1977" i="1"/>
  <c r="P1981" i="1" a="1"/>
  <c r="P1981" i="1"/>
  <c r="O1981" i="1" a="1"/>
  <c r="O1981" i="1"/>
  <c r="P1979" i="1" a="1"/>
  <c r="P1979" i="1" s="1"/>
  <c r="M1977" i="1" a="1"/>
  <c r="M1977" i="1"/>
  <c r="H1977" i="1" a="1"/>
  <c r="H1977" i="1" s="1"/>
  <c r="L1981" i="1" a="1"/>
  <c r="L1981" i="1" s="1"/>
  <c r="I1981" i="1" a="1"/>
  <c r="I1981" i="1" s="1"/>
  <c r="K1981" i="1" a="1"/>
  <c r="K1981" i="1"/>
  <c r="J1981" i="1" a="1"/>
  <c r="J1981" i="1" s="1"/>
  <c r="H1981" i="1" a="1"/>
  <c r="H1981" i="1" s="1"/>
  <c r="Q1980" i="1" a="1"/>
  <c r="Q1980" i="1" s="1"/>
  <c r="G1979" i="1" a="1"/>
  <c r="G1979" i="1"/>
  <c r="I1980" i="1" a="1"/>
  <c r="I1980" i="1" s="1"/>
  <c r="J1980" i="1" a="1"/>
  <c r="J1980" i="1" s="1"/>
  <c r="P1980" i="1" a="1"/>
  <c r="P1980" i="1"/>
  <c r="O1980" i="1" a="1"/>
  <c r="O1980" i="1"/>
  <c r="L1980" i="1" a="1"/>
  <c r="L1980" i="1"/>
  <c r="H1980" i="1" a="1"/>
  <c r="H1980" i="1"/>
  <c r="F1980" i="1" a="1"/>
  <c r="F1980" i="1"/>
  <c r="Q1979" i="1" a="1"/>
  <c r="Q1979" i="1"/>
  <c r="L1979" i="1" a="1"/>
  <c r="L1979" i="1"/>
  <c r="K1979" i="1" a="1"/>
  <c r="K1979" i="1" s="1"/>
  <c r="G1977" i="1" a="1"/>
  <c r="G1977" i="1" s="1"/>
  <c r="J1979" i="1" a="1"/>
  <c r="J1979" i="1"/>
  <c r="I1979" i="1" a="1"/>
  <c r="I1979" i="1" s="1"/>
  <c r="F1979" i="1" a="1"/>
  <c r="F1979" i="1" s="1"/>
  <c r="H1979" i="1" a="1"/>
  <c r="H1979" i="1"/>
  <c r="P1976" i="1" a="1"/>
  <c r="P1976" i="1"/>
  <c r="O1977" i="1" a="1"/>
  <c r="O1977" i="1"/>
  <c r="N1977" i="1" a="1"/>
  <c r="N1977" i="1"/>
  <c r="F1977" i="1" a="1"/>
  <c r="F1977" i="1" s="1"/>
  <c r="K1977" i="1" a="1"/>
  <c r="K1977" i="1" s="1"/>
  <c r="N1979" i="1" a="1"/>
  <c r="N1979" i="1" s="1"/>
  <c r="M1981" i="1" a="1"/>
  <c r="M1981" i="1" s="1"/>
  <c r="G1981" i="1" a="1"/>
  <c r="G1981" i="1" s="1"/>
  <c r="H1974" i="1" a="1"/>
  <c r="H1974" i="1" s="1"/>
  <c r="P1975" i="1" a="1"/>
  <c r="P1975" i="1"/>
  <c r="N1975" i="1" a="1"/>
  <c r="N1975" i="1" s="1"/>
  <c r="P1974" i="1" a="1"/>
  <c r="P1974" i="1" s="1"/>
  <c r="F1973" i="1" a="1"/>
  <c r="F1973" i="1"/>
  <c r="M1973" i="1" a="1"/>
  <c r="M1973" i="1"/>
  <c r="K1972" i="1" a="1"/>
  <c r="K1972" i="1"/>
  <c r="H1976" i="1" a="1"/>
  <c r="H1976" i="1" s="1"/>
  <c r="Q1975" i="1" a="1"/>
  <c r="Q1975" i="1"/>
  <c r="I1972" i="1" a="1"/>
  <c r="I1972" i="1" s="1"/>
  <c r="I1974" i="1" a="1"/>
  <c r="I1974" i="1" s="1"/>
  <c r="L1973" i="1" a="1"/>
  <c r="L1973" i="1"/>
  <c r="Q1972" i="1" a="1"/>
  <c r="Q1972" i="1"/>
  <c r="N1976" i="1" a="1"/>
  <c r="N1976" i="1"/>
  <c r="M1976" i="1" a="1"/>
  <c r="M1976" i="1"/>
  <c r="I1973" i="1" a="1"/>
  <c r="I1973" i="1" s="1"/>
  <c r="L1974" i="1" a="1"/>
  <c r="L1974" i="1" s="1"/>
  <c r="K1975" i="1" a="1"/>
  <c r="K1975" i="1" s="1"/>
  <c r="O1974" i="1" a="1"/>
  <c r="O1974" i="1" s="1"/>
  <c r="N1974" i="1" a="1"/>
  <c r="N1974" i="1"/>
  <c r="P1972" i="1" a="1"/>
  <c r="P1972" i="1"/>
  <c r="O1972" i="1" a="1"/>
  <c r="O1972" i="1"/>
  <c r="F1975" i="1" a="1"/>
  <c r="F1975" i="1"/>
  <c r="G1974" i="1" a="1"/>
  <c r="G1974" i="1" s="1"/>
  <c r="J1972" i="1" a="1"/>
  <c r="J1972" i="1" s="1"/>
  <c r="N1973" i="1" a="1"/>
  <c r="N1973" i="1" s="1"/>
  <c r="J1973" i="1" a="1"/>
  <c r="J1973" i="1" s="1"/>
  <c r="M1972" i="1" a="1"/>
  <c r="M1972" i="1" s="1"/>
  <c r="I1975" i="1" a="1"/>
  <c r="I1975" i="1" s="1"/>
  <c r="K1976" i="1" a="1"/>
  <c r="K1976" i="1" s="1"/>
  <c r="J1976" i="1" a="1"/>
  <c r="J1976" i="1"/>
  <c r="I1976" i="1" a="1"/>
  <c r="I1976" i="1" s="1"/>
  <c r="G1976" i="1" a="1"/>
  <c r="G1976" i="1"/>
  <c r="F1976" i="1" a="1"/>
  <c r="F1976" i="1"/>
  <c r="J1975" i="1" a="1"/>
  <c r="J1975" i="1" s="1"/>
  <c r="H1975" i="1" a="1"/>
  <c r="H1975" i="1"/>
  <c r="H1973" i="1" a="1"/>
  <c r="H1973" i="1"/>
  <c r="M1974" i="1" a="1"/>
  <c r="M1974" i="1"/>
  <c r="L1972" i="1" a="1"/>
  <c r="L1972" i="1"/>
  <c r="K1973" i="1" a="1"/>
  <c r="K1973" i="1" s="1"/>
  <c r="O1973" i="1" a="1"/>
  <c r="O1973" i="1" s="1"/>
  <c r="O1975" i="1" a="1"/>
  <c r="O1975" i="1" s="1"/>
  <c r="G1973" i="1" a="1"/>
  <c r="G1973" i="1"/>
  <c r="H1972" i="1" a="1"/>
  <c r="H1972" i="1"/>
  <c r="G1975" i="1" a="1"/>
  <c r="G1975" i="1" s="1"/>
  <c r="P1973" i="1" a="1"/>
  <c r="P1973" i="1" s="1"/>
  <c r="N1972" i="1" a="1"/>
  <c r="N1972" i="1" s="1"/>
  <c r="M1975" i="1" a="1"/>
  <c r="M1975" i="1" s="1"/>
  <c r="Q1974" i="1" a="1"/>
  <c r="Q1974" i="1"/>
  <c r="Q1973" i="1" a="1"/>
  <c r="Q1973" i="1"/>
  <c r="L1975" i="1" a="1"/>
  <c r="L1975" i="1" s="1"/>
  <c r="K1974" i="1" a="1"/>
  <c r="K1974" i="1" s="1"/>
  <c r="F1974" i="1" a="1"/>
  <c r="F1974" i="1"/>
  <c r="J1974" i="1" a="1"/>
  <c r="J1974" i="1"/>
  <c r="L1976" i="1" a="1"/>
  <c r="L1976" i="1"/>
  <c r="I1971" i="1" a="1"/>
  <c r="I1971" i="1" s="1"/>
  <c r="H1971" i="1" a="1"/>
  <c r="H1971" i="1" s="1"/>
  <c r="J1969" i="1" a="1"/>
  <c r="J1969" i="1" s="1"/>
  <c r="F1971" i="1" a="1"/>
  <c r="F1971" i="1" s="1"/>
  <c r="Q1970" i="1" a="1"/>
  <c r="Q1970" i="1" s="1"/>
  <c r="O1969" i="1" a="1"/>
  <c r="O1969" i="1" s="1"/>
  <c r="P1968" i="1" a="1"/>
  <c r="P1968" i="1"/>
  <c r="F1970" i="1" a="1"/>
  <c r="F1970" i="1"/>
  <c r="O1970" i="1" a="1"/>
  <c r="O1970" i="1" s="1"/>
  <c r="N1970" i="1" a="1"/>
  <c r="N1970" i="1" s="1"/>
  <c r="G1969" i="1" a="1"/>
  <c r="G1969" i="1" s="1"/>
  <c r="M1970" i="1" a="1"/>
  <c r="M1970" i="1" s="1"/>
  <c r="K1970" i="1" a="1"/>
  <c r="K1970" i="1"/>
  <c r="H1970" i="1" a="1"/>
  <c r="H1970" i="1" s="1"/>
  <c r="G1970" i="1" a="1"/>
  <c r="G1970" i="1" s="1"/>
  <c r="M1968" i="1" a="1"/>
  <c r="M1968" i="1"/>
  <c r="Q1969" i="1" a="1"/>
  <c r="Q1969" i="1"/>
  <c r="I1969" i="1" a="1"/>
  <c r="I1969" i="1"/>
  <c r="N1969" i="1" a="1"/>
  <c r="N1969" i="1" s="1"/>
  <c r="M1969" i="1" a="1"/>
  <c r="M1969" i="1"/>
  <c r="O1968" i="1" a="1"/>
  <c r="O1968" i="1" s="1"/>
  <c r="G1968" i="1" a="1"/>
  <c r="G1968" i="1" s="1"/>
  <c r="H1969" i="1" a="1"/>
  <c r="H1969" i="1"/>
  <c r="N1968" i="1" a="1"/>
  <c r="N1968" i="1" s="1"/>
  <c r="K1968" i="1" a="1"/>
  <c r="K1968" i="1"/>
  <c r="F1968" i="1" a="1"/>
  <c r="F1968" i="1"/>
  <c r="Q1967" i="1" a="1"/>
  <c r="Q1967" i="1"/>
  <c r="I1968" i="1" a="1"/>
  <c r="I1968" i="1" s="1"/>
  <c r="G1972" i="1" a="1"/>
  <c r="G1972" i="1" s="1"/>
  <c r="F1972" i="1" a="1"/>
  <c r="F1972" i="1"/>
  <c r="P1970" i="1" a="1"/>
  <c r="P1970" i="1" s="1"/>
  <c r="Q1971" i="1" a="1"/>
  <c r="Q1971" i="1" s="1"/>
  <c r="G1971" i="1" a="1"/>
  <c r="G1971" i="1" s="1"/>
  <c r="I1970" i="1" a="1"/>
  <c r="I1970" i="1" s="1"/>
  <c r="K1971" i="1" a="1"/>
  <c r="K1971" i="1" s="1"/>
  <c r="P1971" i="1" a="1"/>
  <c r="P1971" i="1"/>
  <c r="J1970" i="1" a="1"/>
  <c r="J1970" i="1"/>
  <c r="L1971" i="1" a="1"/>
  <c r="L1971" i="1"/>
  <c r="H1968" i="1" a="1"/>
  <c r="H1968" i="1"/>
  <c r="L1970" i="1" a="1"/>
  <c r="L1970" i="1" s="1"/>
  <c r="P1967" i="1" a="1"/>
  <c r="P1967" i="1" s="1"/>
  <c r="L1969" i="1" a="1"/>
  <c r="L1969" i="1" s="1"/>
  <c r="P1969" i="1" a="1"/>
  <c r="P1969" i="1" s="1"/>
  <c r="F1969" i="1" a="1"/>
  <c r="F1969" i="1" s="1"/>
  <c r="L1968" i="1" a="1"/>
  <c r="L1968" i="1"/>
  <c r="J1968" i="1" a="1"/>
  <c r="J1968" i="1"/>
  <c r="Q1968" i="1" a="1"/>
  <c r="Q1968" i="1" s="1"/>
  <c r="O1971" i="1" a="1"/>
  <c r="O1971" i="1" s="1"/>
  <c r="N1971" i="1" a="1"/>
  <c r="N1971" i="1"/>
  <c r="M1971" i="1" a="1"/>
  <c r="M1971" i="1" s="1"/>
  <c r="K1969" i="1" a="1"/>
  <c r="K1969" i="1" s="1"/>
  <c r="J1971" i="1" a="1"/>
  <c r="J1971" i="1"/>
  <c r="M1967" i="1" a="1"/>
  <c r="M1967" i="1"/>
  <c r="L1967" i="1" a="1"/>
  <c r="L1967" i="1"/>
  <c r="N1966" i="1" a="1"/>
  <c r="N1966" i="1"/>
  <c r="J1965" i="1" a="1"/>
  <c r="J1965" i="1" s="1"/>
  <c r="Q1963" i="1" a="1"/>
  <c r="Q1963" i="1" s="1"/>
  <c r="K1967" i="1" a="1"/>
  <c r="K1967" i="1" s="1"/>
  <c r="F1967" i="1" a="1"/>
  <c r="F1967" i="1" s="1"/>
  <c r="P1966" i="1" a="1"/>
  <c r="P1966" i="1" s="1"/>
  <c r="O1966" i="1" a="1"/>
  <c r="O1966" i="1" s="1"/>
  <c r="L1966" i="1" a="1"/>
  <c r="L1966" i="1"/>
  <c r="K1966" i="1" a="1"/>
  <c r="K1966" i="1" s="1"/>
  <c r="L1965" i="1" a="1"/>
  <c r="L1965" i="1" s="1"/>
  <c r="H1964" i="1" a="1"/>
  <c r="H1964" i="1"/>
  <c r="F1966" i="1" a="1"/>
  <c r="F1966" i="1"/>
  <c r="F1964" i="1" a="1"/>
  <c r="F1964" i="1"/>
  <c r="M1965" i="1" a="1"/>
  <c r="M1965" i="1"/>
  <c r="I1964" i="1" a="1"/>
  <c r="I1964" i="1"/>
  <c r="Q1965" i="1" a="1"/>
  <c r="Q1965" i="1"/>
  <c r="N1965" i="1" a="1"/>
  <c r="N1965" i="1"/>
  <c r="F1965" i="1" a="1"/>
  <c r="F1965" i="1" s="1"/>
  <c r="M1964" i="1" a="1"/>
  <c r="M1964" i="1" s="1"/>
  <c r="L1962" i="1" a="1"/>
  <c r="L1962" i="1" s="1"/>
  <c r="O1962" i="1" a="1"/>
  <c r="O1962" i="1" s="1"/>
  <c r="J1967" i="1" a="1"/>
  <c r="J1967" i="1" s="1"/>
  <c r="H1966" i="1" a="1"/>
  <c r="H1966" i="1" s="1"/>
  <c r="K1965" i="1" a="1"/>
  <c r="K1965" i="1"/>
  <c r="P1962" i="1" a="1"/>
  <c r="P1962" i="1" s="1"/>
  <c r="I1965" i="1" a="1"/>
  <c r="I1965" i="1" s="1"/>
  <c r="K1963" i="1" a="1"/>
  <c r="K1963" i="1"/>
  <c r="N1962" i="1" a="1"/>
  <c r="N1962" i="1"/>
  <c r="I1967" i="1" a="1"/>
  <c r="I1967" i="1"/>
  <c r="Q1966" i="1" a="1"/>
  <c r="Q1966" i="1" s="1"/>
  <c r="G1963" i="1" a="1"/>
  <c r="G1963" i="1" s="1"/>
  <c r="M1963" i="1" a="1"/>
  <c r="M1963" i="1" s="1"/>
  <c r="O1963" i="1" a="1"/>
  <c r="O1963" i="1" s="1"/>
  <c r="J1963" i="1" a="1"/>
  <c r="J1963" i="1" s="1"/>
  <c r="I1963" i="1" a="1"/>
  <c r="I1963" i="1" s="1"/>
  <c r="J1966" i="1" a="1"/>
  <c r="J1966" i="1"/>
  <c r="K1964" i="1" a="1"/>
  <c r="K1964" i="1"/>
  <c r="P1963" i="1" a="1"/>
  <c r="P1963" i="1" s="1"/>
  <c r="G1967" i="1" a="1"/>
  <c r="G1967" i="1" s="1"/>
  <c r="M1966" i="1" a="1"/>
  <c r="M1966" i="1"/>
  <c r="O1965" i="1" a="1"/>
  <c r="O1965" i="1"/>
  <c r="L1964" i="1" a="1"/>
  <c r="L1964" i="1" s="1"/>
  <c r="Q1962" i="1" a="1"/>
  <c r="Q1962" i="1" s="1"/>
  <c r="H1965" i="1" a="1"/>
  <c r="H1965" i="1"/>
  <c r="O1964" i="1" a="1"/>
  <c r="O1964" i="1"/>
  <c r="N1964" i="1" a="1"/>
  <c r="N1964" i="1"/>
  <c r="P1964" i="1" a="1"/>
  <c r="P1964" i="1"/>
  <c r="L1963" i="1" a="1"/>
  <c r="L1963" i="1"/>
  <c r="G1966" i="1" a="1"/>
  <c r="G1966" i="1" s="1"/>
  <c r="H1963" i="1" a="1"/>
  <c r="H1963" i="1" s="1"/>
  <c r="M1962" i="1" a="1"/>
  <c r="M1962" i="1" s="1"/>
  <c r="H1967" i="1" a="1"/>
  <c r="H1967" i="1" s="1"/>
  <c r="I1966" i="1" a="1"/>
  <c r="I1966" i="1"/>
  <c r="P1965" i="1" a="1"/>
  <c r="P1965" i="1" s="1"/>
  <c r="F1963" i="1" a="1"/>
  <c r="F1963" i="1" s="1"/>
  <c r="G1964" i="1" a="1"/>
  <c r="G1964" i="1" s="1"/>
  <c r="N1963" i="1" a="1"/>
  <c r="N1963" i="1" s="1"/>
  <c r="O1967" i="1" a="1"/>
  <c r="O1967" i="1"/>
  <c r="N1967" i="1" a="1"/>
  <c r="N1967" i="1" s="1"/>
  <c r="J1964" i="1" a="1"/>
  <c r="J1964" i="1" s="1"/>
  <c r="G1965" i="1" a="1"/>
  <c r="G1965" i="1"/>
  <c r="Q1964" i="1" a="1"/>
  <c r="Q1964" i="1"/>
  <c r="G1962" i="1" a="1"/>
  <c r="G1962" i="1" s="1"/>
  <c r="F1962" i="1" a="1"/>
  <c r="F1962" i="1" s="1"/>
  <c r="P1961" i="1" a="1"/>
  <c r="P1961" i="1"/>
  <c r="O1961" i="1" a="1"/>
  <c r="O1961" i="1"/>
  <c r="M1961" i="1" a="1"/>
  <c r="M1961" i="1" s="1"/>
  <c r="K1960" i="1" a="1"/>
  <c r="K1960" i="1" s="1"/>
  <c r="J1961" i="1" a="1"/>
  <c r="J1961" i="1"/>
  <c r="L1960" i="1" a="1"/>
  <c r="L1960" i="1"/>
  <c r="K1961" i="1" a="1"/>
  <c r="K1961" i="1"/>
  <c r="I1961" i="1" a="1"/>
  <c r="I1961" i="1"/>
  <c r="G1961" i="1" a="1"/>
  <c r="G1961" i="1" s="1"/>
  <c r="F1961" i="1" a="1"/>
  <c r="F1961" i="1"/>
  <c r="O1960" i="1" a="1"/>
  <c r="O1960" i="1"/>
  <c r="M1960" i="1" a="1"/>
  <c r="M1960" i="1"/>
  <c r="I1960" i="1" a="1"/>
  <c r="I1960" i="1" s="1"/>
  <c r="H1960" i="1" a="1"/>
  <c r="H1960" i="1"/>
  <c r="G1960" i="1" a="1"/>
  <c r="G1960" i="1" s="1"/>
  <c r="O1959" i="1" a="1"/>
  <c r="O1959" i="1" s="1"/>
  <c r="N1959" i="1" a="1"/>
  <c r="N1959" i="1" s="1"/>
  <c r="M1959" i="1" a="1"/>
  <c r="M1959" i="1"/>
  <c r="P1959" i="1" a="1"/>
  <c r="P1959" i="1" s="1"/>
  <c r="K1962" i="1" a="1"/>
  <c r="K1962" i="1" s="1"/>
  <c r="N1960" i="1" a="1"/>
  <c r="N1960" i="1" s="1"/>
  <c r="J1962" i="1" a="1"/>
  <c r="J1962" i="1" s="1"/>
  <c r="I1962" i="1" a="1"/>
  <c r="I1962" i="1"/>
  <c r="Q1959" i="1" a="1"/>
  <c r="Q1959" i="1"/>
  <c r="J1960" i="1" a="1"/>
  <c r="J1960" i="1"/>
  <c r="F1960" i="1" a="1"/>
  <c r="F1960" i="1" s="1"/>
  <c r="H1962" i="1" a="1"/>
  <c r="H1962" i="1" s="1"/>
  <c r="Q1961" i="1" a="1"/>
  <c r="Q1961" i="1" s="1"/>
  <c r="L1961" i="1" a="1"/>
  <c r="L1961" i="1" s="1"/>
  <c r="P1960" i="1" a="1"/>
  <c r="P1960" i="1"/>
  <c r="H1961" i="1" a="1"/>
  <c r="H1961" i="1"/>
  <c r="Q1960" i="1" a="1"/>
  <c r="Q1960" i="1" s="1"/>
  <c r="N1961" i="1" a="1"/>
  <c r="N1961" i="1" s="1"/>
  <c r="L1998" i="1" a="1"/>
  <c r="L1998" i="1"/>
  <c r="N1998" i="1" a="1"/>
  <c r="N1998" i="1"/>
  <c r="F1999" i="1" a="1"/>
  <c r="F1999" i="1"/>
  <c r="G1999" i="1" a="1"/>
  <c r="G1999" i="1" s="1"/>
  <c r="Q1998" i="1" a="1"/>
  <c r="Q1998" i="1" s="1"/>
  <c r="M1998" i="1" a="1"/>
  <c r="M1998" i="1" s="1"/>
  <c r="P1998" i="1" a="1"/>
  <c r="P1998" i="1" s="1"/>
  <c r="O1998" i="1" a="1"/>
  <c r="O1998" i="1" s="1"/>
  <c r="P1994" i="1" a="1"/>
  <c r="P1994" i="1" s="1"/>
  <c r="H1994" i="1" a="1"/>
  <c r="H1994" i="1" s="1"/>
  <c r="J1996" i="1" a="1"/>
  <c r="J1996" i="1" s="1"/>
  <c r="Q1995" i="1" a="1"/>
  <c r="Q1995" i="1" s="1"/>
  <c r="K1998" i="1" a="1"/>
  <c r="K1998" i="1" s="1"/>
  <c r="G1996" i="1" a="1"/>
  <c r="G1996" i="1"/>
  <c r="M1994" i="1" a="1"/>
  <c r="M1994" i="1" s="1"/>
  <c r="I1994" i="1" a="1"/>
  <c r="I1994" i="1" s="1"/>
  <c r="Q1993" i="1" a="1"/>
  <c r="Q1993" i="1" s="1"/>
  <c r="J1998" i="1" a="1"/>
  <c r="J1998" i="1"/>
  <c r="I1998" i="1" a="1"/>
  <c r="I1998" i="1"/>
  <c r="H1998" i="1" a="1"/>
  <c r="H1998" i="1"/>
  <c r="G1998" i="1" a="1"/>
  <c r="G1998" i="1" s="1"/>
  <c r="F1998" i="1" a="1"/>
  <c r="F1998" i="1" s="1"/>
  <c r="Q1997" i="1" a="1"/>
  <c r="Q1997" i="1" s="1"/>
  <c r="H1996" i="1" a="1"/>
  <c r="H1996" i="1" s="1"/>
  <c r="N1997" i="1" a="1"/>
  <c r="N1997" i="1"/>
  <c r="I1996" i="1" a="1"/>
  <c r="I1996" i="1"/>
  <c r="H1993" i="1" a="1"/>
  <c r="H1993" i="1"/>
  <c r="O1993" i="1" a="1"/>
  <c r="O1993" i="1" s="1"/>
  <c r="P1997" i="1" a="1"/>
  <c r="P1997" i="1" s="1"/>
  <c r="K1997" i="1" a="1"/>
  <c r="K1997" i="1"/>
  <c r="H1997" i="1" a="1"/>
  <c r="H1997" i="1"/>
  <c r="N1996" i="1" a="1"/>
  <c r="N1996" i="1" s="1"/>
  <c r="G1997" i="1" a="1"/>
  <c r="G1997" i="1" s="1"/>
  <c r="M1993" i="1" a="1"/>
  <c r="M1993" i="1" s="1"/>
  <c r="L1996" i="1" a="1"/>
  <c r="L1996" i="1" s="1"/>
  <c r="O1995" i="1" a="1"/>
  <c r="O1995" i="1" s="1"/>
  <c r="N1995" i="1" a="1"/>
  <c r="N1995" i="1" s="1"/>
  <c r="J1993" i="1" a="1"/>
  <c r="J1993" i="1" s="1"/>
  <c r="J1995" i="1" a="1"/>
  <c r="J1995" i="1" s="1"/>
  <c r="G1995" i="1" a="1"/>
  <c r="G1995" i="1" s="1"/>
  <c r="F1995" i="1" a="1"/>
  <c r="F1995" i="1" s="1"/>
  <c r="Q1994" i="1" a="1"/>
  <c r="Q1994" i="1" s="1"/>
  <c r="F1994" i="1" a="1"/>
  <c r="F1994" i="1"/>
  <c r="P1993" i="1" a="1"/>
  <c r="P1993" i="1" s="1"/>
  <c r="O1996" i="1" a="1"/>
  <c r="O1996" i="1" s="1"/>
  <c r="G1994" i="1" a="1"/>
  <c r="G1994" i="1"/>
  <c r="P1995" i="1" a="1"/>
  <c r="P1995" i="1"/>
  <c r="O1997" i="1" a="1"/>
  <c r="O1997" i="1"/>
  <c r="M1997" i="1" a="1"/>
  <c r="M1997" i="1" s="1"/>
  <c r="L1997" i="1" a="1"/>
  <c r="L1997" i="1" s="1"/>
  <c r="H1995" i="1" a="1"/>
  <c r="H1995" i="1"/>
  <c r="N1993" i="1" a="1"/>
  <c r="N1993" i="1"/>
  <c r="K1994" i="1" a="1"/>
  <c r="K1994" i="1"/>
  <c r="O1994" i="1" a="1"/>
  <c r="O1994" i="1" s="1"/>
  <c r="J1997" i="1" a="1"/>
  <c r="J1997" i="1"/>
  <c r="L1993" i="1" a="1"/>
  <c r="L1993" i="1"/>
  <c r="I1997" i="1" a="1"/>
  <c r="I1997" i="1" s="1"/>
  <c r="K1993" i="1" a="1"/>
  <c r="K1993" i="1" s="1"/>
  <c r="F1997" i="1" a="1"/>
  <c r="F1997" i="1"/>
  <c r="Q1996" i="1" a="1"/>
  <c r="Q1996" i="1"/>
  <c r="P1996" i="1" a="1"/>
  <c r="P1996" i="1" s="1"/>
  <c r="M1996" i="1" a="1"/>
  <c r="M1996" i="1" s="1"/>
  <c r="K1996" i="1" a="1"/>
  <c r="K1996" i="1"/>
  <c r="I1993" i="1" a="1"/>
  <c r="I1993" i="1" s="1"/>
  <c r="N1994" i="1" a="1"/>
  <c r="N1994" i="1" s="1"/>
  <c r="F1996" i="1" a="1"/>
  <c r="F1996" i="1" s="1"/>
  <c r="M1995" i="1" a="1"/>
  <c r="M1995" i="1" s="1"/>
  <c r="L1995" i="1" a="1"/>
  <c r="L1995" i="1"/>
  <c r="K1995" i="1" a="1"/>
  <c r="K1995" i="1" s="1"/>
  <c r="I1995" i="1" a="1"/>
  <c r="I1995" i="1" s="1"/>
  <c r="J1994" i="1" a="1"/>
  <c r="J1994" i="1" s="1"/>
  <c r="L1994" i="1" a="1"/>
  <c r="L1994" i="1"/>
  <c r="F1992" i="1" a="1"/>
  <c r="F1992" i="1" s="1"/>
  <c r="L1989" i="1" a="1"/>
  <c r="L1989" i="1" s="1"/>
  <c r="G1989" i="1" a="1"/>
  <c r="G1989" i="1"/>
  <c r="M1991" i="1" a="1"/>
  <c r="M1991" i="1" s="1"/>
  <c r="F1991" i="1" a="1"/>
  <c r="F1991" i="1" s="1"/>
  <c r="K1990" i="1" a="1"/>
  <c r="K1990" i="1" s="1"/>
  <c r="K1991" i="1" a="1"/>
  <c r="K1991" i="1" s="1"/>
  <c r="L1990" i="1" a="1"/>
  <c r="L1990" i="1"/>
  <c r="F1989" i="1" a="1"/>
  <c r="F1989" i="1"/>
  <c r="M1989" i="1" a="1"/>
  <c r="M1989" i="1"/>
  <c r="J1990" i="1" a="1"/>
  <c r="J1990" i="1"/>
  <c r="M1992" i="1" a="1"/>
  <c r="M1992" i="1"/>
  <c r="L1992" i="1" a="1"/>
  <c r="L1992" i="1"/>
  <c r="J1992" i="1" a="1"/>
  <c r="J1992" i="1" s="1"/>
  <c r="G1992" i="1" a="1"/>
  <c r="G1992" i="1" s="1"/>
  <c r="N1991" i="1" a="1"/>
  <c r="N1991" i="1"/>
  <c r="J1991" i="1" a="1"/>
  <c r="J1991" i="1"/>
  <c r="H1990" i="1" a="1"/>
  <c r="H1990" i="1" s="1"/>
  <c r="G1990" i="1" a="1"/>
  <c r="G1990" i="1" s="1"/>
  <c r="O1989" i="1" a="1"/>
  <c r="O1989" i="1" s="1"/>
  <c r="N1988" i="1" a="1"/>
  <c r="N1988" i="1" s="1"/>
  <c r="J1989" i="1" a="1"/>
  <c r="J1989" i="1"/>
  <c r="H1991" i="1" a="1"/>
  <c r="H1991" i="1"/>
  <c r="Q1990" i="1" a="1"/>
  <c r="Q1990" i="1"/>
  <c r="O1988" i="1" a="1"/>
  <c r="O1988" i="1" s="1"/>
  <c r="P1988" i="1" a="1"/>
  <c r="P1988" i="1" s="1"/>
  <c r="F1990" i="1" a="1"/>
  <c r="F1990" i="1"/>
  <c r="Q1988" i="1" a="1"/>
  <c r="Q1988" i="1" s="1"/>
  <c r="G1993" i="1" a="1"/>
  <c r="G1993" i="1"/>
  <c r="K1989" i="1" a="1"/>
  <c r="K1989" i="1" s="1"/>
  <c r="F1993" i="1" a="1"/>
  <c r="F1993" i="1" s="1"/>
  <c r="Q1992" i="1" a="1"/>
  <c r="Q1992" i="1" s="1"/>
  <c r="P1990" i="1" a="1"/>
  <c r="P1990" i="1"/>
  <c r="Q1991" i="1" a="1"/>
  <c r="Q1991" i="1" s="1"/>
  <c r="P1992" i="1" a="1"/>
  <c r="P1992" i="1" s="1"/>
  <c r="I1992" i="1" a="1"/>
  <c r="I1992" i="1" s="1"/>
  <c r="H1992" i="1" a="1"/>
  <c r="H1992" i="1"/>
  <c r="P1991" i="1" a="1"/>
  <c r="P1991" i="1" s="1"/>
  <c r="I1989" i="1" a="1"/>
  <c r="I1989" i="1" s="1"/>
  <c r="P1989" i="1" a="1"/>
  <c r="P1989" i="1"/>
  <c r="H1989" i="1" a="1"/>
  <c r="H1989" i="1"/>
  <c r="Q1989" i="1" a="1"/>
  <c r="Q1989" i="1" s="1"/>
  <c r="O1991" i="1" a="1"/>
  <c r="O1991" i="1" s="1"/>
  <c r="G1991" i="1" a="1"/>
  <c r="G1991" i="1" s="1"/>
  <c r="I1990" i="1" a="1"/>
  <c r="I1990" i="1"/>
  <c r="I1991" i="1" a="1"/>
  <c r="I1991" i="1"/>
  <c r="O1992" i="1" a="1"/>
  <c r="O1992" i="1" s="1"/>
  <c r="M1988" i="1" a="1"/>
  <c r="M1988" i="1" s="1"/>
  <c r="N1992" i="1" a="1"/>
  <c r="N1992" i="1"/>
  <c r="O1990" i="1" a="1"/>
  <c r="O1990" i="1" s="1"/>
  <c r="M1990" i="1" a="1"/>
  <c r="M1990" i="1"/>
  <c r="L1988" i="1" a="1"/>
  <c r="L1988" i="1" s="1"/>
  <c r="K1992" i="1" a="1"/>
  <c r="K1992" i="1" s="1"/>
  <c r="L1991" i="1" a="1"/>
  <c r="L1991" i="1"/>
  <c r="N1990" i="1" a="1"/>
  <c r="N1990" i="1"/>
  <c r="N1989" i="1" a="1"/>
  <c r="N1989" i="1"/>
  <c r="P1987" i="1" a="1"/>
  <c r="P1987" i="1" s="1"/>
  <c r="O1987" i="1" a="1"/>
  <c r="O1987" i="1"/>
  <c r="K1988" i="1" a="1"/>
  <c r="K1988" i="1" s="1"/>
  <c r="H1988" i="1" a="1"/>
  <c r="H1988" i="1" s="1"/>
  <c r="J1988" i="1" a="1"/>
  <c r="J1988" i="1"/>
  <c r="I1988" i="1" a="1"/>
  <c r="I1988" i="1" s="1"/>
  <c r="G1988" i="1" a="1"/>
  <c r="G1988" i="1" s="1"/>
  <c r="F1988" i="1" a="1"/>
  <c r="F1988" i="1" s="1"/>
  <c r="Q1987" i="1" a="1"/>
  <c r="Q1987" i="1" s="1"/>
  <c r="N1987" i="1" a="1"/>
  <c r="N1987" i="1" s="1"/>
  <c r="M1987" i="1" a="1"/>
  <c r="M1987" i="1"/>
  <c r="G2155" i="1" a="1"/>
  <c r="G2155" i="1" s="1"/>
  <c r="L2154" i="1" a="1"/>
  <c r="L2154" i="1" s="1"/>
  <c r="J2153" i="1" a="1"/>
  <c r="J2153" i="1"/>
  <c r="I2154" i="1" a="1"/>
  <c r="I2154" i="1"/>
  <c r="H2155" i="1" a="1"/>
  <c r="H2155" i="1" s="1"/>
  <c r="O2155" i="1" a="1"/>
  <c r="O2155" i="1" s="1"/>
  <c r="M2155" i="1" a="1"/>
  <c r="M2155" i="1"/>
  <c r="I2155" i="1" a="1"/>
  <c r="I2155" i="1"/>
  <c r="M2153" i="1" a="1"/>
  <c r="M2153" i="1" s="1"/>
  <c r="G2153" i="1" a="1"/>
  <c r="G2153" i="1"/>
  <c r="J2154" i="1" a="1"/>
  <c r="J2154" i="1" s="1"/>
  <c r="O2156" i="1" a="1"/>
  <c r="O2156" i="1" s="1"/>
  <c r="N2156" i="1" a="1"/>
  <c r="N2156" i="1" s="1"/>
  <c r="M2156" i="1" a="1"/>
  <c r="M2156" i="1" s="1"/>
  <c r="J2155" i="1" a="1"/>
  <c r="J2155" i="1" s="1"/>
  <c r="M2154" i="1" a="1"/>
  <c r="M2154" i="1" s="1"/>
  <c r="L2153" i="1" a="1"/>
  <c r="L2153" i="1"/>
  <c r="P2154" i="1" a="1"/>
  <c r="P2154" i="1" s="1"/>
  <c r="L2155" i="1" a="1"/>
  <c r="L2155" i="1" s="1"/>
  <c r="O2153" i="1" a="1"/>
  <c r="O2153" i="1"/>
  <c r="G2156" i="1" a="1"/>
  <c r="G2156" i="1" s="1"/>
  <c r="H2154" i="1" a="1"/>
  <c r="H2154" i="1" s="1"/>
  <c r="K2153" i="1" a="1"/>
  <c r="K2153" i="1" s="1"/>
  <c r="J2156" i="1" a="1"/>
  <c r="J2156" i="1" s="1"/>
  <c r="F2156" i="1" a="1"/>
  <c r="F2156" i="1"/>
  <c r="N2154" i="1" a="1"/>
  <c r="N2154" i="1"/>
  <c r="F2154" i="1" a="1"/>
  <c r="F2154" i="1"/>
  <c r="P2153" i="1" a="1"/>
  <c r="P2153" i="1" s="1"/>
  <c r="P2155" i="1" a="1"/>
  <c r="P2155" i="1" s="1"/>
  <c r="I2153" i="1" a="1"/>
  <c r="I2153" i="1" s="1"/>
  <c r="Q2152" i="1" a="1"/>
  <c r="Q2152" i="1" s="1"/>
  <c r="H2153" i="1" a="1"/>
  <c r="H2153" i="1" s="1"/>
  <c r="L2156" i="1" a="1"/>
  <c r="L2156" i="1"/>
  <c r="I2156" i="1" a="1"/>
  <c r="I2156" i="1" s="1"/>
  <c r="K2154" i="1" a="1"/>
  <c r="K2154" i="1" s="1"/>
  <c r="K2156" i="1" a="1"/>
  <c r="K2156" i="1"/>
  <c r="H2156" i="1" a="1"/>
  <c r="H2156" i="1" s="1"/>
  <c r="Q2155" i="1" a="1"/>
  <c r="Q2155" i="1"/>
  <c r="N2153" i="1" a="1"/>
  <c r="N2153" i="1" s="1"/>
  <c r="F2153" i="1" a="1"/>
  <c r="F2153" i="1" s="1"/>
  <c r="N2155" i="1" a="1"/>
  <c r="N2155" i="1" s="1"/>
  <c r="P2152" i="1" a="1"/>
  <c r="P2152" i="1" s="1"/>
  <c r="F2155" i="1" a="1"/>
  <c r="F2155" i="1" s="1"/>
  <c r="O2154" i="1" a="1"/>
  <c r="O2154" i="1" s="1"/>
  <c r="K2155" i="1" a="1"/>
  <c r="K2155" i="1"/>
  <c r="G2154" i="1" a="1"/>
  <c r="G2154" i="1" s="1"/>
  <c r="Q2154" i="1" a="1"/>
  <c r="Q2154" i="1"/>
  <c r="Q2153" i="1" a="1"/>
  <c r="Q2153" i="1" s="1"/>
  <c r="K2229" i="1" a="1"/>
  <c r="K2229" i="1" s="1"/>
  <c r="J2229" i="1" a="1"/>
  <c r="J2229" i="1"/>
  <c r="J2230" i="1" s="1" a="1"/>
  <c r="J2230" i="1" s="1"/>
  <c r="L2232" i="1" a="1"/>
  <c r="L2232" i="1" s="1"/>
  <c r="J2232" i="1" a="1"/>
  <c r="J2232" i="1"/>
  <c r="N2229" i="1" a="1"/>
  <c r="N2229" i="1" s="1"/>
  <c r="N2230" i="1" s="1" a="1"/>
  <c r="N2230" i="1" s="1"/>
  <c r="I2232" i="1" a="1"/>
  <c r="I2232" i="1" s="1"/>
  <c r="H2232" i="1" a="1"/>
  <c r="H2232" i="1"/>
  <c r="M2231" i="1" a="1"/>
  <c r="M2231" i="1" s="1"/>
  <c r="O2229" i="1" a="1"/>
  <c r="O2229" i="1"/>
  <c r="O2230" i="1" s="1" a="1"/>
  <c r="O2230" i="1" s="1"/>
  <c r="F2229" i="1" a="1"/>
  <c r="F2229" i="1" s="1"/>
  <c r="F2232" i="1" a="1"/>
  <c r="F2232" i="1" s="1"/>
  <c r="H2231" i="1" a="1"/>
  <c r="H2231" i="1" s="1"/>
  <c r="G2231" i="1" a="1"/>
  <c r="G2231" i="1" s="1"/>
  <c r="G2229" i="1" a="1"/>
  <c r="G2229" i="1" s="1"/>
  <c r="G2230" i="1" s="1" a="1"/>
  <c r="G2230" i="1" s="1"/>
  <c r="F2230" i="1" a="1"/>
  <c r="F2230" i="1" s="1"/>
  <c r="P2229" i="1" a="1"/>
  <c r="P2229" i="1" s="1"/>
  <c r="P2230" i="1" s="1" a="1"/>
  <c r="P2230" i="1" s="1"/>
  <c r="G2228" i="1" a="1"/>
  <c r="G2228" i="1" s="1"/>
  <c r="M2230" i="1" a="1"/>
  <c r="M2230" i="1" s="1"/>
  <c r="I2229" i="1" a="1"/>
  <c r="I2229" i="1" s="1"/>
  <c r="Q2232" i="1" a="1"/>
  <c r="Q2232" i="1" s="1"/>
  <c r="P2232" i="1" a="1"/>
  <c r="P2232" i="1"/>
  <c r="P2231" i="1" a="1"/>
  <c r="P2231" i="1" s="1"/>
  <c r="J2231" i="1" a="1"/>
  <c r="J2231" i="1"/>
  <c r="I2228" i="1" a="1"/>
  <c r="I2228" i="1" s="1"/>
  <c r="O2232" i="1" a="1"/>
  <c r="O2232" i="1"/>
  <c r="N2232" i="1" a="1"/>
  <c r="N2232" i="1" s="1"/>
  <c r="M2232" i="1" a="1"/>
  <c r="M2232" i="1"/>
  <c r="K2232" i="1" a="1"/>
  <c r="K2232" i="1" s="1"/>
  <c r="Q2231" i="1" a="1"/>
  <c r="Q2231" i="1" s="1"/>
  <c r="G2232" i="1" a="1"/>
  <c r="G2232" i="1" s="1"/>
  <c r="Q2229" i="1" a="1"/>
  <c r="Q2229" i="1" s="1"/>
  <c r="Q2230" i="1" s="1" a="1"/>
  <c r="Q2230" i="1" s="1"/>
  <c r="O2231" i="1" a="1"/>
  <c r="O2231" i="1" s="1"/>
  <c r="N2231" i="1" a="1"/>
  <c r="N2231" i="1" s="1"/>
  <c r="I2231" i="1" a="1"/>
  <c r="I2231" i="1" s="1"/>
  <c r="I2230" i="1" a="1"/>
  <c r="I2230" i="1" s="1"/>
  <c r="K2230" i="1" a="1"/>
  <c r="K2230" i="1"/>
  <c r="H2228" i="1" a="1"/>
  <c r="H2228" i="1" s="1"/>
  <c r="K2231" i="1" a="1"/>
  <c r="K2231" i="1"/>
  <c r="L2231" i="1" a="1"/>
  <c r="L2231" i="1" s="1"/>
  <c r="F2231" i="1" a="1"/>
  <c r="F2231" i="1" s="1"/>
  <c r="M2229" i="1" a="1"/>
  <c r="M2229" i="1" s="1"/>
  <c r="L2229" i="1" a="1"/>
  <c r="L2229" i="1"/>
  <c r="L2230" i="1" s="1" a="1"/>
  <c r="L2230" i="1" s="1"/>
  <c r="H2229" i="1" a="1"/>
  <c r="H2229" i="1" s="1"/>
  <c r="H2230" i="1" s="1" a="1"/>
  <c r="H2230" i="1" s="1"/>
  <c r="P2226" i="1" a="1"/>
  <c r="P2226" i="1" s="1"/>
  <c r="L2227" i="1" a="1"/>
  <c r="L2227" i="1"/>
  <c r="L2228" i="1" s="1" a="1"/>
  <c r="L2228" i="1" s="1"/>
  <c r="Q2227" i="1" a="1"/>
  <c r="Q2227" i="1" s="1"/>
  <c r="Q2228" i="1" s="1" a="1"/>
  <c r="Q2228" i="1" s="1"/>
  <c r="O2227" i="1" a="1"/>
  <c r="O2227" i="1" s="1"/>
  <c r="O2228" i="1" s="1" a="1"/>
  <c r="O2228" i="1" s="1"/>
  <c r="K2227" i="1" a="1"/>
  <c r="K2227" i="1" s="1"/>
  <c r="K2228" i="1" s="1" a="1"/>
  <c r="K2228" i="1" s="1"/>
  <c r="G2227" i="1" a="1"/>
  <c r="G2227" i="1"/>
  <c r="N2226" i="1" a="1"/>
  <c r="N2226" i="1" s="1"/>
  <c r="N2227" i="1" a="1"/>
  <c r="N2227" i="1"/>
  <c r="N2228" i="1" s="1" a="1"/>
  <c r="N2228" i="1" s="1"/>
  <c r="J2227" i="1" a="1"/>
  <c r="J2227" i="1" s="1"/>
  <c r="J2228" i="1" s="1" a="1"/>
  <c r="J2228" i="1" s="1"/>
  <c r="Q2226" i="1" a="1"/>
  <c r="Q2226" i="1" s="1"/>
  <c r="O2226" i="1" a="1"/>
  <c r="O2226" i="1"/>
  <c r="P2227" i="1" a="1"/>
  <c r="P2227" i="1" s="1"/>
  <c r="P2228" i="1" s="1" a="1"/>
  <c r="P2228" i="1" s="1"/>
  <c r="M2227" i="1" a="1"/>
  <c r="M2227" i="1" s="1"/>
  <c r="M2228" i="1" s="1" a="1"/>
  <c r="M2228" i="1" s="1"/>
  <c r="I2227" i="1" a="1"/>
  <c r="I2227" i="1"/>
  <c r="H2227" i="1" a="1"/>
  <c r="H2227" i="1" s="1"/>
  <c r="M2226" i="1" a="1"/>
  <c r="M2226" i="1" s="1"/>
  <c r="F2227" i="1" a="1"/>
  <c r="F2227" i="1"/>
  <c r="F2228" i="1" s="1" a="1"/>
  <c r="F2228" i="1" s="1"/>
  <c r="P2224" i="1" a="1"/>
  <c r="P2224" i="1"/>
  <c r="O2224" i="1" a="1"/>
  <c r="O2224" i="1"/>
  <c r="N2224" i="1" a="1"/>
  <c r="N2224" i="1"/>
  <c r="M2224" i="1" a="1"/>
  <c r="M2224" i="1" s="1"/>
  <c r="M2225" i="1" s="1" a="1"/>
  <c r="M2225" i="1" s="1"/>
  <c r="G2224" i="1" a="1"/>
  <c r="G2224" i="1"/>
  <c r="G2225" i="1" s="1" a="1"/>
  <c r="G2225" i="1" s="1"/>
  <c r="F2224" i="1" a="1"/>
  <c r="F2224" i="1"/>
  <c r="F2225" i="1" s="1" a="1"/>
  <c r="F2225" i="1" s="1"/>
  <c r="K2224" i="1" a="1"/>
  <c r="K2224" i="1"/>
  <c r="K2225" i="1" s="1" a="1"/>
  <c r="K2225" i="1" s="1"/>
  <c r="L2226" i="1" a="1"/>
  <c r="L2226" i="1"/>
  <c r="K2226" i="1" a="1"/>
  <c r="K2226" i="1"/>
  <c r="J2226" i="1" a="1"/>
  <c r="J2226" i="1" s="1"/>
  <c r="I2226" i="1" a="1"/>
  <c r="I2226" i="1" s="1"/>
  <c r="F2226" i="1" a="1"/>
  <c r="F2226" i="1"/>
  <c r="H2224" i="1" a="1"/>
  <c r="H2224" i="1"/>
  <c r="H2225" i="1" s="1" a="1"/>
  <c r="H2225" i="1" s="1"/>
  <c r="H2226" i="1" a="1"/>
  <c r="H2226" i="1"/>
  <c r="G2226" i="1" a="1"/>
  <c r="G2226" i="1"/>
  <c r="P2225" i="1" a="1"/>
  <c r="P2225" i="1" s="1"/>
  <c r="O2225" i="1" a="1"/>
  <c r="O2225" i="1" s="1"/>
  <c r="N2225" i="1" a="1"/>
  <c r="N2225" i="1" s="1"/>
  <c r="Q2224" i="1" a="1"/>
  <c r="Q2224" i="1" s="1"/>
  <c r="Q2225" i="1" s="1" a="1"/>
  <c r="Q2225" i="1" s="1"/>
  <c r="J2224" i="1" a="1"/>
  <c r="J2224" i="1"/>
  <c r="J2225" i="1" s="1" a="1"/>
  <c r="J2225" i="1" s="1"/>
  <c r="I2224" i="1" a="1"/>
  <c r="I2224" i="1" s="1"/>
  <c r="I2225" i="1" s="1" a="1"/>
  <c r="I2225" i="1" s="1"/>
  <c r="L2224" i="1" a="1"/>
  <c r="L2224" i="1" s="1"/>
  <c r="L2225" i="1" s="1" a="1"/>
  <c r="L2225" i="1" s="1"/>
  <c r="Q2222" i="1" a="1"/>
  <c r="Q2222" i="1"/>
  <c r="M2222" i="1" a="1"/>
  <c r="M2222" i="1" s="1"/>
  <c r="F2222" i="1" a="1"/>
  <c r="F2222" i="1"/>
  <c r="P2222" i="1" a="1"/>
  <c r="P2222" i="1"/>
  <c r="O2222" i="1" a="1"/>
  <c r="O2222" i="1" s="1"/>
  <c r="N2222" i="1" a="1"/>
  <c r="N2222" i="1"/>
  <c r="L2222" i="1" a="1"/>
  <c r="L2222" i="1" s="1"/>
  <c r="K2222" i="1" a="1"/>
  <c r="K2222" i="1" s="1"/>
  <c r="H2222" i="1" a="1"/>
  <c r="H2222" i="1" s="1"/>
  <c r="J2222" i="1" a="1"/>
  <c r="J2222" i="1" s="1"/>
  <c r="I2222" i="1" a="1"/>
  <c r="I2222" i="1"/>
  <c r="G2222" i="1" a="1"/>
  <c r="G2222" i="1"/>
  <c r="Q2221" i="1" a="1"/>
  <c r="Q2221" i="1" s="1"/>
  <c r="N2221" i="1" a="1"/>
  <c r="N2221" i="1"/>
  <c r="P2221" i="1" a="1"/>
  <c r="P2221" i="1" s="1"/>
  <c r="O2221" i="1" a="1"/>
  <c r="O2221" i="1"/>
  <c r="M2221" i="1" a="1"/>
  <c r="M2221" i="1" s="1"/>
  <c r="L2221" i="1" a="1"/>
  <c r="L2221" i="1" s="1"/>
  <c r="K2221" i="1" a="1"/>
  <c r="K2221" i="1" s="1"/>
  <c r="O2217" i="1" a="1"/>
  <c r="O2217" i="1" s="1"/>
  <c r="O2218" i="1" s="1" a="1"/>
  <c r="O2218" i="1" s="1"/>
  <c r="F2220" i="1" a="1"/>
  <c r="F2220" i="1" s="1"/>
  <c r="F2218" i="1" a="1"/>
  <c r="F2218" i="1" s="1"/>
  <c r="I2221" i="1" a="1"/>
  <c r="I2221" i="1"/>
  <c r="P2219" i="1" a="1"/>
  <c r="P2219" i="1" s="1"/>
  <c r="P2220" i="1" s="1" a="1"/>
  <c r="P2220" i="1" s="1"/>
  <c r="N2219" i="1" a="1"/>
  <c r="N2219" i="1"/>
  <c r="N2220" i="1" s="1" a="1"/>
  <c r="N2220" i="1" s="1"/>
  <c r="K2217" i="1" a="1"/>
  <c r="K2217" i="1"/>
  <c r="N2217" i="1" a="1"/>
  <c r="N2217" i="1" s="1"/>
  <c r="N2218" i="1" s="1" a="1"/>
  <c r="N2218" i="1" s="1"/>
  <c r="Q2217" i="1" a="1"/>
  <c r="Q2217" i="1"/>
  <c r="Q2218" i="1" s="1" a="1"/>
  <c r="Q2218" i="1" s="1"/>
  <c r="H2221" i="1" a="1"/>
  <c r="H2221" i="1"/>
  <c r="G2221" i="1" a="1"/>
  <c r="G2221" i="1" s="1"/>
  <c r="F2221" i="1" a="1"/>
  <c r="F2221" i="1" s="1"/>
  <c r="P2217" i="1" a="1"/>
  <c r="P2217" i="1" s="1"/>
  <c r="P2218" i="1" s="1" a="1"/>
  <c r="P2218" i="1" s="1"/>
  <c r="F2219" i="1" a="1"/>
  <c r="F2219" i="1"/>
  <c r="Q2219" i="1" a="1"/>
  <c r="Q2219" i="1"/>
  <c r="Q2220" i="1" s="1" a="1"/>
  <c r="Q2220" i="1" s="1"/>
  <c r="O2219" i="1" a="1"/>
  <c r="O2219" i="1" s="1"/>
  <c r="O2220" i="1" s="1" a="1"/>
  <c r="O2220" i="1" s="1"/>
  <c r="L2217" i="1" a="1"/>
  <c r="L2217" i="1"/>
  <c r="L2218" i="1" s="1" a="1"/>
  <c r="L2218" i="1" s="1"/>
  <c r="G2218" i="1" a="1"/>
  <c r="G2218" i="1" s="1"/>
  <c r="H2219" i="1" a="1"/>
  <c r="H2219" i="1" s="1"/>
  <c r="H2220" i="1" s="1" a="1"/>
  <c r="H2220" i="1" s="1"/>
  <c r="L2219" i="1" a="1"/>
  <c r="L2219" i="1"/>
  <c r="L2220" i="1" s="1" a="1"/>
  <c r="L2220" i="1" s="1"/>
  <c r="I2219" i="1" a="1"/>
  <c r="I2219" i="1" s="1"/>
  <c r="I2220" i="1" s="1" a="1"/>
  <c r="I2220" i="1" s="1"/>
  <c r="M2219" i="1" a="1"/>
  <c r="M2219" i="1" s="1"/>
  <c r="M2220" i="1" s="1" a="1"/>
  <c r="M2220" i="1" s="1"/>
  <c r="K2219" i="1" a="1"/>
  <c r="K2219" i="1" s="1"/>
  <c r="K2220" i="1" s="1" a="1"/>
  <c r="K2220" i="1" s="1"/>
  <c r="J2219" i="1" a="1"/>
  <c r="J2219" i="1" s="1"/>
  <c r="J2220" i="1" s="1" a="1"/>
  <c r="J2220" i="1" s="1"/>
  <c r="G2219" i="1" a="1"/>
  <c r="G2219" i="1" s="1"/>
  <c r="G2220" i="1" s="1" a="1"/>
  <c r="G2220" i="1" s="1"/>
  <c r="K2218" i="1" a="1"/>
  <c r="K2218" i="1" s="1"/>
  <c r="M2217" i="1" a="1"/>
  <c r="M2217" i="1" s="1"/>
  <c r="M2218" i="1" s="1" a="1"/>
  <c r="M2218" i="1" s="1"/>
  <c r="J2221" i="1" a="1"/>
  <c r="J2221" i="1"/>
  <c r="P2211" i="1" a="1"/>
  <c r="P2211" i="1" s="1"/>
  <c r="J2214" i="1" a="1"/>
  <c r="J2214" i="1"/>
  <c r="I2214" i="1" a="1"/>
  <c r="I2214" i="1" s="1"/>
  <c r="I2215" i="1" s="1" a="1"/>
  <c r="I2215" i="1" s="1"/>
  <c r="F2214" i="1" a="1"/>
  <c r="F2214" i="1" s="1"/>
  <c r="P2214" i="1" a="1"/>
  <c r="P2214" i="1" s="1"/>
  <c r="P2215" i="1" s="1" a="1"/>
  <c r="P2215" i="1" s="1"/>
  <c r="P2212" i="1" a="1"/>
  <c r="P2212" i="1" s="1"/>
  <c r="L2214" i="1" a="1"/>
  <c r="L2214" i="1" s="1"/>
  <c r="L2215" i="1" s="1" a="1"/>
  <c r="L2215" i="1" s="1"/>
  <c r="N2214" i="1" a="1"/>
  <c r="N2214" i="1" s="1"/>
  <c r="N2215" i="1" s="1" a="1"/>
  <c r="N2215" i="1" s="1"/>
  <c r="K2212" i="1" a="1"/>
  <c r="K2212" i="1"/>
  <c r="G2212" i="1" a="1"/>
  <c r="G2212" i="1" s="1"/>
  <c r="J2216" i="1" a="1"/>
  <c r="J2216" i="1" s="1"/>
  <c r="H2216" i="1" a="1"/>
  <c r="H2216" i="1" s="1"/>
  <c r="G2216" i="1" a="1"/>
  <c r="G2216" i="1" s="1"/>
  <c r="N2216" i="1" a="1"/>
  <c r="N2216" i="1" s="1"/>
  <c r="I2216" i="1" a="1"/>
  <c r="I2216" i="1" s="1"/>
  <c r="L2211" i="1" a="1"/>
  <c r="L2211" i="1"/>
  <c r="Q2214" i="1" a="1"/>
  <c r="Q2214" i="1" s="1"/>
  <c r="Q2215" i="1" s="1" a="1"/>
  <c r="Q2215" i="1" s="1"/>
  <c r="J2215" i="1" a="1"/>
  <c r="J2215" i="1" s="1"/>
  <c r="K2211" i="1" a="1"/>
  <c r="K2211" i="1" s="1"/>
  <c r="I2212" i="1" a="1"/>
  <c r="I2212" i="1" s="1"/>
  <c r="H2214" i="1" a="1"/>
  <c r="H2214" i="1" s="1"/>
  <c r="H2215" i="1" s="1" a="1"/>
  <c r="H2215" i="1" s="1"/>
  <c r="M2211" i="1" a="1"/>
  <c r="M2211" i="1"/>
  <c r="N2211" i="1" a="1"/>
  <c r="N2211" i="1"/>
  <c r="J2217" i="1" a="1"/>
  <c r="J2217" i="1" s="1"/>
  <c r="J2218" i="1" s="1" a="1"/>
  <c r="J2218" i="1" s="1"/>
  <c r="I2211" i="1" a="1"/>
  <c r="I2211" i="1"/>
  <c r="I2217" i="1" a="1"/>
  <c r="I2217" i="1" s="1"/>
  <c r="I2218" i="1" s="1" a="1"/>
  <c r="I2218" i="1" s="1"/>
  <c r="M2214" i="1" a="1"/>
  <c r="M2214" i="1"/>
  <c r="H2217" i="1" a="1"/>
  <c r="H2217" i="1"/>
  <c r="H2218" i="1" s="1" a="1"/>
  <c r="H2218" i="1" s="1"/>
  <c r="H2212" i="1" a="1"/>
  <c r="H2212" i="1"/>
  <c r="J2212" i="1" a="1"/>
  <c r="J2212" i="1"/>
  <c r="O2211" i="1" a="1"/>
  <c r="O2211" i="1"/>
  <c r="G2217" i="1" a="1"/>
  <c r="G2217" i="1" s="1"/>
  <c r="F2217" i="1" a="1"/>
  <c r="F2217" i="1" s="1"/>
  <c r="Q2216" i="1" a="1"/>
  <c r="Q2216" i="1" s="1"/>
  <c r="Q2212" i="1" a="1"/>
  <c r="Q2212" i="1"/>
  <c r="G2214" i="1" a="1"/>
  <c r="G2214" i="1" s="1"/>
  <c r="G2215" i="1" s="1" a="1"/>
  <c r="G2215" i="1" s="1"/>
  <c r="N2212" i="1" a="1"/>
  <c r="N2212" i="1"/>
  <c r="F2216" i="1" a="1"/>
  <c r="F2216" i="1" s="1"/>
  <c r="F2215" i="1" a="1"/>
  <c r="F2215" i="1"/>
  <c r="O2214" i="1" a="1"/>
  <c r="O2214" i="1" s="1"/>
  <c r="O2215" i="1" s="1" a="1"/>
  <c r="O2215" i="1" s="1"/>
  <c r="K2214" i="1" a="1"/>
  <c r="K2214" i="1"/>
  <c r="K2215" i="1" s="1" a="1"/>
  <c r="K2215" i="1" s="1"/>
  <c r="O2212" i="1" a="1"/>
  <c r="O2212" i="1" s="1"/>
  <c r="P2216" i="1" a="1"/>
  <c r="P2216" i="1" s="1"/>
  <c r="K2216" i="1" a="1"/>
  <c r="K2216" i="1" s="1"/>
  <c r="J2211" i="1" a="1"/>
  <c r="J2211" i="1"/>
  <c r="L2216" i="1" a="1"/>
  <c r="L2216" i="1"/>
  <c r="M2215" i="1" a="1"/>
  <c r="M2215" i="1"/>
  <c r="O2216" i="1" a="1"/>
  <c r="O2216" i="1" s="1"/>
  <c r="M2216" i="1" a="1"/>
  <c r="M2216" i="1"/>
  <c r="M2212" i="1" a="1"/>
  <c r="M2212" i="1" s="1"/>
  <c r="L2212" i="1" a="1"/>
  <c r="L2212" i="1"/>
  <c r="F2212" i="1" a="1"/>
  <c r="F2212" i="1"/>
  <c r="Q2211" i="1" a="1"/>
  <c r="Q2211" i="1" s="1"/>
  <c r="I2210" i="1" a="1"/>
  <c r="I2210" i="1" s="1"/>
  <c r="N2208" i="1" a="1"/>
  <c r="N2208" i="1"/>
  <c r="O2210" i="1" a="1"/>
  <c r="O2210" i="1"/>
  <c r="I2209" i="1" a="1"/>
  <c r="I2209" i="1" s="1"/>
  <c r="G2210" i="1" a="1"/>
  <c r="G2210" i="1"/>
  <c r="H2210" i="1" a="1"/>
  <c r="H2210" i="1"/>
  <c r="F2210" i="1" a="1"/>
  <c r="F2210" i="1" s="1"/>
  <c r="L2210" i="1" a="1"/>
  <c r="L2210" i="1"/>
  <c r="G2211" i="1" a="1"/>
  <c r="G2211" i="1"/>
  <c r="F2211" i="1" a="1"/>
  <c r="F2211" i="1" s="1"/>
  <c r="P2208" i="1" a="1"/>
  <c r="P2208" i="1"/>
  <c r="P2210" i="1" a="1"/>
  <c r="P2210" i="1" s="1"/>
  <c r="K2210" i="1" a="1"/>
  <c r="K2210" i="1" s="1"/>
  <c r="Q2209" i="1" a="1"/>
  <c r="Q2209" i="1" s="1"/>
  <c r="O2209" i="1" a="1"/>
  <c r="O2209" i="1"/>
  <c r="M2209" i="1" a="1"/>
  <c r="M2209" i="1"/>
  <c r="L2209" i="1" a="1"/>
  <c r="L2209" i="1"/>
  <c r="K2209" i="1" a="1"/>
  <c r="K2209" i="1" s="1"/>
  <c r="F2209" i="1" a="1"/>
  <c r="F2209" i="1" s="1"/>
  <c r="G2209" i="1" a="1"/>
  <c r="G2209" i="1"/>
  <c r="O2208" i="1" a="1"/>
  <c r="O2208" i="1"/>
  <c r="H2208" i="1" a="1"/>
  <c r="H2208" i="1" s="1"/>
  <c r="Q2207" i="1" a="1"/>
  <c r="Q2207" i="1" s="1"/>
  <c r="G2208" i="1" a="1"/>
  <c r="G2208" i="1"/>
  <c r="H2209" i="1" a="1"/>
  <c r="H2209" i="1" s="1"/>
  <c r="F2208" i="1" a="1"/>
  <c r="F2208" i="1" s="1"/>
  <c r="N2210" i="1" a="1"/>
  <c r="N2210" i="1"/>
  <c r="M2210" i="1" a="1"/>
  <c r="M2210" i="1"/>
  <c r="Q2208" i="1" a="1"/>
  <c r="Q2208" i="1"/>
  <c r="M2208" i="1" a="1"/>
  <c r="M2208" i="1"/>
  <c r="L2208" i="1" a="1"/>
  <c r="L2208" i="1" s="1"/>
  <c r="K2208" i="1" a="1"/>
  <c r="K2208" i="1" s="1"/>
  <c r="I2208" i="1" a="1"/>
  <c r="I2208" i="1" s="1"/>
  <c r="J2208" i="1" a="1"/>
  <c r="J2208" i="1" s="1"/>
  <c r="J2209" i="1" a="1"/>
  <c r="J2209" i="1"/>
  <c r="J2210" i="1" a="1"/>
  <c r="J2210" i="1" s="1"/>
  <c r="P2209" i="1" a="1"/>
  <c r="P2209" i="1" s="1"/>
  <c r="N2209" i="1" a="1"/>
  <c r="N2209" i="1"/>
  <c r="H2211" i="1" a="1"/>
  <c r="H2211" i="1" s="1"/>
  <c r="Q2210" i="1" a="1"/>
  <c r="Q2210" i="1"/>
  <c r="N2207" i="1" a="1"/>
  <c r="N2207" i="1" s="1"/>
  <c r="M2207" i="1" a="1"/>
  <c r="M2207" i="1" s="1"/>
  <c r="P2207" i="1" a="1"/>
  <c r="P2207" i="1" s="1"/>
  <c r="O2207" i="1" a="1"/>
  <c r="O2207" i="1"/>
  <c r="I2206" i="1" a="1"/>
  <c r="I2206" i="1" s="1"/>
  <c r="N2203" i="1" a="1"/>
  <c r="N2203" i="1" s="1"/>
  <c r="I2203" i="1" a="1"/>
  <c r="I2203" i="1"/>
  <c r="G2207" i="1" a="1"/>
  <c r="G2207" i="1"/>
  <c r="M2202" i="1" a="1"/>
  <c r="M2202" i="1" s="1"/>
  <c r="G2205" i="1" a="1"/>
  <c r="G2205" i="1"/>
  <c r="P2206" i="1" a="1"/>
  <c r="P2206" i="1"/>
  <c r="L2202" i="1" a="1"/>
  <c r="L2202" i="1" s="1"/>
  <c r="J2203" i="1" a="1"/>
  <c r="J2203" i="1" s="1"/>
  <c r="P2204" i="1" a="1"/>
  <c r="P2204" i="1" s="1"/>
  <c r="H2204" i="1" a="1"/>
  <c r="H2204" i="1" s="1"/>
  <c r="I2204" i="1" a="1"/>
  <c r="I2204" i="1"/>
  <c r="Q2203" i="1" a="1"/>
  <c r="Q2203" i="1"/>
  <c r="M2204" i="1" a="1"/>
  <c r="M2204" i="1"/>
  <c r="J2202" i="1" a="1"/>
  <c r="J2202" i="1" s="1"/>
  <c r="L2205" i="1" a="1"/>
  <c r="L2205" i="1" s="1"/>
  <c r="K2205" i="1" a="1"/>
  <c r="K2205" i="1"/>
  <c r="F2203" i="1" a="1"/>
  <c r="F2203" i="1"/>
  <c r="N2204" i="1" a="1"/>
  <c r="N2204" i="1" s="1"/>
  <c r="Q2204" i="1" a="1"/>
  <c r="Q2204" i="1"/>
  <c r="Q2202" i="1" a="1"/>
  <c r="Q2202" i="1"/>
  <c r="J2207" i="1" a="1"/>
  <c r="J2207" i="1" s="1"/>
  <c r="I2202" i="1" a="1"/>
  <c r="I2202" i="1"/>
  <c r="I2207" i="1" a="1"/>
  <c r="I2207" i="1" s="1"/>
  <c r="Q2206" i="1" a="1"/>
  <c r="Q2206" i="1"/>
  <c r="M2206" i="1" a="1"/>
  <c r="M2206" i="1" s="1"/>
  <c r="H2205" i="1" a="1"/>
  <c r="H2205" i="1" s="1"/>
  <c r="G2204" i="1" a="1"/>
  <c r="G2204" i="1" s="1"/>
  <c r="O2202" i="1" a="1"/>
  <c r="O2202" i="1" s="1"/>
  <c r="P2202" i="1" a="1"/>
  <c r="P2202" i="1" s="1"/>
  <c r="H2206" i="1" a="1"/>
  <c r="H2206" i="1" s="1"/>
  <c r="K2204" i="1" a="1"/>
  <c r="K2204" i="1"/>
  <c r="L2204" i="1" a="1"/>
  <c r="L2204" i="1"/>
  <c r="Q2205" i="1" a="1"/>
  <c r="Q2205" i="1" s="1"/>
  <c r="N2202" i="1" a="1"/>
  <c r="N2202" i="1"/>
  <c r="K2202" i="1" a="1"/>
  <c r="K2202" i="1"/>
  <c r="M2205" i="1" a="1"/>
  <c r="M2205" i="1" s="1"/>
  <c r="O2206" i="1" a="1"/>
  <c r="O2206" i="1" s="1"/>
  <c r="F2205" i="1" a="1"/>
  <c r="F2205" i="1" s="1"/>
  <c r="J2204" i="1" a="1"/>
  <c r="J2204" i="1" s="1"/>
  <c r="K2203" i="1" a="1"/>
  <c r="K2203" i="1"/>
  <c r="G2203" i="1" a="1"/>
  <c r="G2203" i="1"/>
  <c r="M2203" i="1" a="1"/>
  <c r="M2203" i="1" s="1"/>
  <c r="L2203" i="1" a="1"/>
  <c r="L2203" i="1" s="1"/>
  <c r="H2203" i="1" a="1"/>
  <c r="H2203" i="1" s="1"/>
  <c r="N2205" i="1" a="1"/>
  <c r="N2205" i="1"/>
  <c r="O2205" i="1" a="1"/>
  <c r="O2205" i="1" s="1"/>
  <c r="P2203" i="1" a="1"/>
  <c r="P2203" i="1" s="1"/>
  <c r="L2207" i="1" a="1"/>
  <c r="L2207" i="1" s="1"/>
  <c r="F2204" i="1" a="1"/>
  <c r="F2204" i="1"/>
  <c r="F2207" i="1" a="1"/>
  <c r="F2207" i="1" s="1"/>
  <c r="J2205" i="1" a="1"/>
  <c r="J2205" i="1" s="1"/>
  <c r="O2203" i="1" a="1"/>
  <c r="O2203" i="1" s="1"/>
  <c r="I2205" i="1" a="1"/>
  <c r="I2205" i="1"/>
  <c r="O2204" i="1" a="1"/>
  <c r="O2204" i="1" s="1"/>
  <c r="K2206" i="1" a="1"/>
  <c r="K2206" i="1" s="1"/>
  <c r="L2206" i="1" a="1"/>
  <c r="L2206" i="1"/>
  <c r="K2207" i="1" a="1"/>
  <c r="K2207" i="1" s="1"/>
  <c r="H2207" i="1" a="1"/>
  <c r="H2207" i="1"/>
  <c r="N2206" i="1" a="1"/>
  <c r="N2206" i="1" s="1"/>
  <c r="F2206" i="1" a="1"/>
  <c r="F2206" i="1" s="1"/>
  <c r="P2205" i="1" a="1"/>
  <c r="P2205" i="1" s="1"/>
  <c r="J2206" i="1" a="1"/>
  <c r="J2206" i="1" s="1"/>
  <c r="G2206" i="1" a="1"/>
  <c r="G2206" i="1"/>
  <c r="F2201" i="1" a="1"/>
  <c r="F2201" i="1"/>
  <c r="L2200" i="1" a="1"/>
  <c r="L2200" i="1"/>
  <c r="K2199" i="1" a="1"/>
  <c r="K2199" i="1" s="1"/>
  <c r="G2198" i="1" a="1"/>
  <c r="G2198" i="1" s="1"/>
  <c r="L2199" i="1" a="1"/>
  <c r="L2199" i="1" s="1"/>
  <c r="P2197" i="1" a="1"/>
  <c r="P2197" i="1"/>
  <c r="N2200" i="1" a="1"/>
  <c r="N2200" i="1"/>
  <c r="M2200" i="1" a="1"/>
  <c r="M2200" i="1" s="1"/>
  <c r="O2198" i="1" a="1"/>
  <c r="O2198" i="1"/>
  <c r="Q2199" i="1" a="1"/>
  <c r="Q2199" i="1" s="1"/>
  <c r="N2199" i="1" a="1"/>
  <c r="N2199" i="1" s="1"/>
  <c r="N2201" i="1" a="1"/>
  <c r="N2201" i="1"/>
  <c r="L2201" i="1" a="1"/>
  <c r="L2201" i="1"/>
  <c r="I2200" i="1" a="1"/>
  <c r="I2200" i="1" s="1"/>
  <c r="H2200" i="1" a="1"/>
  <c r="H2200" i="1"/>
  <c r="M2198" i="1" a="1"/>
  <c r="M2198" i="1"/>
  <c r="K2201" i="1" a="1"/>
  <c r="K2201" i="1"/>
  <c r="F2199" i="1" a="1"/>
  <c r="F2199" i="1" s="1"/>
  <c r="J2198" i="1" a="1"/>
  <c r="J2198" i="1"/>
  <c r="J2201" i="1" a="1"/>
  <c r="J2201" i="1" s="1"/>
  <c r="J2200" i="1" a="1"/>
  <c r="J2200" i="1" s="1"/>
  <c r="F2198" i="1" a="1"/>
  <c r="F2198" i="1" s="1"/>
  <c r="P2200" i="1" a="1"/>
  <c r="P2200" i="1" s="1"/>
  <c r="O2200" i="1" a="1"/>
  <c r="O2200" i="1" s="1"/>
  <c r="K2200" i="1" a="1"/>
  <c r="K2200" i="1"/>
  <c r="G2200" i="1" a="1"/>
  <c r="G2200" i="1" s="1"/>
  <c r="Q2198" i="1" a="1"/>
  <c r="Q2198" i="1" s="1"/>
  <c r="L2197" i="1" a="1"/>
  <c r="L2197" i="1"/>
  <c r="K2198" i="1" a="1"/>
  <c r="K2198" i="1" s="1"/>
  <c r="F2200" i="1" a="1"/>
  <c r="F2200" i="1" s="1"/>
  <c r="M2199" i="1" a="1"/>
  <c r="M2199" i="1"/>
  <c r="I2198" i="1" a="1"/>
  <c r="I2198" i="1" s="1"/>
  <c r="N2198" i="1" a="1"/>
  <c r="N2198" i="1" s="1"/>
  <c r="N2197" i="1" a="1"/>
  <c r="N2197" i="1" s="1"/>
  <c r="I2201" i="1" a="1"/>
  <c r="I2201" i="1"/>
  <c r="P2198" i="1" a="1"/>
  <c r="P2198" i="1" s="1"/>
  <c r="L2198" i="1" a="1"/>
  <c r="L2198" i="1" s="1"/>
  <c r="K2197" i="1" a="1"/>
  <c r="K2197" i="1"/>
  <c r="H2198" i="1" a="1"/>
  <c r="H2198" i="1"/>
  <c r="G2201" i="1" a="1"/>
  <c r="G2201" i="1" s="1"/>
  <c r="O2199" i="1" a="1"/>
  <c r="O2199" i="1" s="1"/>
  <c r="G2202" i="1" a="1"/>
  <c r="G2202" i="1"/>
  <c r="H2201" i="1" a="1"/>
  <c r="H2201" i="1" s="1"/>
  <c r="M2201" i="1" a="1"/>
  <c r="M2201" i="1"/>
  <c r="J2199" i="1" a="1"/>
  <c r="J2199" i="1" s="1"/>
  <c r="H2202" i="1" a="1"/>
  <c r="H2202" i="1" s="1"/>
  <c r="Q2197" i="1" a="1"/>
  <c r="Q2197" i="1" s="1"/>
  <c r="Q2200" i="1" a="1"/>
  <c r="Q2200" i="1"/>
  <c r="P2199" i="1" a="1"/>
  <c r="P2199" i="1" s="1"/>
  <c r="J2197" i="1" a="1"/>
  <c r="J2197" i="1" s="1"/>
  <c r="M2197" i="1" a="1"/>
  <c r="M2197" i="1"/>
  <c r="O2197" i="1" a="1"/>
  <c r="O2197" i="1" s="1"/>
  <c r="F2202" i="1" a="1"/>
  <c r="F2202" i="1" s="1"/>
  <c r="Q2201" i="1" a="1"/>
  <c r="Q2201" i="1" s="1"/>
  <c r="P2201" i="1" a="1"/>
  <c r="P2201" i="1" s="1"/>
  <c r="H2199" i="1" a="1"/>
  <c r="H2199" i="1"/>
  <c r="I2199" i="1" a="1"/>
  <c r="I2199" i="1" s="1"/>
  <c r="G2199" i="1" a="1"/>
  <c r="G2199" i="1" s="1"/>
  <c r="O2201" i="1" a="1"/>
  <c r="O2201" i="1"/>
  <c r="N2195" i="1" a="1"/>
  <c r="N2195" i="1"/>
  <c r="L2195" i="1" a="1"/>
  <c r="L2195" i="1" s="1"/>
  <c r="P2196" i="1" a="1"/>
  <c r="P2196" i="1" s="1"/>
  <c r="L2196" i="1" a="1"/>
  <c r="L2196" i="1" s="1"/>
  <c r="I2197" i="1" a="1"/>
  <c r="I2197" i="1" s="1"/>
  <c r="G2197" i="1" a="1"/>
  <c r="G2197" i="1" s="1"/>
  <c r="H2196" i="1" a="1"/>
  <c r="H2196" i="1"/>
  <c r="M2195" i="1" a="1"/>
  <c r="M2195" i="1" s="1"/>
  <c r="H2197" i="1" a="1"/>
  <c r="H2197" i="1"/>
  <c r="F2196" i="1" a="1"/>
  <c r="F2196" i="1"/>
  <c r="F2197" i="1" a="1"/>
  <c r="F2197" i="1" s="1"/>
  <c r="Q2195" i="1" a="1"/>
  <c r="Q2195" i="1" s="1"/>
  <c r="K2195" i="1" a="1"/>
  <c r="K2195" i="1"/>
  <c r="Q2196" i="1" a="1"/>
  <c r="Q2196" i="1" s="1"/>
  <c r="O2196" i="1" a="1"/>
  <c r="O2196" i="1" s="1"/>
  <c r="M2196" i="1" a="1"/>
  <c r="M2196" i="1"/>
  <c r="N2196" i="1" a="1"/>
  <c r="N2196" i="1" s="1"/>
  <c r="K2196" i="1" a="1"/>
  <c r="K2196" i="1"/>
  <c r="J2196" i="1" a="1"/>
  <c r="J2196" i="1" s="1"/>
  <c r="O2195" i="1" a="1"/>
  <c r="O2195" i="1"/>
  <c r="I2196" i="1" a="1"/>
  <c r="I2196" i="1"/>
  <c r="G2196" i="1" a="1"/>
  <c r="G2196" i="1" s="1"/>
  <c r="P2195" i="1" a="1"/>
  <c r="P2195" i="1"/>
  <c r="L2194" i="1" a="1"/>
  <c r="L2194" i="1"/>
  <c r="M2193" i="1" a="1"/>
  <c r="M2193" i="1" s="1"/>
  <c r="K2194" i="1" a="1"/>
  <c r="K2194" i="1" s="1"/>
  <c r="L2193" i="1" a="1"/>
  <c r="L2193" i="1" s="1"/>
  <c r="H2194" i="1" a="1"/>
  <c r="H2194" i="1"/>
  <c r="I2194" i="1" a="1"/>
  <c r="I2194" i="1" s="1"/>
  <c r="P2193" i="1" a="1"/>
  <c r="P2193" i="1" s="1"/>
  <c r="G2194" i="1" a="1"/>
  <c r="G2194" i="1"/>
  <c r="O2193" i="1" a="1"/>
  <c r="O2193" i="1" s="1"/>
  <c r="Q2193" i="1" a="1"/>
  <c r="Q2193" i="1" s="1"/>
  <c r="J2194" i="1" a="1"/>
  <c r="J2194" i="1" s="1"/>
  <c r="J2195" i="1" a="1"/>
  <c r="J2195" i="1" s="1"/>
  <c r="I2195" i="1" a="1"/>
  <c r="I2195" i="1"/>
  <c r="F2195" i="1" a="1"/>
  <c r="F2195" i="1"/>
  <c r="P2194" i="1" a="1"/>
  <c r="P2194" i="1" s="1"/>
  <c r="N2193" i="1" a="1"/>
  <c r="N2193" i="1" s="1"/>
  <c r="K2193" i="1" a="1"/>
  <c r="K2193" i="1" s="1"/>
  <c r="H2195" i="1" a="1"/>
  <c r="H2195" i="1"/>
  <c r="G2195" i="1" a="1"/>
  <c r="G2195" i="1" s="1"/>
  <c r="Q2194" i="1" a="1"/>
  <c r="Q2194" i="1" s="1"/>
  <c r="M2194" i="1" a="1"/>
  <c r="M2194" i="1"/>
  <c r="O2194" i="1" a="1"/>
  <c r="O2194" i="1" s="1"/>
  <c r="N2194" i="1" a="1"/>
  <c r="N2194" i="1" s="1"/>
  <c r="F2194" i="1" a="1"/>
  <c r="F2194" i="1" s="1"/>
  <c r="O2191" i="1" a="1"/>
  <c r="O2191" i="1" s="1"/>
  <c r="J2190" i="1" a="1"/>
  <c r="J2190" i="1"/>
  <c r="I2190" i="1" a="1"/>
  <c r="I2190" i="1"/>
  <c r="K2187" i="1" a="1"/>
  <c r="K2187" i="1" s="1"/>
  <c r="F2190" i="1" a="1"/>
  <c r="F2190" i="1" s="1"/>
  <c r="G2190" i="1" a="1"/>
  <c r="G2190" i="1" s="1"/>
  <c r="I2188" i="1" a="1"/>
  <c r="I2188" i="1" s="1"/>
  <c r="L2191" i="1" a="1"/>
  <c r="L2191" i="1"/>
  <c r="G2193" i="1" a="1"/>
  <c r="G2193" i="1"/>
  <c r="Q2192" i="1" a="1"/>
  <c r="Q2192" i="1" s="1"/>
  <c r="H2192" i="1" a="1"/>
  <c r="H2192" i="1"/>
  <c r="J2191" i="1" a="1"/>
  <c r="J2191" i="1" s="1"/>
  <c r="Q2191" i="1" a="1"/>
  <c r="Q2191" i="1" s="1"/>
  <c r="O2188" i="1" a="1"/>
  <c r="O2188" i="1" s="1"/>
  <c r="H2190" i="1" a="1"/>
  <c r="H2190" i="1"/>
  <c r="M2188" i="1" a="1"/>
  <c r="M2188" i="1" s="1"/>
  <c r="P2187" i="1" a="1"/>
  <c r="P2187" i="1" s="1"/>
  <c r="J2193" i="1" a="1"/>
  <c r="J2193" i="1"/>
  <c r="P2191" i="1" a="1"/>
  <c r="P2191" i="1" s="1"/>
  <c r="L2190" i="1" a="1"/>
  <c r="L2190" i="1"/>
  <c r="K2190" i="1" a="1"/>
  <c r="K2190" i="1" s="1"/>
  <c r="I2193" i="1" a="1"/>
  <c r="I2193" i="1" s="1"/>
  <c r="H2193" i="1" a="1"/>
  <c r="H2193" i="1" s="1"/>
  <c r="M2191" i="1" a="1"/>
  <c r="M2191" i="1" s="1"/>
  <c r="F2193" i="1" a="1"/>
  <c r="F2193" i="1"/>
  <c r="N2187" i="1" a="1"/>
  <c r="N2187" i="1" s="1"/>
  <c r="G2192" i="1" a="1"/>
  <c r="G2192" i="1" s="1"/>
  <c r="P2188" i="1" a="1"/>
  <c r="P2188" i="1" s="1"/>
  <c r="J2188" i="1" a="1"/>
  <c r="J2188" i="1" s="1"/>
  <c r="M2192" i="1" a="1"/>
  <c r="M2192" i="1" s="1"/>
  <c r="P2192" i="1" a="1"/>
  <c r="P2192" i="1"/>
  <c r="L2192" i="1" a="1"/>
  <c r="L2192" i="1"/>
  <c r="I2192" i="1" a="1"/>
  <c r="I2192" i="1"/>
  <c r="P2190" i="1" a="1"/>
  <c r="P2190" i="1" s="1"/>
  <c r="N2190" i="1" a="1"/>
  <c r="N2190" i="1" s="1"/>
  <c r="J2187" i="1" a="1"/>
  <c r="J2187" i="1" s="1"/>
  <c r="I2187" i="1" a="1"/>
  <c r="I2187" i="1" s="1"/>
  <c r="M2190" i="1" a="1"/>
  <c r="M2190" i="1" s="1"/>
  <c r="Q2188" i="1" a="1"/>
  <c r="Q2188" i="1" s="1"/>
  <c r="K2192" i="1" a="1"/>
  <c r="K2192" i="1" s="1"/>
  <c r="M2187" i="1" a="1"/>
  <c r="M2187" i="1" s="1"/>
  <c r="G2191" i="1" a="1"/>
  <c r="G2191" i="1" s="1"/>
  <c r="N2191" i="1" a="1"/>
  <c r="N2191" i="1" s="1"/>
  <c r="O2192" i="1" a="1"/>
  <c r="O2192" i="1"/>
  <c r="K2191" i="1" a="1"/>
  <c r="K2191" i="1" s="1"/>
  <c r="H2191" i="1" a="1"/>
  <c r="H2191" i="1" s="1"/>
  <c r="L2187" i="1" a="1"/>
  <c r="L2187" i="1"/>
  <c r="F2191" i="1" a="1"/>
  <c r="F2191" i="1" s="1"/>
  <c r="Q2190" i="1" a="1"/>
  <c r="Q2190" i="1"/>
  <c r="F2188" i="1" a="1"/>
  <c r="F2188" i="1" s="1"/>
  <c r="L2188" i="1" a="1"/>
  <c r="L2188" i="1" s="1"/>
  <c r="Q2187" i="1" a="1"/>
  <c r="Q2187" i="1" s="1"/>
  <c r="O2190" i="1" a="1"/>
  <c r="O2190" i="1" s="1"/>
  <c r="K2188" i="1" a="1"/>
  <c r="K2188" i="1" s="1"/>
  <c r="G2188" i="1" a="1"/>
  <c r="G2188" i="1" s="1"/>
  <c r="F2192" i="1" a="1"/>
  <c r="F2192" i="1" s="1"/>
  <c r="N2188" i="1" a="1"/>
  <c r="N2188" i="1"/>
  <c r="O2187" i="1" a="1"/>
  <c r="O2187" i="1" s="1"/>
  <c r="I2191" i="1" a="1"/>
  <c r="I2191" i="1" s="1"/>
  <c r="N2192" i="1" a="1"/>
  <c r="N2192" i="1"/>
  <c r="J2192" i="1" a="1"/>
  <c r="J2192" i="1"/>
  <c r="H2188" i="1" a="1"/>
  <c r="H2188" i="1" s="1"/>
  <c r="K2185" i="1" a="1"/>
  <c r="K2185" i="1" s="1"/>
  <c r="F2185" i="1" a="1"/>
  <c r="F2185" i="1"/>
  <c r="P2184" i="1" a="1"/>
  <c r="P2184" i="1"/>
  <c r="P2183" i="1" a="1"/>
  <c r="P2183" i="1" s="1"/>
  <c r="I2184" i="1" a="1"/>
  <c r="I2184" i="1"/>
  <c r="Q2183" i="1" a="1"/>
  <c r="Q2183" i="1"/>
  <c r="I2183" i="1" a="1"/>
  <c r="I2183" i="1" s="1"/>
  <c r="M2183" i="1" a="1"/>
  <c r="M2183" i="1" s="1"/>
  <c r="F2183" i="1" a="1"/>
  <c r="F2183" i="1"/>
  <c r="O2183" i="1" a="1"/>
  <c r="O2183" i="1" s="1"/>
  <c r="O2184" i="1" a="1"/>
  <c r="O2184" i="1"/>
  <c r="I2182" i="1" a="1"/>
  <c r="I2182" i="1" s="1"/>
  <c r="N2183" i="1" a="1"/>
  <c r="N2183" i="1" s="1"/>
  <c r="K2182" i="1" a="1"/>
  <c r="K2182" i="1" s="1"/>
  <c r="L2185" i="1" a="1"/>
  <c r="L2185" i="1"/>
  <c r="J2185" i="1" a="1"/>
  <c r="J2185" i="1" s="1"/>
  <c r="M2184" i="1" a="1"/>
  <c r="M2184" i="1" s="1"/>
  <c r="M2185" i="1" a="1"/>
  <c r="M2185" i="1"/>
  <c r="N2186" i="1" a="1"/>
  <c r="N2186" i="1" s="1"/>
  <c r="L2182" i="1" a="1"/>
  <c r="L2182" i="1" s="1"/>
  <c r="G2185" i="1" a="1"/>
  <c r="G2185" i="1"/>
  <c r="M2186" i="1" a="1"/>
  <c r="M2186" i="1" s="1"/>
  <c r="Q2185" i="1" a="1"/>
  <c r="Q2185" i="1"/>
  <c r="H2185" i="1" a="1"/>
  <c r="H2185" i="1" s="1"/>
  <c r="G2183" i="1" a="1"/>
  <c r="G2183" i="1" s="1"/>
  <c r="J2184" i="1" a="1"/>
  <c r="J2184" i="1" s="1"/>
  <c r="F2184" i="1" a="1"/>
  <c r="F2184" i="1"/>
  <c r="Q2182" i="1" a="1"/>
  <c r="Q2182" i="1"/>
  <c r="H2182" i="1" a="1"/>
  <c r="H2182" i="1"/>
  <c r="J2182" i="1" a="1"/>
  <c r="J2182" i="1" s="1"/>
  <c r="H2184" i="1" a="1"/>
  <c r="H2184" i="1" s="1"/>
  <c r="H2187" i="1" a="1"/>
  <c r="H2187" i="1"/>
  <c r="G2187" i="1" a="1"/>
  <c r="G2187" i="1" s="1"/>
  <c r="F2187" i="1" a="1"/>
  <c r="F2187" i="1"/>
  <c r="H2183" i="1" a="1"/>
  <c r="H2183" i="1"/>
  <c r="L2184" i="1" a="1"/>
  <c r="L2184" i="1" s="1"/>
  <c r="H2186" i="1" a="1"/>
  <c r="H2186" i="1"/>
  <c r="P2185" i="1" a="1"/>
  <c r="P2185" i="1" s="1"/>
  <c r="G2184" i="1" a="1"/>
  <c r="G2184" i="1" s="1"/>
  <c r="Q2184" i="1" a="1"/>
  <c r="Q2184" i="1"/>
  <c r="K2183" i="1" a="1"/>
  <c r="K2183" i="1" s="1"/>
  <c r="O2182" i="1" a="1"/>
  <c r="O2182" i="1" s="1"/>
  <c r="N2182" i="1" a="1"/>
  <c r="N2182" i="1"/>
  <c r="Q2186" i="1" a="1"/>
  <c r="Q2186" i="1" s="1"/>
  <c r="P2186" i="1" a="1"/>
  <c r="P2186" i="1"/>
  <c r="O2185" i="1" a="1"/>
  <c r="O2185" i="1" s="1"/>
  <c r="O2186" i="1" a="1"/>
  <c r="O2186" i="1" s="1"/>
  <c r="N2184" i="1" a="1"/>
  <c r="N2184" i="1"/>
  <c r="P2182" i="1" a="1"/>
  <c r="P2182" i="1" s="1"/>
  <c r="L2186" i="1" a="1"/>
  <c r="L2186" i="1" s="1"/>
  <c r="K2186" i="1" a="1"/>
  <c r="K2186" i="1" s="1"/>
  <c r="J2183" i="1" a="1"/>
  <c r="J2183" i="1" s="1"/>
  <c r="J2186" i="1" a="1"/>
  <c r="J2186" i="1"/>
  <c r="I2185" i="1" a="1"/>
  <c r="I2185" i="1" s="1"/>
  <c r="I2186" i="1" a="1"/>
  <c r="I2186" i="1" s="1"/>
  <c r="K2184" i="1" a="1"/>
  <c r="K2184" i="1"/>
  <c r="G2186" i="1" a="1"/>
  <c r="G2186" i="1"/>
  <c r="F2186" i="1" a="1"/>
  <c r="F2186" i="1" s="1"/>
  <c r="N2185" i="1" a="1"/>
  <c r="N2185" i="1" s="1"/>
  <c r="L2183" i="1" a="1"/>
  <c r="L2183" i="1" s="1"/>
  <c r="M2182" i="1" a="1"/>
  <c r="M2182" i="1"/>
  <c r="G2180" i="1" a="1"/>
  <c r="G2180" i="1"/>
  <c r="L2180" i="1" a="1"/>
  <c r="L2180" i="1" s="1"/>
  <c r="N2180" i="1" a="1"/>
  <c r="N2180" i="1" s="1"/>
  <c r="F2180" i="1" a="1"/>
  <c r="F2180" i="1" s="1"/>
  <c r="F2181" i="1" a="1"/>
  <c r="F2181" i="1"/>
  <c r="F2182" i="1" a="1"/>
  <c r="F2182" i="1" s="1"/>
  <c r="L2181" i="1" a="1"/>
  <c r="L2181" i="1" s="1"/>
  <c r="G2182" i="1" a="1"/>
  <c r="G2182" i="1"/>
  <c r="H2180" i="1" a="1"/>
  <c r="H2180" i="1" s="1"/>
  <c r="Q2181" i="1" a="1"/>
  <c r="Q2181" i="1" s="1"/>
  <c r="P2181" i="1" a="1"/>
  <c r="P2181" i="1" s="1"/>
  <c r="O2180" i="1" a="1"/>
  <c r="O2180" i="1" s="1"/>
  <c r="J2181" i="1" a="1"/>
  <c r="J2181" i="1" s="1"/>
  <c r="Q2180" i="1" a="1"/>
  <c r="Q2180" i="1"/>
  <c r="I2180" i="1" a="1"/>
  <c r="I2180" i="1" s="1"/>
  <c r="G2181" i="1" a="1"/>
  <c r="G2181" i="1" s="1"/>
  <c r="O2181" i="1" a="1"/>
  <c r="O2181" i="1" s="1"/>
  <c r="H2181" i="1" a="1"/>
  <c r="H2181" i="1" s="1"/>
  <c r="N2181" i="1" a="1"/>
  <c r="N2181" i="1"/>
  <c r="M2181" i="1" a="1"/>
  <c r="M2181" i="1" s="1"/>
  <c r="M2180" i="1" a="1"/>
  <c r="M2180" i="1"/>
  <c r="K2181" i="1" a="1"/>
  <c r="K2181" i="1" s="1"/>
  <c r="K2180" i="1" a="1"/>
  <c r="K2180" i="1" s="1"/>
  <c r="I2181" i="1" a="1"/>
  <c r="I2181" i="1"/>
  <c r="P2180" i="1" a="1"/>
  <c r="P2180" i="1"/>
  <c r="J2180" i="1" a="1"/>
  <c r="J2180" i="1"/>
  <c r="J2179" i="1" a="1"/>
  <c r="J2179" i="1"/>
  <c r="I2179" i="1" a="1"/>
  <c r="I2179" i="1" s="1"/>
  <c r="G2178" i="1" a="1"/>
  <c r="G2178" i="1" s="1"/>
  <c r="G2176" i="1" a="1"/>
  <c r="G2176" i="1" s="1"/>
  <c r="G2179" i="1" a="1"/>
  <c r="G2179" i="1" s="1"/>
  <c r="Q2178" i="1" a="1"/>
  <c r="Q2178" i="1" s="1"/>
  <c r="G2177" i="1" a="1"/>
  <c r="G2177" i="1"/>
  <c r="H2178" i="1" a="1"/>
  <c r="H2178" i="1" s="1"/>
  <c r="P2177" i="1" a="1"/>
  <c r="P2177" i="1" s="1"/>
  <c r="L2177" i="1" a="1"/>
  <c r="L2177" i="1" s="1"/>
  <c r="K2177" i="1" a="1"/>
  <c r="K2177" i="1"/>
  <c r="J2177" i="1" a="1"/>
  <c r="J2177" i="1" s="1"/>
  <c r="H2177" i="1" a="1"/>
  <c r="H2177" i="1" s="1"/>
  <c r="Q2176" i="1" a="1"/>
  <c r="Q2176" i="1" s="1"/>
  <c r="P2176" i="1" a="1"/>
  <c r="P2176" i="1" s="1"/>
  <c r="J2176" i="1" a="1"/>
  <c r="J2176" i="1" s="1"/>
  <c r="O2176" i="1" a="1"/>
  <c r="O2176" i="1" s="1"/>
  <c r="P2175" i="1" a="1"/>
  <c r="P2175" i="1" s="1"/>
  <c r="F2176" i="1" a="1"/>
  <c r="F2176" i="1" s="1"/>
  <c r="O2175" i="1" a="1"/>
  <c r="O2175" i="1" s="1"/>
  <c r="P2179" i="1" a="1"/>
  <c r="P2179" i="1" s="1"/>
  <c r="M2177" i="1" a="1"/>
  <c r="M2177" i="1"/>
  <c r="O2179" i="1" a="1"/>
  <c r="O2179" i="1"/>
  <c r="H2179" i="1" a="1"/>
  <c r="H2179" i="1" s="1"/>
  <c r="N2178" i="1" a="1"/>
  <c r="N2178" i="1" s="1"/>
  <c r="M2179" i="1" a="1"/>
  <c r="M2179" i="1" s="1"/>
  <c r="P2178" i="1" a="1"/>
  <c r="P2178" i="1"/>
  <c r="O2178" i="1" a="1"/>
  <c r="O2178" i="1"/>
  <c r="N2177" i="1" a="1"/>
  <c r="N2177" i="1"/>
  <c r="M2178" i="1" a="1"/>
  <c r="M2178" i="1"/>
  <c r="L2176" i="1" a="1"/>
  <c r="L2176" i="1"/>
  <c r="M2175" i="1" a="1"/>
  <c r="M2175" i="1"/>
  <c r="K2176" i="1" a="1"/>
  <c r="K2176" i="1" s="1"/>
  <c r="I2176" i="1" a="1"/>
  <c r="I2176" i="1" s="1"/>
  <c r="F2177" i="1" a="1"/>
  <c r="F2177" i="1" s="1"/>
  <c r="H2176" i="1" a="1"/>
  <c r="H2176" i="1"/>
  <c r="I2178" i="1" a="1"/>
  <c r="I2178" i="1"/>
  <c r="L2178" i="1" a="1"/>
  <c r="L2178" i="1" s="1"/>
  <c r="Q2177" i="1" a="1"/>
  <c r="Q2177" i="1" s="1"/>
  <c r="J2178" i="1" a="1"/>
  <c r="J2178" i="1"/>
  <c r="I2177" i="1" a="1"/>
  <c r="I2177" i="1" s="1"/>
  <c r="N2176" i="1" a="1"/>
  <c r="N2176" i="1" s="1"/>
  <c r="Q2179" i="1" a="1"/>
  <c r="Q2179" i="1"/>
  <c r="F2178" i="1" a="1"/>
  <c r="F2178" i="1"/>
  <c r="M2176" i="1" a="1"/>
  <c r="M2176" i="1" s="1"/>
  <c r="K2179" i="1" a="1"/>
  <c r="K2179" i="1"/>
  <c r="O2177" i="1" a="1"/>
  <c r="O2177" i="1" s="1"/>
  <c r="Q2175" i="1" a="1"/>
  <c r="Q2175" i="1"/>
  <c r="L2175" i="1" a="1"/>
  <c r="L2175" i="1"/>
  <c r="N2179" i="1" a="1"/>
  <c r="N2179" i="1"/>
  <c r="K2178" i="1" a="1"/>
  <c r="K2178" i="1"/>
  <c r="N2175" i="1" a="1"/>
  <c r="N2175" i="1"/>
  <c r="L2179" i="1" a="1"/>
  <c r="L2179" i="1"/>
  <c r="F2179" i="1" a="1"/>
  <c r="F2179" i="1" s="1"/>
  <c r="N2173" i="1" a="1"/>
  <c r="N2173" i="1" s="1"/>
  <c r="J2172" i="1" a="1"/>
  <c r="J2172" i="1"/>
  <c r="G2173" i="1" a="1"/>
  <c r="G2173" i="1"/>
  <c r="K2171" i="1" a="1"/>
  <c r="K2171" i="1" s="1"/>
  <c r="J2171" i="1" a="1"/>
  <c r="J2171" i="1"/>
  <c r="G2171" i="1" a="1"/>
  <c r="G2171" i="1"/>
  <c r="H2173" i="1" a="1"/>
  <c r="H2173" i="1" s="1"/>
  <c r="P2174" i="1" a="1"/>
  <c r="P2174" i="1"/>
  <c r="J2174" i="1" a="1"/>
  <c r="J2174" i="1"/>
  <c r="M2171" i="1" a="1"/>
  <c r="M2171" i="1"/>
  <c r="P2170" i="1" a="1"/>
  <c r="P2170" i="1"/>
  <c r="M2173" i="1" a="1"/>
  <c r="M2173" i="1"/>
  <c r="F2175" i="1" a="1"/>
  <c r="F2175" i="1"/>
  <c r="G2174" i="1" a="1"/>
  <c r="G2174" i="1" s="1"/>
  <c r="Q2174" i="1" a="1"/>
  <c r="Q2174" i="1"/>
  <c r="O2174" i="1" a="1"/>
  <c r="O2174" i="1" s="1"/>
  <c r="N2174" i="1" a="1"/>
  <c r="N2174" i="1" s="1"/>
  <c r="K2174" i="1" a="1"/>
  <c r="K2174" i="1" s="1"/>
  <c r="P2171" i="1" a="1"/>
  <c r="P2171" i="1"/>
  <c r="N2171" i="1" a="1"/>
  <c r="N2171" i="1" s="1"/>
  <c r="I2171" i="1" a="1"/>
  <c r="I2171" i="1" s="1"/>
  <c r="H2171" i="1" a="1"/>
  <c r="H2171" i="1"/>
  <c r="P2173" i="1" a="1"/>
  <c r="P2173" i="1" s="1"/>
  <c r="K2173" i="1" a="1"/>
  <c r="K2173" i="1"/>
  <c r="J2173" i="1" a="1"/>
  <c r="J2173" i="1"/>
  <c r="M2174" i="1" a="1"/>
  <c r="M2174" i="1" s="1"/>
  <c r="L2172" i="1" a="1"/>
  <c r="L2172" i="1"/>
  <c r="F2174" i="1" a="1"/>
  <c r="F2174" i="1"/>
  <c r="Q2173" i="1" a="1"/>
  <c r="Q2173" i="1" s="1"/>
  <c r="O2172" i="1" a="1"/>
  <c r="O2172" i="1" s="1"/>
  <c r="K2172" i="1" a="1"/>
  <c r="K2172" i="1"/>
  <c r="L2174" i="1" a="1"/>
  <c r="L2174" i="1"/>
  <c r="P2172" i="1" a="1"/>
  <c r="P2172" i="1"/>
  <c r="O2173" i="1" a="1"/>
  <c r="O2173" i="1" s="1"/>
  <c r="I2173" i="1" a="1"/>
  <c r="I2173" i="1" s="1"/>
  <c r="F2173" i="1" a="1"/>
  <c r="F2173" i="1" s="1"/>
  <c r="I2172" i="1" a="1"/>
  <c r="I2172" i="1"/>
  <c r="O2171" i="1" a="1"/>
  <c r="O2171" i="1" s="1"/>
  <c r="Q2170" i="1" a="1"/>
  <c r="Q2170" i="1" s="1"/>
  <c r="Q2172" i="1" a="1"/>
  <c r="Q2172" i="1" s="1"/>
  <c r="Q2171" i="1" a="1"/>
  <c r="Q2171" i="1" s="1"/>
  <c r="I2174" i="1" a="1"/>
  <c r="I2174" i="1"/>
  <c r="G2172" i="1" a="1"/>
  <c r="G2172" i="1" s="1"/>
  <c r="K2175" i="1" a="1"/>
  <c r="K2175" i="1"/>
  <c r="L2173" i="1" a="1"/>
  <c r="L2173" i="1" s="1"/>
  <c r="F2172" i="1" a="1"/>
  <c r="F2172" i="1" s="1"/>
  <c r="F2171" i="1" a="1"/>
  <c r="F2171" i="1" s="1"/>
  <c r="J2175" i="1" a="1"/>
  <c r="J2175" i="1" s="1"/>
  <c r="H2175" i="1" a="1"/>
  <c r="H2175" i="1" s="1"/>
  <c r="H2174" i="1" a="1"/>
  <c r="H2174" i="1" s="1"/>
  <c r="N2172" i="1" a="1"/>
  <c r="N2172" i="1"/>
  <c r="M2172" i="1" a="1"/>
  <c r="M2172" i="1" s="1"/>
  <c r="L2171" i="1" a="1"/>
  <c r="L2171" i="1" s="1"/>
  <c r="H2172" i="1" a="1"/>
  <c r="H2172" i="1"/>
  <c r="I2175" i="1" a="1"/>
  <c r="I2175" i="1" s="1"/>
  <c r="G2175" i="1" a="1"/>
  <c r="G2175" i="1"/>
  <c r="I2170" i="1" a="1"/>
  <c r="I2170" i="1" s="1"/>
  <c r="Q2169" i="1" a="1"/>
  <c r="Q2169" i="1" s="1"/>
  <c r="J2170" i="1" a="1"/>
  <c r="J2170" i="1" s="1"/>
  <c r="H2170" i="1" a="1"/>
  <c r="H2170" i="1"/>
  <c r="F2170" i="1" a="1"/>
  <c r="F2170" i="1"/>
  <c r="O2170" i="1" a="1"/>
  <c r="O2170" i="1" s="1"/>
  <c r="N2170" i="1" a="1"/>
  <c r="N2170" i="1" s="1"/>
  <c r="M2170" i="1" a="1"/>
  <c r="M2170" i="1" s="1"/>
  <c r="L2170" i="1" a="1"/>
  <c r="L2170" i="1"/>
  <c r="K2170" i="1" a="1"/>
  <c r="K2170" i="1" s="1"/>
  <c r="G2170" i="1" a="1"/>
  <c r="G2170" i="1" s="1"/>
  <c r="F2168" i="1" a="1"/>
  <c r="F2168" i="1"/>
  <c r="J2167" i="1" a="1"/>
  <c r="J2167" i="1"/>
  <c r="N2169" i="1" a="1"/>
  <c r="N2169" i="1" s="1"/>
  <c r="M2169" i="1" a="1"/>
  <c r="M2169" i="1"/>
  <c r="J2169" i="1" a="1"/>
  <c r="J2169" i="1" s="1"/>
  <c r="H2169" i="1" a="1"/>
  <c r="H2169" i="1"/>
  <c r="M2168" i="1" a="1"/>
  <c r="M2168" i="1" s="1"/>
  <c r="J2168" i="1" a="1"/>
  <c r="J2168" i="1" s="1"/>
  <c r="I2168" i="1" a="1"/>
  <c r="I2168" i="1" s="1"/>
  <c r="K2167" i="1" a="1"/>
  <c r="K2167" i="1" s="1"/>
  <c r="G2167" i="1" a="1"/>
  <c r="G2167" i="1" s="1"/>
  <c r="G2168" i="1" a="1"/>
  <c r="G2168" i="1" s="1"/>
  <c r="P2169" i="1" a="1"/>
  <c r="P2169" i="1" s="1"/>
  <c r="L2169" i="1" a="1"/>
  <c r="L2169" i="1"/>
  <c r="K2169" i="1" a="1"/>
  <c r="K2169" i="1" s="1"/>
  <c r="L2168" i="1" a="1"/>
  <c r="L2168" i="1" s="1"/>
  <c r="G2169" i="1" a="1"/>
  <c r="G2169" i="1"/>
  <c r="F2169" i="1" a="1"/>
  <c r="F2169" i="1"/>
  <c r="Q2168" i="1" a="1"/>
  <c r="Q2168" i="1"/>
  <c r="H2168" i="1" a="1"/>
  <c r="H2168" i="1" s="1"/>
  <c r="P2168" i="1" a="1"/>
  <c r="P2168" i="1" s="1"/>
  <c r="O2168" i="1" a="1"/>
  <c r="O2168" i="1"/>
  <c r="N2168" i="1" a="1"/>
  <c r="N2168" i="1"/>
  <c r="K2168" i="1" a="1"/>
  <c r="K2168" i="1" s="1"/>
  <c r="O2167" i="1" a="1"/>
  <c r="O2167" i="1" s="1"/>
  <c r="M2167" i="1" a="1"/>
  <c r="M2167" i="1"/>
  <c r="P2167" i="1" a="1"/>
  <c r="P2167" i="1"/>
  <c r="N2167" i="1" a="1"/>
  <c r="N2167" i="1"/>
  <c r="H2167" i="1" a="1"/>
  <c r="H2167" i="1" s="1"/>
  <c r="I2167" i="1" a="1"/>
  <c r="I2167" i="1" s="1"/>
  <c r="L2167" i="1" a="1"/>
  <c r="L2167" i="1"/>
  <c r="O2169" i="1" a="1"/>
  <c r="O2169" i="1" s="1"/>
  <c r="Q2167" i="1" a="1"/>
  <c r="Q2167" i="1"/>
  <c r="I2169" i="1" a="1"/>
  <c r="I2169" i="1" s="1"/>
  <c r="Q2166" i="1" a="1"/>
  <c r="Q2166" i="1"/>
  <c r="P2166" i="1" a="1"/>
  <c r="P2166" i="1" s="1"/>
  <c r="Q2162" i="1" a="1"/>
  <c r="Q2162" i="1" s="1"/>
  <c r="L2164" i="1" a="1"/>
  <c r="L2164" i="1" s="1"/>
  <c r="N2166" i="1" a="1"/>
  <c r="N2166" i="1" s="1"/>
  <c r="F2163" i="1" a="1"/>
  <c r="F2163" i="1" s="1"/>
  <c r="M2166" i="1" a="1"/>
  <c r="M2166" i="1" s="1"/>
  <c r="H2166" i="1" a="1"/>
  <c r="H2166" i="1"/>
  <c r="Q2164" i="1" a="1"/>
  <c r="Q2164" i="1"/>
  <c r="M2162" i="1" a="1"/>
  <c r="M2162" i="1"/>
  <c r="J2162" i="1" a="1"/>
  <c r="J2162" i="1" s="1"/>
  <c r="P2164" i="1" a="1"/>
  <c r="P2164" i="1" s="1"/>
  <c r="N2164" i="1" a="1"/>
  <c r="N2164" i="1"/>
  <c r="J2164" i="1" a="1"/>
  <c r="J2164" i="1" s="1"/>
  <c r="I2164" i="1" a="1"/>
  <c r="I2164" i="1" s="1"/>
  <c r="H2164" i="1" a="1"/>
  <c r="H2164" i="1" s="1"/>
  <c r="J2163" i="1" a="1"/>
  <c r="J2163" i="1"/>
  <c r="L2162" i="1" a="1"/>
  <c r="L2162" i="1" s="1"/>
  <c r="I2162" i="1" a="1"/>
  <c r="I2162" i="1"/>
  <c r="N2163" i="1" a="1"/>
  <c r="N2163" i="1"/>
  <c r="M2163" i="1" a="1"/>
  <c r="M2163" i="1"/>
  <c r="K2163" i="1" a="1"/>
  <c r="K2163" i="1"/>
  <c r="H2163" i="1" a="1"/>
  <c r="H2163" i="1" s="1"/>
  <c r="K2162" i="1" a="1"/>
  <c r="K2162" i="1" s="1"/>
  <c r="Q2163" i="1" a="1"/>
  <c r="Q2163" i="1" s="1"/>
  <c r="K2166" i="1" a="1"/>
  <c r="K2166" i="1"/>
  <c r="G2166" i="1" a="1"/>
  <c r="G2166" i="1"/>
  <c r="P2163" i="1" a="1"/>
  <c r="P2163" i="1" s="1"/>
  <c r="O2162" i="1" a="1"/>
  <c r="O2162" i="1" s="1"/>
  <c r="F2166" i="1" a="1"/>
  <c r="F2166" i="1"/>
  <c r="O2164" i="1" a="1"/>
  <c r="O2164" i="1" s="1"/>
  <c r="G2164" i="1" a="1"/>
  <c r="G2164" i="1" s="1"/>
  <c r="N2162" i="1" a="1"/>
  <c r="N2162" i="1"/>
  <c r="M2164" i="1" a="1"/>
  <c r="M2164" i="1" s="1"/>
  <c r="P2162" i="1" a="1"/>
  <c r="P2162" i="1"/>
  <c r="G2163" i="1" a="1"/>
  <c r="G2163" i="1" s="1"/>
  <c r="H2162" i="1" a="1"/>
  <c r="H2162" i="1"/>
  <c r="F2164" i="1" a="1"/>
  <c r="F2164" i="1"/>
  <c r="O2166" i="1" a="1"/>
  <c r="O2166" i="1" s="1"/>
  <c r="L2166" i="1" a="1"/>
  <c r="L2166" i="1" s="1"/>
  <c r="J2166" i="1" a="1"/>
  <c r="J2166" i="1"/>
  <c r="I2166" i="1" a="1"/>
  <c r="I2166" i="1" s="1"/>
  <c r="O2163" i="1" a="1"/>
  <c r="O2163" i="1" s="1"/>
  <c r="L2163" i="1" a="1"/>
  <c r="L2163" i="1" s="1"/>
  <c r="K2164" i="1" a="1"/>
  <c r="K2164" i="1" s="1"/>
  <c r="I2163" i="1" a="1"/>
  <c r="I2163" i="1" s="1"/>
  <c r="F2167" i="1" a="1"/>
  <c r="F2167" i="1" s="1"/>
  <c r="L2161" i="1" a="1"/>
  <c r="L2161" i="1"/>
  <c r="I2161" i="1" a="1"/>
  <c r="I2161" i="1"/>
  <c r="K2160" i="1" a="1"/>
  <c r="K2160" i="1" s="1"/>
  <c r="L2158" i="1" a="1"/>
  <c r="L2158" i="1" s="1"/>
  <c r="P2159" i="1" a="1"/>
  <c r="P2159" i="1" s="1"/>
  <c r="J2158" i="1" a="1"/>
  <c r="J2158" i="1"/>
  <c r="O2159" i="1" a="1"/>
  <c r="O2159" i="1" s="1"/>
  <c r="J2157" i="1" a="1"/>
  <c r="J2157" i="1" s="1"/>
  <c r="F2159" i="1" a="1"/>
  <c r="F2159" i="1"/>
  <c r="N2158" i="1" a="1"/>
  <c r="N2158" i="1"/>
  <c r="G2157" i="1" a="1"/>
  <c r="G2157" i="1" s="1"/>
  <c r="K2161" i="1" a="1"/>
  <c r="K2161" i="1"/>
  <c r="J2161" i="1" a="1"/>
  <c r="J2161" i="1" s="1"/>
  <c r="F2161" i="1" a="1"/>
  <c r="F2161" i="1"/>
  <c r="Q2160" i="1" a="1"/>
  <c r="Q2160" i="1"/>
  <c r="G2160" i="1" a="1"/>
  <c r="G2160" i="1"/>
  <c r="F2157" i="1" a="1"/>
  <c r="F2157" i="1" s="1"/>
  <c r="H2158" i="1" a="1"/>
  <c r="H2158" i="1" s="1"/>
  <c r="J2159" i="1" a="1"/>
  <c r="J2159" i="1" s="1"/>
  <c r="Q2158" i="1" a="1"/>
  <c r="Q2158" i="1"/>
  <c r="N2159" i="1" a="1"/>
  <c r="N2159" i="1"/>
  <c r="M2159" i="1" a="1"/>
  <c r="M2159" i="1"/>
  <c r="L2159" i="1" a="1"/>
  <c r="L2159" i="1"/>
  <c r="H2161" i="1" a="1"/>
  <c r="H2161" i="1"/>
  <c r="Q2156" i="1" a="1"/>
  <c r="Q2156" i="1"/>
  <c r="O2160" i="1" a="1"/>
  <c r="O2160" i="1" s="1"/>
  <c r="N2160" i="1" a="1"/>
  <c r="N2160" i="1" s="1"/>
  <c r="M2160" i="1" a="1"/>
  <c r="M2160" i="1" s="1"/>
  <c r="H2160" i="1" a="1"/>
  <c r="H2160" i="1" s="1"/>
  <c r="F2160" i="1" a="1"/>
  <c r="F2160" i="1"/>
  <c r="I2159" i="1" a="1"/>
  <c r="I2159" i="1" s="1"/>
  <c r="P2157" i="1" a="1"/>
  <c r="P2157" i="1"/>
  <c r="H2157" i="1" a="1"/>
  <c r="H2157" i="1"/>
  <c r="K2157" i="1" a="1"/>
  <c r="K2157" i="1" s="1"/>
  <c r="P2158" i="1" a="1"/>
  <c r="P2158" i="1"/>
  <c r="M2158" i="1" a="1"/>
  <c r="M2158" i="1" s="1"/>
  <c r="I2158" i="1" a="1"/>
  <c r="I2158" i="1"/>
  <c r="G2158" i="1" a="1"/>
  <c r="G2158" i="1"/>
  <c r="P2156" i="1" a="1"/>
  <c r="P2156" i="1"/>
  <c r="L2160" i="1" a="1"/>
  <c r="L2160" i="1" s="1"/>
  <c r="Q2159" i="1" a="1"/>
  <c r="Q2159" i="1" s="1"/>
  <c r="M2157" i="1" a="1"/>
  <c r="M2157" i="1" s="1"/>
  <c r="G2159" i="1" a="1"/>
  <c r="G2159" i="1"/>
  <c r="G2161" i="1" a="1"/>
  <c r="G2161" i="1"/>
  <c r="I2160" i="1" a="1"/>
  <c r="I2160" i="1"/>
  <c r="G2162" i="1" a="1"/>
  <c r="G2162" i="1" s="1"/>
  <c r="F2162" i="1" a="1"/>
  <c r="F2162" i="1" s="1"/>
  <c r="Q2161" i="1" a="1"/>
  <c r="Q2161" i="1" s="1"/>
  <c r="M2161" i="1" a="1"/>
  <c r="M2161" i="1" s="1"/>
  <c r="F2158" i="1" a="1"/>
  <c r="F2158" i="1" s="1"/>
  <c r="K2159" i="1" a="1"/>
  <c r="K2159" i="1" s="1"/>
  <c r="H2159" i="1" a="1"/>
  <c r="H2159" i="1" s="1"/>
  <c r="O2158" i="1" a="1"/>
  <c r="O2158" i="1"/>
  <c r="L2157" i="1" a="1"/>
  <c r="L2157" i="1"/>
  <c r="K2158" i="1" a="1"/>
  <c r="K2158" i="1" s="1"/>
  <c r="J2160" i="1" a="1"/>
  <c r="J2160" i="1"/>
  <c r="N2157" i="1" a="1"/>
  <c r="N2157" i="1" s="1"/>
  <c r="Q2157" i="1" a="1"/>
  <c r="Q2157" i="1" s="1"/>
  <c r="I2157" i="1" a="1"/>
  <c r="I2157" i="1" s="1"/>
  <c r="P2161" i="1" a="1"/>
  <c r="P2161" i="1"/>
  <c r="O2161" i="1" a="1"/>
  <c r="O2161" i="1" s="1"/>
  <c r="N2161" i="1" a="1"/>
  <c r="N2161" i="1"/>
  <c r="P2160" i="1" a="1"/>
  <c r="P2160" i="1"/>
  <c r="O2157" i="1" a="1"/>
  <c r="O2157" i="1" s="1"/>
  <c r="K2003" i="1" a="1"/>
  <c r="K2003" i="1"/>
  <c r="K2004" i="1" s="1" a="1"/>
  <c r="K2004" i="1" s="1"/>
  <c r="I2003" i="1" a="1"/>
  <c r="I2003" i="1"/>
  <c r="I2004" i="1" s="1" a="1"/>
  <c r="I2004" i="1" s="1"/>
  <c r="P2001" i="1" a="1"/>
  <c r="P2001" i="1" s="1"/>
  <c r="M2001" i="1" a="1"/>
  <c r="M2001" i="1" s="1"/>
  <c r="N2001" i="1" a="1"/>
  <c r="N2001" i="1" s="1"/>
  <c r="H2001" i="1" a="1"/>
  <c r="H2001" i="1" s="1"/>
  <c r="K2000" i="1" a="1"/>
  <c r="K2000" i="1"/>
  <c r="N1999" i="1" a="1"/>
  <c r="N1999" i="1"/>
  <c r="H2003" i="1" a="1"/>
  <c r="H2003" i="1" s="1"/>
  <c r="H2004" i="1" s="1" a="1"/>
  <c r="H2004" i="1" s="1"/>
  <c r="K2001" i="1" a="1"/>
  <c r="K2001" i="1" s="1"/>
  <c r="Q1999" i="1" a="1"/>
  <c r="Q1999" i="1"/>
  <c r="L2001" i="1" a="1"/>
  <c r="L2001" i="1" s="1"/>
  <c r="O1999" i="1" a="1"/>
  <c r="O1999" i="1" s="1"/>
  <c r="L1999" i="1" a="1"/>
  <c r="L1999" i="1" s="1"/>
  <c r="Q2003" i="1" a="1"/>
  <c r="Q2003" i="1" s="1"/>
  <c r="M2000" i="1" a="1"/>
  <c r="M2000" i="1"/>
  <c r="I1999" i="1" a="1"/>
  <c r="I1999" i="1" s="1"/>
  <c r="I2001" i="1" a="1"/>
  <c r="I2001" i="1" s="1"/>
  <c r="J2003" i="1" a="1"/>
  <c r="J2003" i="1"/>
  <c r="J2004" i="1" s="1" a="1"/>
  <c r="J2004" i="1" s="1"/>
  <c r="M1999" i="1" a="1"/>
  <c r="M1999" i="1"/>
  <c r="O2001" i="1" a="1"/>
  <c r="O2001" i="1" s="1"/>
  <c r="L2000" i="1" a="1"/>
  <c r="L2000" i="1"/>
  <c r="H1999" i="1" a="1"/>
  <c r="H1999" i="1" s="1"/>
  <c r="G2001" i="1" a="1"/>
  <c r="G2001" i="1" s="1"/>
  <c r="P2003" i="1" a="1"/>
  <c r="P2003" i="1"/>
  <c r="P2004" i="1" s="1" a="1"/>
  <c r="P2004" i="1" s="1"/>
  <c r="O2000" i="1" a="1"/>
  <c r="O2000" i="1" s="1"/>
  <c r="Q2001" i="1" a="1"/>
  <c r="Q2001" i="1" s="1"/>
  <c r="G2003" i="1" a="1"/>
  <c r="G2003" i="1"/>
  <c r="G2004" i="1" s="1" a="1"/>
  <c r="G2004" i="1" s="1"/>
  <c r="P1999" i="1" a="1"/>
  <c r="P1999" i="1" s="1"/>
  <c r="K1999" i="1" a="1"/>
  <c r="K1999" i="1" s="1"/>
  <c r="F2001" i="1" a="1"/>
  <c r="F2001" i="1" s="1"/>
  <c r="F2000" i="1" a="1"/>
  <c r="F2000" i="1"/>
  <c r="O2003" i="1" a="1"/>
  <c r="O2003" i="1"/>
  <c r="O2004" i="1" s="1" a="1"/>
  <c r="O2004" i="1" s="1"/>
  <c r="J2001" i="1" a="1"/>
  <c r="J2001" i="1"/>
  <c r="N2000" i="1" a="1"/>
  <c r="N2000" i="1"/>
  <c r="G2000" i="1" a="1"/>
  <c r="G2000" i="1" s="1"/>
  <c r="P2000" i="1" a="1"/>
  <c r="P2000" i="1"/>
  <c r="M2004" i="1" a="1"/>
  <c r="M2004" i="1" s="1"/>
  <c r="N2003" i="1" a="1"/>
  <c r="N2003" i="1"/>
  <c r="N2004" i="1" s="1" a="1"/>
  <c r="N2004" i="1" s="1"/>
  <c r="M2003" i="1" a="1"/>
  <c r="M2003" i="1" s="1"/>
  <c r="F2003" i="1" a="1"/>
  <c r="F2003" i="1" s="1"/>
  <c r="F2004" i="1" s="1" a="1"/>
  <c r="F2004" i="1" s="1"/>
  <c r="Q2000" i="1" a="1"/>
  <c r="Q2000" i="1" s="1"/>
  <c r="I2000" i="1" a="1"/>
  <c r="I2000" i="1"/>
  <c r="J1999" i="1" a="1"/>
  <c r="J1999" i="1"/>
  <c r="H2000" i="1" a="1"/>
  <c r="H2000" i="1" s="1"/>
  <c r="J2000" i="1" a="1"/>
  <c r="J2000" i="1"/>
  <c r="L2003" i="1" a="1"/>
  <c r="L2003" i="1"/>
  <c r="L2004" i="1" s="1" a="1"/>
  <c r="L2004" i="1" s="1"/>
  <c r="M2021" i="1" a="1"/>
  <c r="M2021" i="1"/>
  <c r="L2021" i="1" a="1"/>
  <c r="L2021" i="1" s="1"/>
  <c r="P2021" i="1" a="1"/>
  <c r="P2021" i="1"/>
  <c r="N2021" i="1" a="1"/>
  <c r="N2021" i="1" s="1"/>
  <c r="Q2021" i="1" a="1"/>
  <c r="Q2021" i="1" s="1"/>
  <c r="O2021" i="1" a="1"/>
  <c r="O2021" i="1" s="1"/>
  <c r="P2018" i="1" a="1"/>
  <c r="P2018" i="1"/>
  <c r="P2019" i="1" s="1" a="1"/>
  <c r="P2019" i="1" s="1"/>
  <c r="Q2016" i="1" a="1"/>
  <c r="Q2016" i="1" s="1"/>
  <c r="Q2017" i="1" s="1" a="1"/>
  <c r="Q2017" i="1" s="1"/>
  <c r="O2016" i="1" a="1"/>
  <c r="O2016" i="1"/>
  <c r="O2017" i="1" s="1" a="1"/>
  <c r="O2017" i="1" s="1"/>
  <c r="Q2018" i="1" a="1"/>
  <c r="Q2018" i="1" s="1"/>
  <c r="Q2019" i="1" s="1" a="1"/>
  <c r="Q2019" i="1" s="1"/>
  <c r="N2016" i="1" a="1"/>
  <c r="N2016" i="1" s="1"/>
  <c r="P2016" i="1" a="1"/>
  <c r="P2016" i="1" s="1"/>
  <c r="P2017" i="1" s="1" a="1"/>
  <c r="P2017" i="1" s="1"/>
  <c r="G2017" i="1" a="1"/>
  <c r="G2017" i="1" s="1"/>
  <c r="M2018" i="1" a="1"/>
  <c r="M2018" i="1" s="1"/>
  <c r="M2019" i="1" s="1" a="1"/>
  <c r="M2019" i="1" s="1"/>
  <c r="F2017" i="1" a="1"/>
  <c r="F2017" i="1" s="1"/>
  <c r="L2019" i="1" a="1"/>
  <c r="L2019" i="1" s="1"/>
  <c r="O2018" i="1" a="1"/>
  <c r="O2018" i="1" s="1"/>
  <c r="O2019" i="1" s="1" a="1"/>
  <c r="O2019" i="1" s="1"/>
  <c r="G2018" i="1" a="1"/>
  <c r="G2018" i="1" s="1"/>
  <c r="G2019" i="1" s="1" a="1"/>
  <c r="G2019" i="1" s="1"/>
  <c r="M2017" i="1" a="1"/>
  <c r="M2017" i="1" s="1"/>
  <c r="K2018" i="1" a="1"/>
  <c r="K2018" i="1" s="1"/>
  <c r="K2019" i="1" s="1" a="1"/>
  <c r="K2019" i="1" s="1"/>
  <c r="M2016" i="1" a="1"/>
  <c r="M2016" i="1"/>
  <c r="F2018" i="1" a="1"/>
  <c r="F2018" i="1" s="1"/>
  <c r="I2018" i="1" a="1"/>
  <c r="I2018" i="1" s="1"/>
  <c r="I2019" i="1" s="1" a="1"/>
  <c r="I2019" i="1" s="1"/>
  <c r="L2017" i="1"/>
  <c r="M2020" i="1" a="1"/>
  <c r="M2020" i="1" s="1"/>
  <c r="F2020" i="1" a="1"/>
  <c r="F2020" i="1"/>
  <c r="N2019" i="1" a="1"/>
  <c r="N2019" i="1" s="1"/>
  <c r="N2018" i="1" a="1"/>
  <c r="N2018" i="1"/>
  <c r="H2018" i="1" a="1"/>
  <c r="H2018" i="1" s="1"/>
  <c r="H2019" i="1" s="1" a="1"/>
  <c r="H2019" i="1" s="1"/>
  <c r="L2018" i="1" a="1"/>
  <c r="L2018" i="1"/>
  <c r="I2020" i="1" a="1"/>
  <c r="I2020" i="1" s="1"/>
  <c r="H2017" i="1" a="1"/>
  <c r="H2017" i="1" s="1"/>
  <c r="N2017" i="1" a="1"/>
  <c r="N2017" i="1" s="1"/>
  <c r="F2019" i="1" a="1"/>
  <c r="F2019" i="1" s="1"/>
  <c r="K2021" i="1" a="1"/>
  <c r="K2021" i="1"/>
  <c r="J2021" i="1" a="1"/>
  <c r="J2021" i="1"/>
  <c r="I2021" i="1" a="1"/>
  <c r="I2021" i="1" s="1"/>
  <c r="H2021" i="1" a="1"/>
  <c r="H2021" i="1" s="1"/>
  <c r="G2021" i="1" a="1"/>
  <c r="G2021" i="1" s="1"/>
  <c r="F2021" i="1" a="1"/>
  <c r="F2021" i="1" s="1"/>
  <c r="Q2020" i="1" a="1"/>
  <c r="Q2020" i="1" s="1"/>
  <c r="J2018" i="1" a="1"/>
  <c r="J2018" i="1" s="1"/>
  <c r="J2019" i="1" s="1" a="1"/>
  <c r="J2019" i="1" s="1"/>
  <c r="P2020" i="1" a="1"/>
  <c r="P2020" i="1" s="1"/>
  <c r="O2020" i="1" a="1"/>
  <c r="O2020" i="1" s="1"/>
  <c r="N2020" i="1" a="1"/>
  <c r="N2020" i="1"/>
  <c r="L2020" i="1" a="1"/>
  <c r="L2020" i="1" s="1"/>
  <c r="K2020" i="1" a="1"/>
  <c r="K2020" i="1" s="1"/>
  <c r="J2020" i="1" a="1"/>
  <c r="J2020" i="1" s="1"/>
  <c r="H2020" i="1" a="1"/>
  <c r="H2020" i="1"/>
  <c r="G2020" i="1" a="1"/>
  <c r="G2020" i="1"/>
  <c r="H2014" i="1" a="1"/>
  <c r="H2014" i="1"/>
  <c r="L2016" i="1" a="1"/>
  <c r="L2016" i="1"/>
  <c r="L2017" i="1" s="1" a="1"/>
  <c r="K2016" i="1" a="1"/>
  <c r="K2016" i="1" s="1"/>
  <c r="K2017" i="1" s="1" a="1"/>
  <c r="K2017" i="1" s="1"/>
  <c r="J2016" i="1" a="1"/>
  <c r="J2016" i="1"/>
  <c r="J2017" i="1" s="1" a="1"/>
  <c r="J2017" i="1" s="1"/>
  <c r="I2016" i="1" a="1"/>
  <c r="I2016" i="1"/>
  <c r="I2017" i="1" s="1" a="1"/>
  <c r="I2017" i="1" s="1"/>
  <c r="I2015" i="1" a="1"/>
  <c r="I2015" i="1"/>
  <c r="H2016" i="1" a="1"/>
  <c r="H2016" i="1"/>
  <c r="H2013" i="1" a="1"/>
  <c r="H2013" i="1"/>
  <c r="G2016" i="1" a="1"/>
  <c r="G2016" i="1" s="1"/>
  <c r="F2016" i="1" a="1"/>
  <c r="F2016" i="1" s="1"/>
  <c r="Q2015" i="1" a="1"/>
  <c r="Q2015" i="1" s="1"/>
  <c r="P2015" i="1" a="1"/>
  <c r="P2015" i="1" s="1"/>
  <c r="O2015" i="1" a="1"/>
  <c r="O2015" i="1" s="1"/>
  <c r="K2011" i="1" a="1"/>
  <c r="K2011" i="1" s="1"/>
  <c r="N2015" i="1" a="1"/>
  <c r="N2015" i="1" s="1"/>
  <c r="M2015" i="1" a="1"/>
  <c r="M2015" i="1"/>
  <c r="K2015" i="1" a="1"/>
  <c r="K2015" i="1"/>
  <c r="L2015" i="1" a="1"/>
  <c r="L2015" i="1"/>
  <c r="H2015" i="1" a="1"/>
  <c r="H2015" i="1"/>
  <c r="J2015" i="1" a="1"/>
  <c r="J2015" i="1" s="1"/>
  <c r="N2013" i="1" a="1"/>
  <c r="N2013" i="1"/>
  <c r="G2015" i="1" a="1"/>
  <c r="G2015" i="1"/>
  <c r="G2013" i="1" a="1"/>
  <c r="G2013" i="1" s="1"/>
  <c r="G2014" i="1" s="1" a="1"/>
  <c r="G2014" i="1" s="1"/>
  <c r="I2011" i="1" a="1"/>
  <c r="I2011" i="1"/>
  <c r="I2013" i="1" a="1"/>
  <c r="I2013" i="1" s="1"/>
  <c r="I2014" i="1" s="1" a="1"/>
  <c r="I2014" i="1" s="1"/>
  <c r="H2011" i="1" a="1"/>
  <c r="H2011" i="1" s="1"/>
  <c r="Q2013" i="1" a="1"/>
  <c r="Q2013" i="1" s="1"/>
  <c r="Q2014" i="1" s="1" a="1"/>
  <c r="Q2014" i="1" s="1"/>
  <c r="Q2011" i="1" a="1"/>
  <c r="Q2011" i="1" s="1"/>
  <c r="F2015" i="1" a="1"/>
  <c r="F2015" i="1" s="1"/>
  <c r="P2013" i="1" a="1"/>
  <c r="P2013" i="1" s="1"/>
  <c r="P2014" i="1" s="1" a="1"/>
  <c r="P2014" i="1" s="1"/>
  <c r="O2014" i="1" a="1"/>
  <c r="O2014" i="1" s="1"/>
  <c r="N2014" i="1" a="1"/>
  <c r="N2014" i="1" s="1"/>
  <c r="M2011" i="1" a="1"/>
  <c r="M2011" i="1" s="1"/>
  <c r="M2013" i="1" a="1"/>
  <c r="M2013" i="1" s="1"/>
  <c r="M2014" i="1" s="1" a="1"/>
  <c r="M2014" i="1" s="1"/>
  <c r="N2011" i="1" a="1"/>
  <c r="N2011" i="1"/>
  <c r="L2011" i="1" a="1"/>
  <c r="L2011" i="1" s="1"/>
  <c r="P2011" i="1" a="1"/>
  <c r="P2011" i="1" s="1"/>
  <c r="K2013" i="1" a="1"/>
  <c r="K2013" i="1" s="1"/>
  <c r="K2014" i="1" s="1" a="1"/>
  <c r="K2014" i="1" s="1"/>
  <c r="L2013" i="1" a="1"/>
  <c r="L2013" i="1" s="1"/>
  <c r="L2014" i="1" s="1" a="1"/>
  <c r="L2014" i="1"/>
  <c r="F2013" i="1" a="1"/>
  <c r="F2013" i="1" s="1"/>
  <c r="F2014" i="1" s="1" a="1"/>
  <c r="F2014" i="1" s="1"/>
  <c r="O2013" i="1" a="1"/>
  <c r="O2013" i="1"/>
  <c r="J2013" i="1" a="1"/>
  <c r="J2013" i="1" s="1"/>
  <c r="J2014" i="1" s="1" a="1"/>
  <c r="J2014" i="1" s="1"/>
  <c r="O2011" i="1" a="1"/>
  <c r="O2011" i="1"/>
  <c r="G2011" i="1" a="1"/>
  <c r="G2011" i="1"/>
  <c r="J2011" i="1" a="1"/>
  <c r="J2011" i="1" s="1"/>
  <c r="H2010" i="1" a="1"/>
  <c r="H2010" i="1" s="1"/>
  <c r="G2010" i="1" a="1"/>
  <c r="G2010" i="1" s="1"/>
  <c r="N2009" i="1" a="1"/>
  <c r="N2009" i="1" s="1"/>
  <c r="P2008" i="1" a="1"/>
  <c r="P2008" i="1" s="1"/>
  <c r="P2009" i="1" s="1" a="1"/>
  <c r="P2009" i="1" s="1"/>
  <c r="I2009" i="1" a="1"/>
  <c r="I2009" i="1"/>
  <c r="F2009" i="1" a="1"/>
  <c r="F2009" i="1" s="1"/>
  <c r="Q2008" i="1" a="1"/>
  <c r="Q2008" i="1" s="1"/>
  <c r="Q2009" i="1" s="1" a="1"/>
  <c r="Q2009" i="1" s="1"/>
  <c r="N2008" i="1" a="1"/>
  <c r="N2008" i="1"/>
  <c r="F2011" i="1" a="1"/>
  <c r="F2011" i="1" s="1"/>
  <c r="I2010" i="1" a="1"/>
  <c r="I2010" i="1" s="1"/>
  <c r="Q2010" i="1" a="1"/>
  <c r="Q2010" i="1" s="1"/>
  <c r="P2010" i="1" a="1"/>
  <c r="P2010" i="1" s="1"/>
  <c r="O2010" i="1" a="1"/>
  <c r="O2010" i="1" s="1"/>
  <c r="F2010" i="1" a="1"/>
  <c r="F2010" i="1" s="1"/>
  <c r="J2010" i="1" a="1"/>
  <c r="J2010" i="1" s="1"/>
  <c r="O2008" i="1" a="1"/>
  <c r="O2008" i="1"/>
  <c r="O2009" i="1" s="1" a="1"/>
  <c r="O2009" i="1" s="1"/>
  <c r="L2008" i="1" a="1"/>
  <c r="L2008" i="1" s="1"/>
  <c r="L2009" i="1" s="1" a="1"/>
  <c r="L2009" i="1" s="1"/>
  <c r="N2010" i="1" a="1"/>
  <c r="N2010" i="1" s="1"/>
  <c r="M2010" i="1" a="1"/>
  <c r="M2010" i="1" s="1"/>
  <c r="L2010" i="1" a="1"/>
  <c r="L2010" i="1"/>
  <c r="M2008" i="1" a="1"/>
  <c r="M2008" i="1" s="1"/>
  <c r="M2009" i="1" s="1" a="1"/>
  <c r="M2009" i="1" s="1"/>
  <c r="K2010" i="1" a="1"/>
  <c r="K2010" i="1"/>
  <c r="F2005" i="1" a="1"/>
  <c r="F2005" i="1" s="1"/>
  <c r="Q2004" i="1" a="1"/>
  <c r="Q2004" i="1" s="1"/>
  <c r="H2006" i="1" a="1"/>
  <c r="H2006" i="1" s="1"/>
  <c r="F2008" i="1" a="1"/>
  <c r="F2008" i="1"/>
  <c r="K2007" i="1" a="1"/>
  <c r="K2007" i="1" s="1"/>
  <c r="G2006" i="1" a="1"/>
  <c r="G2006" i="1"/>
  <c r="G2007" i="1" s="1" a="1"/>
  <c r="G2007" i="1" s="1"/>
  <c r="N2005" i="1" a="1"/>
  <c r="N2005" i="1" s="1"/>
  <c r="N2006" i="1" a="1"/>
  <c r="N2006" i="1"/>
  <c r="N2007" i="1" s="1" a="1"/>
  <c r="N2007" i="1" s="1"/>
  <c r="I2006" i="1" a="1"/>
  <c r="I2006" i="1" s="1"/>
  <c r="K2005" i="1" a="1"/>
  <c r="K2005" i="1"/>
  <c r="F2006" i="1" a="1"/>
  <c r="F2006" i="1"/>
  <c r="F2007" i="1" s="1" a="1"/>
  <c r="F2007" i="1" s="1"/>
  <c r="P2007" i="1" a="1"/>
  <c r="P2007" i="1" s="1"/>
  <c r="M2006" i="1" a="1"/>
  <c r="M2006" i="1"/>
  <c r="J2005" i="1" a="1"/>
  <c r="J2005" i="1"/>
  <c r="K2008" i="1" a="1"/>
  <c r="K2008" i="1" s="1"/>
  <c r="K2009" i="1" s="1" a="1"/>
  <c r="K2009" i="1" s="1"/>
  <c r="J2008" i="1" a="1"/>
  <c r="J2008" i="1"/>
  <c r="J2009" i="1" s="1" a="1"/>
  <c r="J2009" i="1" s="1"/>
  <c r="I2008" i="1" a="1"/>
  <c r="I2008" i="1"/>
  <c r="H2008" i="1" a="1"/>
  <c r="H2008" i="1" s="1"/>
  <c r="H2009" i="1" s="1" a="1"/>
  <c r="H2009" i="1" s="1"/>
  <c r="G2008" i="1" a="1"/>
  <c r="G2008" i="1" s="1"/>
  <c r="G2009" i="1" s="1" a="1"/>
  <c r="G2009" i="1" s="1"/>
  <c r="L2005" i="1" a="1"/>
  <c r="L2005" i="1"/>
  <c r="I2005" i="1" a="1"/>
  <c r="I2005" i="1"/>
  <c r="J2006" i="1" a="1"/>
  <c r="J2006" i="1" s="1"/>
  <c r="J2007" i="1" s="1" a="1"/>
  <c r="J2007" i="1" s="1"/>
  <c r="Q2006" i="1" a="1"/>
  <c r="Q2006" i="1" s="1"/>
  <c r="Q2007" i="1" s="1" a="1"/>
  <c r="Q2007" i="1" s="1"/>
  <c r="H2007" i="1" a="1"/>
  <c r="H2007" i="1"/>
  <c r="L2006" i="1" a="1"/>
  <c r="L2006" i="1" s="1"/>
  <c r="L2007" i="1" s="1" a="1"/>
  <c r="L2007" i="1" s="1"/>
  <c r="M2005" i="1" a="1"/>
  <c r="M2005" i="1" s="1"/>
  <c r="I2007" i="1" a="1"/>
  <c r="I2007" i="1" s="1"/>
  <c r="O2006" i="1" a="1"/>
  <c r="O2006" i="1" s="1"/>
  <c r="O2007" i="1" s="1" a="1"/>
  <c r="O2007" i="1" s="1"/>
  <c r="Q2005" i="1" a="1"/>
  <c r="Q2005" i="1" s="1"/>
  <c r="P2005" i="1" a="1"/>
  <c r="P2005" i="1" s="1"/>
  <c r="H2005" i="1" a="1"/>
  <c r="H2005" i="1" s="1"/>
  <c r="K2006" i="1" a="1"/>
  <c r="K2006" i="1"/>
  <c r="P2006" i="1" a="1"/>
  <c r="P2006" i="1" s="1"/>
  <c r="O2005" i="1" a="1"/>
  <c r="O2005" i="1"/>
  <c r="M2007" i="1" a="1"/>
  <c r="M2007" i="1" s="1"/>
  <c r="G2005" i="1" a="1"/>
  <c r="G2005" i="1" s="1"/>
  <c r="N1107" i="1"/>
  <c r="L1107" i="1"/>
  <c r="K1107" i="1"/>
  <c r="J1107" i="1"/>
  <c r="I1107" i="1"/>
  <c r="H1107" i="1"/>
  <c r="G1107" i="1"/>
  <c r="F1107" i="1"/>
  <c r="Q1106" i="1"/>
  <c r="P1106" i="1"/>
  <c r="J1104" i="1"/>
  <c r="H1104" i="1"/>
  <c r="G1104" i="1"/>
  <c r="F1104" i="1"/>
  <c r="Q1102" i="1"/>
  <c r="P1102" i="1"/>
  <c r="O1102" i="1"/>
  <c r="N1102" i="1"/>
  <c r="M1102" i="1"/>
  <c r="L1102" i="1"/>
  <c r="K1102" i="1"/>
  <c r="J1102" i="1"/>
  <c r="I1102" i="1"/>
  <c r="M1100" i="1"/>
  <c r="L1100" i="1"/>
  <c r="K1100" i="1"/>
  <c r="P1094" i="1"/>
  <c r="N1094" i="1"/>
  <c r="J1094" i="1"/>
  <c r="G1094" i="1"/>
  <c r="Q1090" i="1"/>
  <c r="M1090" i="1"/>
  <c r="L1090" i="1"/>
  <c r="K1090" i="1"/>
  <c r="J1090" i="1"/>
  <c r="F1089" i="1"/>
  <c r="Q1087" i="1"/>
  <c r="O1087" i="1"/>
  <c r="M1087" i="1"/>
  <c r="I1087" i="1"/>
  <c r="H1087" i="1"/>
  <c r="G1087" i="1"/>
  <c r="F1087" i="1"/>
  <c r="Q1085" i="1"/>
  <c r="M1085" i="1"/>
  <c r="L1085" i="1"/>
  <c r="F1085" i="1"/>
  <c r="P1084" i="1"/>
  <c r="N1084" i="1"/>
  <c r="M1084" i="1"/>
  <c r="L1084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Q1081" i="1"/>
  <c r="Q1107" i="1" s="1"/>
  <c r="P1081" i="1"/>
  <c r="P1107" i="1" s="1"/>
  <c r="O1081" i="1"/>
  <c r="O1107" i="1" s="1"/>
  <c r="N1081" i="1"/>
  <c r="M1081" i="1"/>
  <c r="M1107" i="1" s="1"/>
  <c r="L1081" i="1"/>
  <c r="K1081" i="1"/>
  <c r="J1081" i="1"/>
  <c r="I1081" i="1"/>
  <c r="H1081" i="1"/>
  <c r="G1081" i="1"/>
  <c r="F1081" i="1"/>
  <c r="Q1080" i="1"/>
  <c r="P1080" i="1"/>
  <c r="O1080" i="1"/>
  <c r="O1106" i="1" s="1"/>
  <c r="N1080" i="1"/>
  <c r="N1106" i="1" s="1"/>
  <c r="M1080" i="1"/>
  <c r="M1106" i="1" s="1"/>
  <c r="L1080" i="1"/>
  <c r="L1106" i="1" s="1"/>
  <c r="K1080" i="1"/>
  <c r="K1106" i="1" s="1"/>
  <c r="J1080" i="1"/>
  <c r="J1106" i="1" s="1"/>
  <c r="I1080" i="1"/>
  <c r="I1106" i="1" s="1"/>
  <c r="H1080" i="1"/>
  <c r="H1106" i="1" s="1"/>
  <c r="G1080" i="1"/>
  <c r="G1106" i="1" s="1"/>
  <c r="F1080" i="1"/>
  <c r="F1106" i="1" s="1"/>
  <c r="Q1078" i="1"/>
  <c r="Q1104" i="1" s="1"/>
  <c r="P1078" i="1"/>
  <c r="P1104" i="1" s="1"/>
  <c r="O1078" i="1"/>
  <c r="O1104" i="1" s="1"/>
  <c r="N1078" i="1"/>
  <c r="N1104" i="1" s="1"/>
  <c r="M1078" i="1"/>
  <c r="M1104" i="1" s="1"/>
  <c r="L1078" i="1"/>
  <c r="L1104" i="1" s="1"/>
  <c r="K1078" i="1"/>
  <c r="K1104" i="1" s="1"/>
  <c r="J1078" i="1"/>
  <c r="I1078" i="1"/>
  <c r="I1104" i="1" s="1"/>
  <c r="H1078" i="1"/>
  <c r="G1078" i="1"/>
  <c r="F1078" i="1"/>
  <c r="Q1076" i="1"/>
  <c r="P1076" i="1"/>
  <c r="O1076" i="1"/>
  <c r="N1076" i="1"/>
  <c r="M1076" i="1"/>
  <c r="L1076" i="1"/>
  <c r="K1076" i="1"/>
  <c r="J1076" i="1"/>
  <c r="I1076" i="1"/>
  <c r="H1076" i="1"/>
  <c r="H1102" i="1" s="1"/>
  <c r="G1076" i="1"/>
  <c r="G1102" i="1" s="1"/>
  <c r="F1076" i="1"/>
  <c r="F1102" i="1" s="1"/>
  <c r="Q1074" i="1"/>
  <c r="Q1100" i="1" s="1"/>
  <c r="P1074" i="1"/>
  <c r="P1100" i="1" s="1"/>
  <c r="O1074" i="1"/>
  <c r="O1100" i="1" s="1"/>
  <c r="N1074" i="1"/>
  <c r="N1100" i="1" s="1"/>
  <c r="M1074" i="1"/>
  <c r="L1074" i="1"/>
  <c r="K1074" i="1"/>
  <c r="J1074" i="1"/>
  <c r="J1100" i="1" s="1"/>
  <c r="I1074" i="1"/>
  <c r="I1100" i="1" s="1"/>
  <c r="H1074" i="1"/>
  <c r="H1100" i="1" s="1"/>
  <c r="G1074" i="1"/>
  <c r="G1100" i="1" s="1"/>
  <c r="F1074" i="1"/>
  <c r="F1100" i="1" s="1"/>
  <c r="Q1068" i="1"/>
  <c r="Q1094" i="1" s="1"/>
  <c r="P1068" i="1"/>
  <c r="O1068" i="1"/>
  <c r="O1094" i="1" s="1"/>
  <c r="N1068" i="1"/>
  <c r="M1068" i="1"/>
  <c r="M1094" i="1" s="1"/>
  <c r="L1068" i="1"/>
  <c r="L1094" i="1" s="1"/>
  <c r="K1068" i="1"/>
  <c r="K1094" i="1" s="1"/>
  <c r="J1068" i="1"/>
  <c r="I1068" i="1"/>
  <c r="I1094" i="1" s="1"/>
  <c r="H1068" i="1"/>
  <c r="H1094" i="1" s="1"/>
  <c r="G1068" i="1"/>
  <c r="F1068" i="1"/>
  <c r="F1094" i="1" s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Q1064" i="1"/>
  <c r="P1064" i="1"/>
  <c r="P1090" i="1" s="1"/>
  <c r="O1064" i="1"/>
  <c r="O1090" i="1" s="1"/>
  <c r="N1064" i="1"/>
  <c r="N1090" i="1" s="1"/>
  <c r="M1064" i="1"/>
  <c r="L1064" i="1"/>
  <c r="K1064" i="1"/>
  <c r="J1064" i="1"/>
  <c r="I1064" i="1"/>
  <c r="I1090" i="1" s="1"/>
  <c r="H1064" i="1"/>
  <c r="H1090" i="1" s="1"/>
  <c r="G1064" i="1"/>
  <c r="G1090" i="1" s="1"/>
  <c r="F1064" i="1"/>
  <c r="F1090" i="1" s="1"/>
  <c r="Q1063" i="1"/>
  <c r="Q1089" i="1" s="1"/>
  <c r="P1063" i="1"/>
  <c r="P1089" i="1" s="1"/>
  <c r="O1063" i="1"/>
  <c r="O1089" i="1" s="1"/>
  <c r="N1063" i="1"/>
  <c r="N1089" i="1" s="1"/>
  <c r="M1063" i="1"/>
  <c r="M1089" i="1" s="1"/>
  <c r="L1063" i="1"/>
  <c r="L1089" i="1" s="1"/>
  <c r="K1063" i="1"/>
  <c r="K1089" i="1" s="1"/>
  <c r="J1063" i="1"/>
  <c r="J1089" i="1" s="1"/>
  <c r="I1063" i="1"/>
  <c r="I1089" i="1" s="1"/>
  <c r="H1063" i="1"/>
  <c r="H1089" i="1" s="1"/>
  <c r="G1063" i="1"/>
  <c r="G1089" i="1" s="1"/>
  <c r="F1063" i="1"/>
  <c r="Q1061" i="1"/>
  <c r="P1061" i="1"/>
  <c r="P1087" i="1" s="1"/>
  <c r="O1061" i="1"/>
  <c r="N1061" i="1"/>
  <c r="N1087" i="1" s="1"/>
  <c r="M1061" i="1"/>
  <c r="L1061" i="1"/>
  <c r="L1087" i="1" s="1"/>
  <c r="K1061" i="1"/>
  <c r="K1087" i="1" s="1"/>
  <c r="J1061" i="1"/>
  <c r="J1087" i="1" s="1"/>
  <c r="I1061" i="1"/>
  <c r="H1061" i="1"/>
  <c r="G1061" i="1"/>
  <c r="F1061" i="1"/>
  <c r="Q1059" i="1"/>
  <c r="P1059" i="1"/>
  <c r="P1085" i="1" s="1"/>
  <c r="O1059" i="1"/>
  <c r="O1085" i="1" s="1"/>
  <c r="N1059" i="1"/>
  <c r="N1085" i="1" s="1"/>
  <c r="M1059" i="1"/>
  <c r="L1059" i="1"/>
  <c r="K1059" i="1"/>
  <c r="K1085" i="1" s="1"/>
  <c r="J1059" i="1"/>
  <c r="J1085" i="1" s="1"/>
  <c r="I1059" i="1"/>
  <c r="I1085" i="1" s="1"/>
  <c r="H1059" i="1"/>
  <c r="H1085" i="1" s="1"/>
  <c r="G1059" i="1"/>
  <c r="G1085" i="1" s="1"/>
  <c r="F1059" i="1"/>
  <c r="Q1058" i="1"/>
  <c r="Q1084" i="1" s="1"/>
  <c r="P1058" i="1"/>
  <c r="O1058" i="1"/>
  <c r="O1084" i="1" s="1"/>
  <c r="N1058" i="1"/>
  <c r="M1058" i="1"/>
  <c r="L1058" i="1"/>
  <c r="K1058" i="1"/>
  <c r="K1084" i="1" s="1"/>
  <c r="J1058" i="1"/>
  <c r="J1084" i="1" s="1"/>
  <c r="I1058" i="1"/>
  <c r="I1084" i="1" s="1"/>
  <c r="H1058" i="1"/>
  <c r="H1084" i="1" s="1"/>
  <c r="G1058" i="1"/>
  <c r="G1084" i="1" s="1"/>
  <c r="F1058" i="1"/>
  <c r="F1084" i="1" s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P925" i="1"/>
  <c r="P924" i="1" s="1"/>
  <c r="Q922" i="1"/>
  <c r="P922" i="1"/>
  <c r="O922" i="1"/>
  <c r="N922" i="1"/>
  <c r="M922" i="1"/>
  <c r="L922" i="1"/>
  <c r="K922" i="1"/>
  <c r="J922" i="1"/>
  <c r="I922" i="1"/>
  <c r="H922" i="1"/>
  <c r="G922" i="1"/>
  <c r="F922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Q904" i="1"/>
  <c r="P904" i="1"/>
  <c r="P901" i="1" s="1"/>
  <c r="O904" i="1"/>
  <c r="N904" i="1"/>
  <c r="M904" i="1"/>
  <c r="L904" i="1"/>
  <c r="K904" i="1"/>
  <c r="J904" i="1"/>
  <c r="I904" i="1"/>
  <c r="H904" i="1"/>
  <c r="G904" i="1"/>
  <c r="F904" i="1"/>
  <c r="P903" i="1"/>
  <c r="I903" i="1"/>
  <c r="Q901" i="1"/>
  <c r="O901" i="1"/>
  <c r="N901" i="1"/>
  <c r="M901" i="1"/>
  <c r="L901" i="1"/>
  <c r="K901" i="1"/>
  <c r="J901" i="1"/>
  <c r="I901" i="1"/>
  <c r="H901" i="1"/>
  <c r="G901" i="1"/>
  <c r="F901" i="1"/>
  <c r="P899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Q895" i="1"/>
  <c r="P895" i="1"/>
  <c r="P902" i="1" s="1"/>
  <c r="O895" i="1"/>
  <c r="N895" i="1"/>
  <c r="M895" i="1"/>
  <c r="L895" i="1"/>
  <c r="K895" i="1"/>
  <c r="J895" i="1"/>
  <c r="I895" i="1"/>
  <c r="I899" i="1" s="1"/>
  <c r="H895" i="1"/>
  <c r="H899" i="1" s="1"/>
  <c r="G895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Q806" i="1" a="1"/>
  <c r="Q806" i="1" s="1"/>
  <c r="I816" i="1" a="1"/>
  <c r="I816" i="1"/>
  <c r="K816" i="1" a="1"/>
  <c r="K816" i="1"/>
  <c r="Q816" i="1" a="1"/>
  <c r="Q816" i="1" s="1"/>
  <c r="J816" i="1" a="1"/>
  <c r="J816" i="1" s="1"/>
  <c r="M816" i="1"/>
  <c r="O804" i="1" a="1"/>
  <c r="O804" i="1" s="1"/>
  <c r="M806" i="1" a="1"/>
  <c r="M806" i="1" s="1"/>
  <c r="H806" i="1" a="1"/>
  <c r="H806" i="1"/>
  <c r="L806" i="1" a="1"/>
  <c r="L806" i="1" s="1"/>
  <c r="J806" i="1" a="1"/>
  <c r="J806" i="1"/>
  <c r="F806" i="1" a="1"/>
  <c r="F806" i="1"/>
  <c r="M804" i="1" a="1"/>
  <c r="M804" i="1"/>
  <c r="I806" i="1" a="1"/>
  <c r="I806" i="1" s="1"/>
  <c r="N804" i="1" a="1"/>
  <c r="N804" i="1" s="1"/>
  <c r="K806" i="1" a="1"/>
  <c r="K806" i="1"/>
  <c r="Q804" i="1" a="1"/>
  <c r="Q804" i="1" s="1"/>
  <c r="P804" i="1" a="1"/>
  <c r="P804" i="1" s="1"/>
  <c r="L804" i="1" a="1"/>
  <c r="L804" i="1" s="1"/>
  <c r="P806" i="1" a="1"/>
  <c r="P806" i="1" s="1"/>
  <c r="O806" i="1" a="1"/>
  <c r="O806" i="1"/>
  <c r="N806" i="1" a="1"/>
  <c r="N806" i="1"/>
  <c r="G806" i="1" a="1"/>
  <c r="G806" i="1" s="1"/>
  <c r="O802" i="1" a="1"/>
  <c r="O802" i="1"/>
  <c r="P802" i="1" a="1"/>
  <c r="P802" i="1" s="1"/>
  <c r="L802" i="1" a="1"/>
  <c r="L802" i="1" s="1"/>
  <c r="J802" i="1" a="1"/>
  <c r="J802" i="1" s="1"/>
  <c r="K802" i="1" a="1"/>
  <c r="K802" i="1"/>
  <c r="K804" i="1" a="1"/>
  <c r="K804" i="1"/>
  <c r="G804" i="1" a="1"/>
  <c r="G804" i="1" s="1"/>
  <c r="I802" i="1" a="1"/>
  <c r="I802" i="1" s="1"/>
  <c r="N802" i="1" a="1"/>
  <c r="N802" i="1" s="1"/>
  <c r="M802" i="1" a="1"/>
  <c r="M802" i="1" s="1"/>
  <c r="F802" i="1" a="1"/>
  <c r="F802" i="1" s="1"/>
  <c r="J804" i="1" a="1"/>
  <c r="J804" i="1"/>
  <c r="F804" i="1" a="1"/>
  <c r="F804" i="1" s="1"/>
  <c r="H802" i="1" a="1"/>
  <c r="H802" i="1"/>
  <c r="I804" i="1" a="1"/>
  <c r="I804" i="1" s="1"/>
  <c r="H804" i="1" a="1"/>
  <c r="H804" i="1" s="1"/>
  <c r="G802" i="1" a="1"/>
  <c r="G802" i="1"/>
  <c r="Q802" i="1" a="1"/>
  <c r="Q802" i="1" s="1"/>
  <c r="L780" i="1" a="1"/>
  <c r="L780" i="1" s="1"/>
  <c r="L779" i="1" s="1"/>
  <c r="O780" i="1" a="1"/>
  <c r="O780" i="1"/>
  <c r="Q780" i="1" a="1"/>
  <c r="Q780" i="1" s="1"/>
  <c r="P780" i="1" a="1"/>
  <c r="P780" i="1" s="1"/>
  <c r="K780" i="1" a="1"/>
  <c r="K780" i="1"/>
  <c r="J780" i="1" a="1"/>
  <c r="J780" i="1" s="1"/>
  <c r="N780" i="1" a="1"/>
  <c r="N780" i="1"/>
  <c r="M780" i="1" a="1"/>
  <c r="M780" i="1" s="1"/>
  <c r="I780" i="1" a="1"/>
  <c r="I780" i="1"/>
  <c r="G780" i="1" a="1"/>
  <c r="G780" i="1"/>
  <c r="H780" i="1" a="1"/>
  <c r="H780" i="1"/>
  <c r="F780" i="1" a="1"/>
  <c r="F780" i="1" s="1"/>
  <c r="G766" i="1" a="1"/>
  <c r="G766" i="1" s="1"/>
  <c r="G816" i="1" s="1" a="1"/>
  <c r="G816" i="1" s="1"/>
  <c r="F766" i="1" a="1"/>
  <c r="F766" i="1"/>
  <c r="F816" i="1" s="1" a="1"/>
  <c r="F816" i="1" s="1"/>
  <c r="L766" i="1" a="1"/>
  <c r="L766" i="1"/>
  <c r="L816" i="1" s="1" a="1"/>
  <c r="L816" i="1" s="1"/>
  <c r="Q766" i="1" a="1"/>
  <c r="Q766" i="1" s="1"/>
  <c r="I766" i="1" a="1"/>
  <c r="I766" i="1"/>
  <c r="N766" i="1" a="1"/>
  <c r="N766" i="1"/>
  <c r="N816" i="1" s="1" a="1"/>
  <c r="N816" i="1" s="1"/>
  <c r="P766" i="1" a="1"/>
  <c r="P766" i="1"/>
  <c r="P816" i="1" s="1" a="1"/>
  <c r="P816" i="1" s="1"/>
  <c r="M766" i="1" a="1"/>
  <c r="M766" i="1" s="1"/>
  <c r="M816" i="1" s="1" a="1"/>
  <c r="J766" i="1" a="1"/>
  <c r="J766" i="1" s="1"/>
  <c r="O766" i="1" a="1"/>
  <c r="O766" i="1" s="1"/>
  <c r="O816" i="1" s="1" a="1"/>
  <c r="O816" i="1" s="1"/>
  <c r="K766" i="1" a="1"/>
  <c r="K766" i="1"/>
  <c r="H766" i="1" a="1"/>
  <c r="H766" i="1" s="1"/>
  <c r="H816" i="1" s="1" a="1"/>
  <c r="H816" i="1" s="1"/>
  <c r="G1827" i="1" a="1"/>
  <c r="G1827" i="1" s="1"/>
  <c r="F1827" i="1" a="1"/>
  <c r="F1827" i="1" s="1"/>
  <c r="H1826" i="1" a="1"/>
  <c r="H1826" i="1" s="1"/>
  <c r="Q1826" i="1" a="1"/>
  <c r="Q1826" i="1" s="1"/>
  <c r="P1826" i="1" a="1"/>
  <c r="P1826" i="1" s="1"/>
  <c r="N1826" i="1" a="1"/>
  <c r="N1826" i="1"/>
  <c r="M1826" i="1" a="1"/>
  <c r="M1826" i="1" s="1"/>
  <c r="O1826" i="1" a="1"/>
  <c r="O1826" i="1" s="1"/>
  <c r="L1826" i="1" a="1"/>
  <c r="L1826" i="1"/>
  <c r="K1826" i="1" a="1"/>
  <c r="K1826" i="1" s="1"/>
  <c r="F1826" i="1" a="1"/>
  <c r="F1826" i="1"/>
  <c r="J1826" i="1" a="1"/>
  <c r="J1826" i="1"/>
  <c r="I1826" i="1" a="1"/>
  <c r="I1826" i="1"/>
  <c r="G1826" i="1" a="1"/>
  <c r="G1826" i="1"/>
  <c r="H1827" i="1" a="1"/>
  <c r="H1827" i="1"/>
  <c r="M1902" i="1" a="1"/>
  <c r="M1902" i="1"/>
  <c r="F1902" i="1" a="1"/>
  <c r="F1902" i="1"/>
  <c r="L1902" i="1" a="1"/>
  <c r="L1902" i="1"/>
  <c r="P1902" i="1" a="1"/>
  <c r="P1902" i="1" s="1"/>
  <c r="Q1900" i="1" a="1"/>
  <c r="Q1900" i="1"/>
  <c r="O1902" i="1" a="1"/>
  <c r="O1902" i="1"/>
  <c r="I1902" i="1" a="1"/>
  <c r="I1902" i="1"/>
  <c r="H1902" i="1" a="1"/>
  <c r="H1902" i="1" s="1"/>
  <c r="Q1902" i="1" a="1"/>
  <c r="Q1902" i="1" s="1"/>
  <c r="J1902" i="1" a="1"/>
  <c r="J1902" i="1" s="1"/>
  <c r="N1902" i="1" a="1"/>
  <c r="N1902" i="1" s="1"/>
  <c r="K1902" i="1" a="1"/>
  <c r="K1902" i="1" s="1"/>
  <c r="G1902" i="1" a="1"/>
  <c r="G1902" i="1"/>
  <c r="L1896" i="1" a="1"/>
  <c r="L1896" i="1" s="1"/>
  <c r="K1900" i="1" a="1"/>
  <c r="K1900" i="1" s="1"/>
  <c r="L1893" i="1" a="1"/>
  <c r="L1893" i="1" s="1"/>
  <c r="F1896" i="1" a="1"/>
  <c r="F1896" i="1"/>
  <c r="Q1896" i="1" a="1"/>
  <c r="Q1896" i="1"/>
  <c r="J1894" i="1" a="1"/>
  <c r="J1894" i="1" s="1"/>
  <c r="H1894" i="1" a="1"/>
  <c r="H1894" i="1" s="1"/>
  <c r="I1900" i="1" a="1"/>
  <c r="I1900" i="1"/>
  <c r="G1900" i="1" a="1"/>
  <c r="G1900" i="1"/>
  <c r="O1898" i="1" a="1"/>
  <c r="O1898" i="1" s="1"/>
  <c r="K1894" i="1" a="1"/>
  <c r="K1894" i="1" s="1"/>
  <c r="J1898" i="1" a="1"/>
  <c r="J1898" i="1"/>
  <c r="O1893" i="1" a="1"/>
  <c r="O1893" i="1"/>
  <c r="N1896" i="1" a="1"/>
  <c r="N1896" i="1"/>
  <c r="K1896" i="1" a="1"/>
  <c r="K1896" i="1"/>
  <c r="N1893" i="1" a="1"/>
  <c r="N1893" i="1"/>
  <c r="Q1894" i="1" a="1"/>
  <c r="Q1894" i="1" s="1"/>
  <c r="I1894" i="1" a="1"/>
  <c r="I1894" i="1" s="1"/>
  <c r="M1896" i="1" a="1"/>
  <c r="M1896" i="1" s="1"/>
  <c r="P1894" i="1" a="1"/>
  <c r="P1894" i="1"/>
  <c r="F1900" i="1" a="1"/>
  <c r="F1900" i="1" s="1"/>
  <c r="P1893" i="1" a="1"/>
  <c r="P1893" i="1" s="1"/>
  <c r="N1898" i="1" a="1"/>
  <c r="N1898" i="1"/>
  <c r="P1896" i="1" a="1"/>
  <c r="P1896" i="1" s="1"/>
  <c r="J1896" i="1" a="1"/>
  <c r="J1896" i="1" s="1"/>
  <c r="G1896" i="1" a="1"/>
  <c r="G1896" i="1" s="1"/>
  <c r="K1893" i="1" a="1"/>
  <c r="K1893" i="1" s="1"/>
  <c r="N1894" i="1" a="1"/>
  <c r="N1894" i="1" s="1"/>
  <c r="G1894" i="1" a="1"/>
  <c r="G1894" i="1"/>
  <c r="I1898" i="1" a="1"/>
  <c r="I1898" i="1" s="1"/>
  <c r="M1893" i="1" a="1"/>
  <c r="M1893" i="1" s="1"/>
  <c r="Q1898" i="1" a="1"/>
  <c r="Q1898" i="1" s="1"/>
  <c r="L1898" i="1" a="1"/>
  <c r="L1898" i="1"/>
  <c r="H1896" i="1" a="1"/>
  <c r="H1896" i="1" s="1"/>
  <c r="H1898" i="1" a="1"/>
  <c r="H1898" i="1" s="1"/>
  <c r="I1896" i="1" a="1"/>
  <c r="I1896" i="1" s="1"/>
  <c r="O1894" i="1" a="1"/>
  <c r="O1894" i="1" s="1"/>
  <c r="L1894" i="1" a="1"/>
  <c r="L1894" i="1" s="1"/>
  <c r="Q1893" i="1" a="1"/>
  <c r="Q1893" i="1"/>
  <c r="G1898" i="1" a="1"/>
  <c r="G1898" i="1"/>
  <c r="F1898" i="1" a="1"/>
  <c r="F1898" i="1"/>
  <c r="O1896" i="1" a="1"/>
  <c r="O1896" i="1"/>
  <c r="F1894" i="1" a="1"/>
  <c r="F1894" i="1" s="1"/>
  <c r="M1894" i="1" a="1"/>
  <c r="M1894" i="1"/>
  <c r="P1900" i="1" a="1"/>
  <c r="P1900" i="1"/>
  <c r="J1900" i="1" a="1"/>
  <c r="J1900" i="1" s="1"/>
  <c r="P1898" i="1" a="1"/>
  <c r="P1898" i="1"/>
  <c r="H1900" i="1" a="1"/>
  <c r="H1900" i="1" s="1"/>
  <c r="O1900" i="1" a="1"/>
  <c r="O1900" i="1" s="1"/>
  <c r="N1900" i="1" a="1"/>
  <c r="N1900" i="1" s="1"/>
  <c r="M1900" i="1" a="1"/>
  <c r="M1900" i="1" s="1"/>
  <c r="L1900" i="1" a="1"/>
  <c r="L1900" i="1" s="1"/>
  <c r="M1898" i="1" a="1"/>
  <c r="M1898" i="1" s="1"/>
  <c r="K1898" i="1" a="1"/>
  <c r="K1898" i="1"/>
  <c r="L1887" i="1" a="1"/>
  <c r="L1887" i="1" s="1"/>
  <c r="O1890" i="1" a="1"/>
  <c r="O1890" i="1" s="1"/>
  <c r="M1890" i="1" a="1"/>
  <c r="M1890" i="1" s="1"/>
  <c r="K1890" i="1" a="1"/>
  <c r="K1890" i="1"/>
  <c r="O1888" i="1" a="1"/>
  <c r="O1888" i="1" s="1"/>
  <c r="L1890" i="1" a="1"/>
  <c r="L1890" i="1" s="1"/>
  <c r="J1890" i="1" a="1"/>
  <c r="J1890" i="1"/>
  <c r="G1890" i="1" a="1"/>
  <c r="G1890" i="1" s="1"/>
  <c r="P1887" i="1" a="1"/>
  <c r="P1887" i="1" s="1"/>
  <c r="I1888" i="1" a="1"/>
  <c r="I1888" i="1" s="1"/>
  <c r="F1887" i="1" a="1"/>
  <c r="F1887" i="1" s="1"/>
  <c r="N1890" i="1" a="1"/>
  <c r="N1890" i="1" s="1"/>
  <c r="F1888" i="1" a="1"/>
  <c r="F1888" i="1"/>
  <c r="H1887" i="1" a="1"/>
  <c r="H1887" i="1"/>
  <c r="J1888" i="1" a="1"/>
  <c r="J1888" i="1" s="1"/>
  <c r="O1887" i="1" a="1"/>
  <c r="O1887" i="1"/>
  <c r="J1893" i="1" a="1"/>
  <c r="J1893" i="1"/>
  <c r="H1892" i="1" a="1"/>
  <c r="H1892" i="1" s="1"/>
  <c r="I1893" i="1" a="1"/>
  <c r="I1893" i="1"/>
  <c r="N1887" i="1" a="1"/>
  <c r="N1887" i="1"/>
  <c r="Q1887" i="1" a="1"/>
  <c r="Q1887" i="1" s="1"/>
  <c r="J1887" i="1" a="1"/>
  <c r="J1887" i="1" s="1"/>
  <c r="H1893" i="1" a="1"/>
  <c r="H1893" i="1"/>
  <c r="G1887" i="1" a="1"/>
  <c r="G1887" i="1" s="1"/>
  <c r="G1893" i="1" a="1"/>
  <c r="G1893" i="1" s="1"/>
  <c r="F1893" i="1" a="1"/>
  <c r="F1893" i="1" s="1"/>
  <c r="H1890" i="1" a="1"/>
  <c r="H1890" i="1"/>
  <c r="I1892" i="1" a="1"/>
  <c r="I1892" i="1"/>
  <c r="L1888" i="1" a="1"/>
  <c r="L1888" i="1"/>
  <c r="M1887" i="1" a="1"/>
  <c r="M1887" i="1" s="1"/>
  <c r="K1888" i="1" a="1"/>
  <c r="K1888" i="1" s="1"/>
  <c r="I1890" i="1" a="1"/>
  <c r="I1890" i="1" s="1"/>
  <c r="P1892" i="1" a="1"/>
  <c r="P1892" i="1"/>
  <c r="M1888" i="1" a="1"/>
  <c r="M1888" i="1" s="1"/>
  <c r="N1888" i="1" a="1"/>
  <c r="N1888" i="1" s="1"/>
  <c r="Q1892" i="1" a="1"/>
  <c r="Q1892" i="1"/>
  <c r="O1892" i="1" a="1"/>
  <c r="O1892" i="1"/>
  <c r="N1892" i="1" a="1"/>
  <c r="N1892" i="1"/>
  <c r="F1892" i="1" a="1"/>
  <c r="F1892" i="1"/>
  <c r="P1890" i="1" a="1"/>
  <c r="P1890" i="1" s="1"/>
  <c r="H1888" i="1" a="1"/>
  <c r="H1888" i="1" s="1"/>
  <c r="P1888" i="1" a="1"/>
  <c r="P1888" i="1"/>
  <c r="M1892" i="1" a="1"/>
  <c r="M1892" i="1"/>
  <c r="F1890" i="1" a="1"/>
  <c r="F1890" i="1"/>
  <c r="I1887" i="1" a="1"/>
  <c r="I1887" i="1" s="1"/>
  <c r="Q1888" i="1" a="1"/>
  <c r="Q1888" i="1"/>
  <c r="L1892" i="1" a="1"/>
  <c r="L1892" i="1" s="1"/>
  <c r="G1888" i="1" a="1"/>
  <c r="G1888" i="1"/>
  <c r="K1892" i="1" a="1"/>
  <c r="K1892" i="1"/>
  <c r="G1892" i="1" a="1"/>
  <c r="G1892" i="1"/>
  <c r="J1892" i="1" a="1"/>
  <c r="J1892" i="1"/>
  <c r="K1887" i="1" a="1"/>
  <c r="K1887" i="1" s="1"/>
  <c r="Q1890" i="1" a="1"/>
  <c r="Q1890" i="1" s="1"/>
  <c r="N1876" i="1" a="1"/>
  <c r="N1876" i="1" s="1"/>
  <c r="K1882" i="1" a="1"/>
  <c r="K1882" i="1" s="1"/>
  <c r="K1880" i="1" a="1"/>
  <c r="K1880" i="1"/>
  <c r="H1878" i="1" a="1"/>
  <c r="H1878" i="1"/>
  <c r="P1882" i="1" a="1"/>
  <c r="P1882" i="1"/>
  <c r="M1878" i="1" a="1"/>
  <c r="M1878" i="1"/>
  <c r="P1884" i="1" a="1"/>
  <c r="P1884" i="1" s="1"/>
  <c r="Q1884" i="1" a="1"/>
  <c r="Q1884" i="1" s="1"/>
  <c r="M1880" i="1" a="1"/>
  <c r="M1880" i="1"/>
  <c r="P1878" i="1" a="1"/>
  <c r="P1878" i="1" s="1"/>
  <c r="F1878" i="1" a="1"/>
  <c r="F1878" i="1"/>
  <c r="Q1882" i="1" a="1"/>
  <c r="Q1882" i="1"/>
  <c r="I1882" i="1" a="1"/>
  <c r="I1882" i="1"/>
  <c r="N1880" i="1" a="1"/>
  <c r="N1880" i="1"/>
  <c r="O1878" i="1" a="1"/>
  <c r="O1878" i="1" s="1"/>
  <c r="K1878" i="1" a="1"/>
  <c r="K1878" i="1"/>
  <c r="O1876" i="1" a="1"/>
  <c r="O1876" i="1"/>
  <c r="P1880" i="1" a="1"/>
  <c r="P1880" i="1" s="1"/>
  <c r="L1880" i="1" a="1"/>
  <c r="L1880" i="1"/>
  <c r="M1882" i="1" a="1"/>
  <c r="M1882" i="1" s="1"/>
  <c r="F1880" i="1" a="1"/>
  <c r="F1880" i="1"/>
  <c r="G1878" i="1" a="1"/>
  <c r="G1878" i="1"/>
  <c r="Q1878" i="1" a="1"/>
  <c r="Q1878" i="1" s="1"/>
  <c r="N1884" i="1" a="1"/>
  <c r="N1884" i="1"/>
  <c r="L1884" i="1" a="1"/>
  <c r="L1884" i="1"/>
  <c r="G1884" i="1" a="1"/>
  <c r="G1884" i="1"/>
  <c r="I1878" i="1" a="1"/>
  <c r="I1878" i="1"/>
  <c r="O1882" i="1" a="1"/>
  <c r="O1882" i="1"/>
  <c r="G1882" i="1" a="1"/>
  <c r="G1882" i="1" s="1"/>
  <c r="Q1876" i="1" a="1"/>
  <c r="Q1876" i="1"/>
  <c r="L1878" i="1" a="1"/>
  <c r="L1878" i="1"/>
  <c r="O1884" i="1" a="1"/>
  <c r="O1884" i="1"/>
  <c r="M1884" i="1" a="1"/>
  <c r="M1884" i="1" s="1"/>
  <c r="Q1880" i="1" a="1"/>
  <c r="Q1880" i="1"/>
  <c r="J1878" i="1" a="1"/>
  <c r="J1878" i="1"/>
  <c r="K1884" i="1" a="1"/>
  <c r="K1884" i="1" s="1"/>
  <c r="J1884" i="1" a="1"/>
  <c r="J1884" i="1" s="1"/>
  <c r="F1882" i="1" a="1"/>
  <c r="F1882" i="1"/>
  <c r="I1884" i="1" a="1"/>
  <c r="I1884" i="1" s="1"/>
  <c r="I1880" i="1" a="1"/>
  <c r="I1880" i="1" s="1"/>
  <c r="H1884" i="1" a="1"/>
  <c r="H1884" i="1" s="1"/>
  <c r="F1884" i="1" a="1"/>
  <c r="F1884" i="1"/>
  <c r="P1876" i="1" a="1"/>
  <c r="P1876" i="1" s="1"/>
  <c r="J1880" i="1" a="1"/>
  <c r="J1880" i="1" s="1"/>
  <c r="J1882" i="1" a="1"/>
  <c r="J1882" i="1" s="1"/>
  <c r="L1882" i="1" a="1"/>
  <c r="L1882" i="1"/>
  <c r="H1882" i="1" a="1"/>
  <c r="H1882" i="1" s="1"/>
  <c r="O1880" i="1" a="1"/>
  <c r="O1880" i="1" s="1"/>
  <c r="G1880" i="1" a="1"/>
  <c r="G1880" i="1" s="1"/>
  <c r="H1880" i="1" a="1"/>
  <c r="H1880" i="1"/>
  <c r="N1878" i="1" a="1"/>
  <c r="N1878" i="1"/>
  <c r="N1882" i="1" a="1"/>
  <c r="N1882" i="1" s="1"/>
  <c r="N1868" i="1" a="1"/>
  <c r="N1868" i="1"/>
  <c r="K1872" i="1" a="1"/>
  <c r="K1872" i="1"/>
  <c r="I1871" i="1" a="1"/>
  <c r="I1871" i="1" s="1"/>
  <c r="F1874" i="1" a="1"/>
  <c r="F1874" i="1" s="1"/>
  <c r="G1870" i="1" a="1"/>
  <c r="G1870" i="1" s="1"/>
  <c r="J1871" i="1" a="1"/>
  <c r="J1871" i="1" s="1"/>
  <c r="Q1870" i="1" a="1"/>
  <c r="Q1870" i="1"/>
  <c r="F1870" i="1" a="1"/>
  <c r="F1870" i="1" s="1"/>
  <c r="K1870" i="1" a="1"/>
  <c r="K1870" i="1"/>
  <c r="G1872" i="1" a="1"/>
  <c r="G1872" i="1" s="1"/>
  <c r="N1872" i="1" a="1"/>
  <c r="N1872" i="1" s="1"/>
  <c r="F1871" i="1" a="1"/>
  <c r="F1871" i="1"/>
  <c r="M1876" i="1" a="1"/>
  <c r="M1876" i="1" s="1"/>
  <c r="O1871" i="1" a="1"/>
  <c r="O1871" i="1" s="1"/>
  <c r="O1868" i="1" a="1"/>
  <c r="O1868" i="1"/>
  <c r="L1876" i="1" a="1"/>
  <c r="L1876" i="1" s="1"/>
  <c r="P1871" i="1" a="1"/>
  <c r="P1871" i="1" s="1"/>
  <c r="K1876" i="1" a="1"/>
  <c r="K1876" i="1"/>
  <c r="J1876" i="1" a="1"/>
  <c r="J1876" i="1" s="1"/>
  <c r="I1876" i="1" a="1"/>
  <c r="I1876" i="1" s="1"/>
  <c r="H1876" i="1" a="1"/>
  <c r="H1876" i="1"/>
  <c r="M1871" i="1" a="1"/>
  <c r="M1871" i="1"/>
  <c r="G1876" i="1" a="1"/>
  <c r="G1876" i="1"/>
  <c r="Q1874" i="1" a="1"/>
  <c r="Q1874" i="1" s="1"/>
  <c r="F1876" i="1" a="1"/>
  <c r="F1876" i="1"/>
  <c r="P1874" i="1" a="1"/>
  <c r="P1874" i="1"/>
  <c r="I1874" i="1" a="1"/>
  <c r="I1874" i="1"/>
  <c r="H1870" i="1" a="1"/>
  <c r="H1870" i="1"/>
  <c r="H1874" i="1" a="1"/>
  <c r="H1874" i="1" s="1"/>
  <c r="M1874" i="1" a="1"/>
  <c r="M1874" i="1"/>
  <c r="N1874" i="1" a="1"/>
  <c r="N1874" i="1"/>
  <c r="M1870" i="1" a="1"/>
  <c r="M1870" i="1" s="1"/>
  <c r="N1870" i="1" a="1"/>
  <c r="N1870" i="1" s="1"/>
  <c r="J1870" i="1" a="1"/>
  <c r="J1870" i="1"/>
  <c r="I1870" i="1" a="1"/>
  <c r="I1870" i="1" s="1"/>
  <c r="Q1868" i="1" a="1"/>
  <c r="Q1868" i="1"/>
  <c r="P1870" i="1" a="1"/>
  <c r="P1870" i="1"/>
  <c r="O1874" i="1" a="1"/>
  <c r="O1874" i="1" s="1"/>
  <c r="O1870" i="1" a="1"/>
  <c r="O1870" i="1" s="1"/>
  <c r="L1874" i="1" a="1"/>
  <c r="L1874" i="1"/>
  <c r="N1871" i="1" a="1"/>
  <c r="N1871" i="1"/>
  <c r="K1874" i="1" a="1"/>
  <c r="K1874" i="1" s="1"/>
  <c r="J1874" i="1" a="1"/>
  <c r="J1874" i="1" s="1"/>
  <c r="I1872" i="1" a="1"/>
  <c r="I1872" i="1"/>
  <c r="Q1872" i="1" a="1"/>
  <c r="Q1872" i="1" s="1"/>
  <c r="M1872" i="1" a="1"/>
  <c r="M1872" i="1"/>
  <c r="J1872" i="1" a="1"/>
  <c r="J1872" i="1" s="1"/>
  <c r="G1871" i="1" a="1"/>
  <c r="G1871" i="1"/>
  <c r="H1872" i="1" a="1"/>
  <c r="H1872" i="1"/>
  <c r="F1872" i="1" a="1"/>
  <c r="F1872" i="1" s="1"/>
  <c r="K1871" i="1" a="1"/>
  <c r="K1871" i="1" s="1"/>
  <c r="L1872" i="1" a="1"/>
  <c r="L1872" i="1"/>
  <c r="L1871" i="1" a="1"/>
  <c r="L1871" i="1"/>
  <c r="O1872" i="1" a="1"/>
  <c r="O1872" i="1"/>
  <c r="L1870" i="1" a="1"/>
  <c r="L1870" i="1" s="1"/>
  <c r="P1868" i="1" a="1"/>
  <c r="P1868" i="1"/>
  <c r="G1874" i="1" a="1"/>
  <c r="G1874" i="1"/>
  <c r="P1872" i="1" a="1"/>
  <c r="P1872" i="1" s="1"/>
  <c r="H1871" i="1" a="1"/>
  <c r="H1871" i="1"/>
  <c r="Q1871" i="1" a="1"/>
  <c r="Q1871" i="1"/>
  <c r="I1864" i="1" a="1"/>
  <c r="I1864" i="1" s="1"/>
  <c r="Q1865" i="1" a="1"/>
  <c r="Q1865" i="1"/>
  <c r="O1865" i="1" a="1"/>
  <c r="O1865" i="1" s="1"/>
  <c r="J1865" i="1" a="1"/>
  <c r="J1865" i="1"/>
  <c r="M1864" i="1" a="1"/>
  <c r="M1864" i="1" s="1"/>
  <c r="N1864" i="1" a="1"/>
  <c r="N1864" i="1" s="1"/>
  <c r="G1861" i="1" a="1"/>
  <c r="G1861" i="1"/>
  <c r="J1861" i="1" a="1"/>
  <c r="J1861" i="1"/>
  <c r="K1861" i="1" a="1"/>
  <c r="K1861" i="1"/>
  <c r="O1864" i="1" a="1"/>
  <c r="O1864" i="1" s="1"/>
  <c r="M1868" i="1" a="1"/>
  <c r="M1868" i="1" s="1"/>
  <c r="L1868" i="1" a="1"/>
  <c r="L1868" i="1" s="1"/>
  <c r="N1867" i="1" a="1"/>
  <c r="N1867" i="1"/>
  <c r="P1865" i="1" a="1"/>
  <c r="P1865" i="1" s="1"/>
  <c r="Q1867" i="1" a="1"/>
  <c r="Q1867" i="1" s="1"/>
  <c r="I1861" i="1" a="1"/>
  <c r="I1861" i="1"/>
  <c r="L1867" i="1" a="1"/>
  <c r="L1867" i="1"/>
  <c r="H1867" i="1" a="1"/>
  <c r="H1867" i="1" s="1"/>
  <c r="F1864" i="1" a="1"/>
  <c r="F1864" i="1" s="1"/>
  <c r="I1865" i="1" a="1"/>
  <c r="I1865" i="1"/>
  <c r="L1861" i="1" a="1"/>
  <c r="L1861" i="1" s="1"/>
  <c r="N1865" i="1" a="1"/>
  <c r="N1865" i="1" s="1"/>
  <c r="P1864" i="1" a="1"/>
  <c r="P1864" i="1"/>
  <c r="M1867" i="1" a="1"/>
  <c r="M1867" i="1"/>
  <c r="F1867" i="1" a="1"/>
  <c r="F1867" i="1"/>
  <c r="H1864" i="1" a="1"/>
  <c r="H1864" i="1"/>
  <c r="H1861" i="1" a="1"/>
  <c r="H1861" i="1" s="1"/>
  <c r="K1868" i="1" a="1"/>
  <c r="K1868" i="1"/>
  <c r="P1861" i="1" a="1"/>
  <c r="P1861" i="1" s="1"/>
  <c r="J1868" i="1" a="1"/>
  <c r="J1868" i="1" s="1"/>
  <c r="K1864" i="1" a="1"/>
  <c r="K1864" i="1"/>
  <c r="I1868" i="1" a="1"/>
  <c r="I1868" i="1"/>
  <c r="P1867" i="1" a="1"/>
  <c r="P1867" i="1"/>
  <c r="M1865" i="1" a="1"/>
  <c r="M1865" i="1" s="1"/>
  <c r="J1864" i="1" a="1"/>
  <c r="J1864" i="1" s="1"/>
  <c r="H1868" i="1" a="1"/>
  <c r="H1868" i="1" s="1"/>
  <c r="G1868" i="1" a="1"/>
  <c r="G1868" i="1" s="1"/>
  <c r="O1867" i="1" a="1"/>
  <c r="O1867" i="1"/>
  <c r="K1867" i="1" a="1"/>
  <c r="K1867" i="1" s="1"/>
  <c r="M1861" i="1" a="1"/>
  <c r="M1861" i="1" s="1"/>
  <c r="I1867" i="1" a="1"/>
  <c r="I1867" i="1" s="1"/>
  <c r="Q1864" i="1" a="1"/>
  <c r="Q1864" i="1"/>
  <c r="J1867" i="1" a="1"/>
  <c r="J1867" i="1" s="1"/>
  <c r="O1861" i="1" a="1"/>
  <c r="O1861" i="1"/>
  <c r="F1865" i="1" a="1"/>
  <c r="F1865" i="1"/>
  <c r="H1865" i="1" a="1"/>
  <c r="H1865" i="1"/>
  <c r="N1861" i="1" a="1"/>
  <c r="N1861" i="1" s="1"/>
  <c r="G1867" i="1" a="1"/>
  <c r="G1867" i="1" s="1"/>
  <c r="G1864" i="1" a="1"/>
  <c r="G1864" i="1"/>
  <c r="L1864" i="1" a="1"/>
  <c r="L1864" i="1"/>
  <c r="K1865" i="1" a="1"/>
  <c r="K1865" i="1"/>
  <c r="L1865" i="1" a="1"/>
  <c r="L1865" i="1" s="1"/>
  <c r="Q1861" i="1" a="1"/>
  <c r="Q1861" i="1"/>
  <c r="G1865" i="1" a="1"/>
  <c r="G1865" i="1"/>
  <c r="F1868" i="1" a="1"/>
  <c r="F1868" i="1"/>
  <c r="N1857" i="1" a="1"/>
  <c r="N1857" i="1" s="1"/>
  <c r="Q1857" i="1" a="1"/>
  <c r="Q1857" i="1" s="1"/>
  <c r="L1857" i="1" a="1"/>
  <c r="L1857" i="1" s="1"/>
  <c r="F1855" i="1" a="1"/>
  <c r="F1855" i="1"/>
  <c r="P1855" i="1" a="1"/>
  <c r="P1855" i="1" s="1"/>
  <c r="O1855" i="1" a="1"/>
  <c r="O1855" i="1"/>
  <c r="G1855" i="1" a="1"/>
  <c r="G1855" i="1"/>
  <c r="I1855" i="1" a="1"/>
  <c r="I1855" i="1" s="1"/>
  <c r="N1855" i="1" a="1"/>
  <c r="N1855" i="1" s="1"/>
  <c r="M1855" i="1" a="1"/>
  <c r="M1855" i="1"/>
  <c r="H1855" i="1" a="1"/>
  <c r="H1855" i="1" s="1"/>
  <c r="P1857" i="1" a="1"/>
  <c r="P1857" i="1" s="1"/>
  <c r="H1857" i="1" a="1"/>
  <c r="H1857" i="1" s="1"/>
  <c r="F1857" i="1" a="1"/>
  <c r="F1857" i="1" s="1"/>
  <c r="I1857" i="1" a="1"/>
  <c r="I1857" i="1" s="1"/>
  <c r="K1859" i="1" a="1"/>
  <c r="K1859" i="1" s="1"/>
  <c r="Q1859" i="1" a="1"/>
  <c r="Q1859" i="1"/>
  <c r="L1855" i="1" a="1"/>
  <c r="L1855" i="1"/>
  <c r="F1861" i="1" a="1"/>
  <c r="F1861" i="1"/>
  <c r="K1857" i="1" a="1"/>
  <c r="K1857" i="1"/>
  <c r="J1857" i="1" a="1"/>
  <c r="J1857" i="1" s="1"/>
  <c r="J1859" i="1" a="1"/>
  <c r="J1859" i="1" s="1"/>
  <c r="G1857" i="1" a="1"/>
  <c r="G1857" i="1" s="1"/>
  <c r="N1859" i="1" a="1"/>
  <c r="N1859" i="1"/>
  <c r="P1859" i="1" a="1"/>
  <c r="P1859" i="1" s="1"/>
  <c r="O1859" i="1" a="1"/>
  <c r="O1859" i="1" s="1"/>
  <c r="M1859" i="1" a="1"/>
  <c r="M1859" i="1"/>
  <c r="K1855" i="1" a="1"/>
  <c r="K1855" i="1" s="1"/>
  <c r="L1859" i="1" a="1"/>
  <c r="L1859" i="1"/>
  <c r="O1857" i="1" a="1"/>
  <c r="O1857" i="1" s="1"/>
  <c r="I1859" i="1" a="1"/>
  <c r="I1859" i="1"/>
  <c r="H1859" i="1" a="1"/>
  <c r="H1859" i="1" s="1"/>
  <c r="Q1855" i="1" a="1"/>
  <c r="Q1855" i="1" s="1"/>
  <c r="M1857" i="1" a="1"/>
  <c r="M1857" i="1"/>
  <c r="J1855" i="1" a="1"/>
  <c r="J1855" i="1" s="1"/>
  <c r="G1859" i="1" a="1"/>
  <c r="G1859" i="1" s="1"/>
  <c r="F1859" i="1" a="1"/>
  <c r="F1859" i="1"/>
  <c r="K1853" i="1" a="1"/>
  <c r="K1853" i="1"/>
  <c r="G1850" i="1" a="1"/>
  <c r="G1850" i="1"/>
  <c r="L1851" i="1" a="1"/>
  <c r="L1851" i="1" s="1"/>
  <c r="J1848" i="1" a="1"/>
  <c r="J1848" i="1" s="1"/>
  <c r="M1851" i="1" a="1"/>
  <c r="M1851" i="1"/>
  <c r="Q1853" i="1" a="1"/>
  <c r="Q1853" i="1" s="1"/>
  <c r="P1853" i="1" a="1"/>
  <c r="P1853" i="1" s="1"/>
  <c r="F1853" i="1" a="1"/>
  <c r="F1853" i="1" s="1"/>
  <c r="O1853" i="1" a="1"/>
  <c r="O1853" i="1"/>
  <c r="N1853" i="1" a="1"/>
  <c r="N1853" i="1"/>
  <c r="M1853" i="1" a="1"/>
  <c r="M1853" i="1" s="1"/>
  <c r="J1853" i="1" a="1"/>
  <c r="J1853" i="1" s="1"/>
  <c r="H1851" i="1" a="1"/>
  <c r="H1851" i="1"/>
  <c r="I1853" i="1" a="1"/>
  <c r="I1853" i="1" s="1"/>
  <c r="H1853" i="1" a="1"/>
  <c r="H1853" i="1" s="1"/>
  <c r="G1851" i="1" a="1"/>
  <c r="G1851" i="1"/>
  <c r="G1853" i="1" a="1"/>
  <c r="G1853" i="1"/>
  <c r="I1848" i="1" a="1"/>
  <c r="I1848" i="1" s="1"/>
  <c r="J1851" i="1" a="1"/>
  <c r="J1851" i="1" s="1"/>
  <c r="L1850" i="1" a="1"/>
  <c r="L1850" i="1" s="1"/>
  <c r="O1848" i="1" a="1"/>
  <c r="O1848" i="1" s="1"/>
  <c r="M1848" i="1" a="1"/>
  <c r="M1848" i="1" s="1"/>
  <c r="N1850" i="1" a="1"/>
  <c r="N1850" i="1"/>
  <c r="M1850" i="1" a="1"/>
  <c r="M1850" i="1" s="1"/>
  <c r="H1850" i="1" a="1"/>
  <c r="H1850" i="1"/>
  <c r="K1848" i="1" a="1"/>
  <c r="K1848" i="1"/>
  <c r="J1850" i="1" a="1"/>
  <c r="J1850" i="1"/>
  <c r="F1851" i="1" a="1"/>
  <c r="F1851" i="1"/>
  <c r="N1848" i="1" a="1"/>
  <c r="N1848" i="1" s="1"/>
  <c r="K1850" i="1" a="1"/>
  <c r="K1850" i="1" s="1"/>
  <c r="P1850" i="1" a="1"/>
  <c r="P1850" i="1" s="1"/>
  <c r="P1848" i="1" a="1"/>
  <c r="P1848" i="1"/>
  <c r="L1848" i="1" a="1"/>
  <c r="L1848" i="1"/>
  <c r="Q1851" i="1" a="1"/>
  <c r="Q1851" i="1"/>
  <c r="P1851" i="1" a="1"/>
  <c r="P1851" i="1" s="1"/>
  <c r="O1851" i="1" a="1"/>
  <c r="O1851" i="1"/>
  <c r="N1851" i="1" a="1"/>
  <c r="N1851" i="1" s="1"/>
  <c r="I1851" i="1" a="1"/>
  <c r="I1851" i="1"/>
  <c r="I1850" i="1" a="1"/>
  <c r="I1850" i="1"/>
  <c r="O1850" i="1" a="1"/>
  <c r="O1850" i="1"/>
  <c r="K1851" i="1" a="1"/>
  <c r="K1851" i="1" s="1"/>
  <c r="Q1850" i="1" a="1"/>
  <c r="Q1850" i="1"/>
  <c r="H1848" i="1" a="1"/>
  <c r="H1848" i="1"/>
  <c r="Q1848" i="1" a="1"/>
  <c r="Q1848" i="1" s="1"/>
  <c r="F1850" i="1" a="1"/>
  <c r="F1850" i="1" s="1"/>
  <c r="L1853" i="1" a="1"/>
  <c r="L1853" i="1" s="1"/>
  <c r="N1845" i="1" a="1"/>
  <c r="N1845" i="1"/>
  <c r="G1845" i="1" a="1"/>
  <c r="G1845" i="1"/>
  <c r="K1846" i="1" a="1"/>
  <c r="K1846" i="1" s="1"/>
  <c r="M1845" i="1" a="1"/>
  <c r="M1845" i="1" s="1"/>
  <c r="L1846" i="1" a="1"/>
  <c r="L1846" i="1" s="1"/>
  <c r="Q1845" i="1" a="1"/>
  <c r="Q1845" i="1"/>
  <c r="K1845" i="1" a="1"/>
  <c r="K1845" i="1" s="1"/>
  <c r="I1845" i="1" a="1"/>
  <c r="I1845" i="1" s="1"/>
  <c r="I1846" i="1" a="1"/>
  <c r="I1846" i="1"/>
  <c r="H1845" i="1" a="1"/>
  <c r="H1845" i="1"/>
  <c r="H1846" i="1" a="1"/>
  <c r="H1846" i="1" s="1"/>
  <c r="F1846" i="1" a="1"/>
  <c r="F1846" i="1" s="1"/>
  <c r="Q1846" i="1" a="1"/>
  <c r="Q1846" i="1"/>
  <c r="O1846" i="1" a="1"/>
  <c r="O1846" i="1" s="1"/>
  <c r="O1845" i="1" a="1"/>
  <c r="O1845" i="1"/>
  <c r="J1845" i="1" a="1"/>
  <c r="J1845" i="1"/>
  <c r="L1845" i="1" a="1"/>
  <c r="L1845" i="1" s="1"/>
  <c r="M1846" i="1" a="1"/>
  <c r="M1846" i="1"/>
  <c r="G1846" i="1" a="1"/>
  <c r="G1846" i="1"/>
  <c r="N1846" i="1" a="1"/>
  <c r="N1846" i="1" s="1"/>
  <c r="P1846" i="1" a="1"/>
  <c r="P1846" i="1"/>
  <c r="J1846" i="1" a="1"/>
  <c r="J1846" i="1"/>
  <c r="G1848" i="1" a="1"/>
  <c r="G1848" i="1" s="1"/>
  <c r="F1845" i="1" a="1"/>
  <c r="F1845" i="1"/>
  <c r="P1845" i="1" a="1"/>
  <c r="P1845" i="1"/>
  <c r="F1848" i="1" a="1"/>
  <c r="F1848" i="1" s="1"/>
  <c r="Q1842" i="1" a="1"/>
  <c r="Q1842" i="1" s="1"/>
  <c r="H1840" i="1" a="1"/>
  <c r="H1840" i="1"/>
  <c r="I1840" i="1" a="1"/>
  <c r="I1840" i="1" s="1"/>
  <c r="F1838" i="1" a="1"/>
  <c r="F1838" i="1" s="1"/>
  <c r="Q1834" i="1" a="1"/>
  <c r="Q1834" i="1" s="1"/>
  <c r="I1836" i="1" a="1"/>
  <c r="I1836" i="1"/>
  <c r="O1842" i="1" a="1"/>
  <c r="O1842" i="1" s="1"/>
  <c r="J1836" i="1" a="1"/>
  <c r="J1836" i="1" s="1"/>
  <c r="L1842" i="1" a="1"/>
  <c r="L1842" i="1"/>
  <c r="Q1840" i="1" a="1"/>
  <c r="Q1840" i="1" s="1"/>
  <c r="L1840" i="1" a="1"/>
  <c r="L1840" i="1" s="1"/>
  <c r="J1840" i="1" a="1"/>
  <c r="J1840" i="1"/>
  <c r="O1838" i="1" a="1"/>
  <c r="O1838" i="1" s="1"/>
  <c r="J1838" i="1" a="1"/>
  <c r="J1838" i="1"/>
  <c r="K1836" i="1" a="1"/>
  <c r="K1836" i="1"/>
  <c r="N1834" i="1" a="1"/>
  <c r="N1834" i="1"/>
  <c r="F1840" i="1" a="1"/>
  <c r="F1840" i="1"/>
  <c r="K1838" i="1" a="1"/>
  <c r="K1838" i="1"/>
  <c r="I1842" i="1" a="1"/>
  <c r="I1842" i="1" s="1"/>
  <c r="G1840" i="1" a="1"/>
  <c r="G1840" i="1" s="1"/>
  <c r="I1838" i="1" a="1"/>
  <c r="I1838" i="1" s="1"/>
  <c r="G1838" i="1" a="1"/>
  <c r="G1838" i="1"/>
  <c r="N1836" i="1" a="1"/>
  <c r="N1836" i="1"/>
  <c r="P1840" i="1" a="1"/>
  <c r="P1840" i="1"/>
  <c r="M1838" i="1" a="1"/>
  <c r="M1838" i="1"/>
  <c r="P1842" i="1" a="1"/>
  <c r="P1842" i="1" s="1"/>
  <c r="F1842" i="1" a="1"/>
  <c r="F1842" i="1" s="1"/>
  <c r="P1838" i="1" a="1"/>
  <c r="P1838" i="1" s="1"/>
  <c r="N1842" i="1" a="1"/>
  <c r="N1842" i="1"/>
  <c r="M1842" i="1" a="1"/>
  <c r="M1842" i="1" s="1"/>
  <c r="H1842" i="1" a="1"/>
  <c r="H1842" i="1"/>
  <c r="G1842" i="1" a="1"/>
  <c r="G1842" i="1" s="1"/>
  <c r="N1838" i="1" a="1"/>
  <c r="N1838" i="1" s="1"/>
  <c r="M1836" i="1" a="1"/>
  <c r="M1836" i="1" s="1"/>
  <c r="H1836" i="1" a="1"/>
  <c r="H1836" i="1" s="1"/>
  <c r="P1834" i="1" a="1"/>
  <c r="P1834" i="1" s="1"/>
  <c r="G1836" i="1" a="1"/>
  <c r="G1836" i="1" s="1"/>
  <c r="K1842" i="1" a="1"/>
  <c r="K1842" i="1"/>
  <c r="J1842" i="1" a="1"/>
  <c r="J1842" i="1" s="1"/>
  <c r="K1840" i="1" a="1"/>
  <c r="K1840" i="1" s="1"/>
  <c r="Q1838" i="1" a="1"/>
  <c r="Q1838" i="1" s="1"/>
  <c r="O1836" i="1" a="1"/>
  <c r="O1836" i="1" s="1"/>
  <c r="M1840" i="1" a="1"/>
  <c r="M1840" i="1" s="1"/>
  <c r="L1836" i="1" a="1"/>
  <c r="L1836" i="1" s="1"/>
  <c r="Q1836" i="1" a="1"/>
  <c r="Q1836" i="1"/>
  <c r="O1834" i="1" a="1"/>
  <c r="O1834" i="1" s="1"/>
  <c r="O1840" i="1" a="1"/>
  <c r="O1840" i="1" s="1"/>
  <c r="H1838" i="1" a="1"/>
  <c r="H1838" i="1" s="1"/>
  <c r="N1840" i="1" a="1"/>
  <c r="N1840" i="1"/>
  <c r="L1838" i="1" a="1"/>
  <c r="L1838" i="1"/>
  <c r="F1836" i="1" a="1"/>
  <c r="F1836" i="1"/>
  <c r="P1836" i="1" a="1"/>
  <c r="P1836" i="1"/>
  <c r="G1831" i="1" a="1"/>
  <c r="G1831" i="1"/>
  <c r="Q1829" i="1" a="1"/>
  <c r="Q1829" i="1"/>
  <c r="L1827" i="1" a="1"/>
  <c r="L1827" i="1" s="1"/>
  <c r="J1834" i="1" a="1"/>
  <c r="J1834" i="1" s="1"/>
  <c r="K1834" i="1" a="1"/>
  <c r="K1834" i="1"/>
  <c r="M1831" i="1" a="1"/>
  <c r="M1831" i="1" s="1"/>
  <c r="H1829" i="1" a="1"/>
  <c r="H1829" i="1"/>
  <c r="I1834" i="1" a="1"/>
  <c r="I1834" i="1"/>
  <c r="F1834" i="1" a="1"/>
  <c r="F1834" i="1" s="1"/>
  <c r="K1832" i="1" a="1"/>
  <c r="K1832" i="1" s="1"/>
  <c r="I1831" i="1" a="1"/>
  <c r="I1831" i="1" s="1"/>
  <c r="G1832" i="1" a="1"/>
  <c r="G1832" i="1" s="1"/>
  <c r="I1832" i="1" a="1"/>
  <c r="I1832" i="1" s="1"/>
  <c r="Q1832" i="1" a="1"/>
  <c r="Q1832" i="1" s="1"/>
  <c r="L1832" i="1" a="1"/>
  <c r="L1832" i="1"/>
  <c r="M1832" i="1" a="1"/>
  <c r="M1832" i="1" s="1"/>
  <c r="Q1831" i="1" a="1"/>
  <c r="Q1831" i="1"/>
  <c r="J1831" i="1" a="1"/>
  <c r="J1831" i="1"/>
  <c r="K1831" i="1" a="1"/>
  <c r="K1831" i="1" s="1"/>
  <c r="J1829" i="1" a="1"/>
  <c r="J1829" i="1" s="1"/>
  <c r="N1827" i="1" a="1"/>
  <c r="N1827" i="1"/>
  <c r="K1827" i="1" a="1"/>
  <c r="K1827" i="1" s="1"/>
  <c r="G1829" i="1" a="1"/>
  <c r="G1829" i="1" s="1"/>
  <c r="G1834" i="1" a="1"/>
  <c r="G1834" i="1"/>
  <c r="F1832" i="1" a="1"/>
  <c r="F1832" i="1" s="1"/>
  <c r="O1832" i="1" a="1"/>
  <c r="O1832" i="1" s="1"/>
  <c r="P1831" i="1" a="1"/>
  <c r="P1831" i="1" s="1"/>
  <c r="N1832" i="1" a="1"/>
  <c r="N1832" i="1"/>
  <c r="F1829" i="1" a="1"/>
  <c r="F1829" i="1"/>
  <c r="J1832" i="1" a="1"/>
  <c r="J1832" i="1"/>
  <c r="O1831" i="1" a="1"/>
  <c r="O1831" i="1"/>
  <c r="H1831" i="1" a="1"/>
  <c r="H1831" i="1"/>
  <c r="M1827" i="1" a="1"/>
  <c r="M1827" i="1"/>
  <c r="P1827" i="1" a="1"/>
  <c r="P1827" i="1" s="1"/>
  <c r="M1829" i="1" a="1"/>
  <c r="M1829" i="1" s="1"/>
  <c r="H1832" i="1" a="1"/>
  <c r="H1832" i="1" s="1"/>
  <c r="F1831" i="1" a="1"/>
  <c r="F1831" i="1" s="1"/>
  <c r="P1829" i="1" a="1"/>
  <c r="P1829" i="1"/>
  <c r="O1829" i="1" a="1"/>
  <c r="O1829" i="1"/>
  <c r="N1829" i="1" a="1"/>
  <c r="N1829" i="1"/>
  <c r="L1829" i="1" a="1"/>
  <c r="L1829" i="1" s="1"/>
  <c r="I1827" i="1" a="1"/>
  <c r="I1827" i="1" s="1"/>
  <c r="Q1827" i="1" a="1"/>
  <c r="Q1827" i="1" s="1"/>
  <c r="J1827" i="1" a="1"/>
  <c r="J1827" i="1"/>
  <c r="O1827" i="1" a="1"/>
  <c r="O1827" i="1" s="1"/>
  <c r="K1829" i="1" a="1"/>
  <c r="K1829" i="1" s="1"/>
  <c r="I1829" i="1" a="1"/>
  <c r="I1829" i="1"/>
  <c r="N1831" i="1" a="1"/>
  <c r="N1831" i="1"/>
  <c r="M1834" i="1" a="1"/>
  <c r="M1834" i="1" s="1"/>
  <c r="L1834" i="1" a="1"/>
  <c r="L1834" i="1" s="1"/>
  <c r="H1834" i="1" a="1"/>
  <c r="H1834" i="1" s="1"/>
  <c r="P1832" i="1" a="1"/>
  <c r="P1832" i="1"/>
  <c r="L1831" i="1" a="1"/>
  <c r="L1831" i="1" s="1"/>
  <c r="J1053" i="1" a="1"/>
  <c r="J1053" i="1" s="1"/>
  <c r="I1054" i="1" a="1"/>
  <c r="I1054" i="1" s="1"/>
  <c r="O1054" i="1" a="1"/>
  <c r="O1054" i="1" s="1"/>
  <c r="M1053" i="1" a="1"/>
  <c r="M1053" i="1"/>
  <c r="P1053" i="1" a="1"/>
  <c r="P1053" i="1" s="1"/>
  <c r="P1051" i="1" a="1"/>
  <c r="P1051" i="1" s="1"/>
  <c r="J1051" i="1" a="1"/>
  <c r="J1051" i="1" s="1"/>
  <c r="F1054" i="1" a="1"/>
  <c r="F1054" i="1"/>
  <c r="P1054" i="1" a="1"/>
  <c r="P1054" i="1"/>
  <c r="F1051" i="1"/>
  <c r="H1041" i="1" a="1"/>
  <c r="H1041" i="1" s="1"/>
  <c r="Q1041" i="1" a="1"/>
  <c r="Q1041" i="1" s="1"/>
  <c r="I1041" i="1" a="1"/>
  <c r="I1041" i="1" s="1"/>
  <c r="N1041" i="1" a="1"/>
  <c r="N1041" i="1" s="1"/>
  <c r="L1041" i="1" a="1"/>
  <c r="L1041" i="1"/>
  <c r="P1041" i="1" a="1"/>
  <c r="P1041" i="1" s="1"/>
  <c r="J1041" i="1" a="1"/>
  <c r="J1041" i="1" s="1"/>
  <c r="K1041" i="1" a="1"/>
  <c r="K1041" i="1" s="1"/>
  <c r="M1041" i="1" a="1"/>
  <c r="M1041" i="1" s="1"/>
  <c r="O1041" i="1" a="1"/>
  <c r="O1041" i="1"/>
  <c r="P1032" i="1" a="1"/>
  <c r="P1032" i="1" s="1"/>
  <c r="N1029" i="1" a="1"/>
  <c r="N1029" i="1" s="1"/>
  <c r="O1027" i="1" a="1"/>
  <c r="O1027" i="1"/>
  <c r="L1029" i="1" a="1"/>
  <c r="L1029" i="1" s="1"/>
  <c r="J1029" i="1" a="1"/>
  <c r="J1029" i="1" s="1"/>
  <c r="I1029" i="1" a="1"/>
  <c r="I1029" i="1"/>
  <c r="N1039" i="1" a="1"/>
  <c r="N1039" i="1"/>
  <c r="K1027" i="1" a="1"/>
  <c r="K1027" i="1" s="1"/>
  <c r="G1041" i="1" a="1"/>
  <c r="G1041" i="1"/>
  <c r="F1041" i="1" a="1"/>
  <c r="F1041" i="1" s="1"/>
  <c r="Q1039" i="1" a="1"/>
  <c r="Q1039" i="1"/>
  <c r="H1032" i="1" a="1"/>
  <c r="H1032" i="1"/>
  <c r="P1039" i="1" a="1"/>
  <c r="P1039" i="1"/>
  <c r="O1039" i="1" a="1"/>
  <c r="O1039" i="1" s="1"/>
  <c r="F1039" i="1" a="1"/>
  <c r="F1039" i="1" s="1"/>
  <c r="G1032" i="1" a="1"/>
  <c r="G1032" i="1"/>
  <c r="G1029" i="1" a="1"/>
  <c r="G1029" i="1" s="1"/>
  <c r="P1027" i="1" a="1"/>
  <c r="P1027" i="1"/>
  <c r="H1039" i="1" a="1"/>
  <c r="H1039" i="1"/>
  <c r="Q1027" i="1" a="1"/>
  <c r="Q1027" i="1" s="1"/>
  <c r="M1039" i="1" a="1"/>
  <c r="M1039" i="1" s="1"/>
  <c r="L1032" i="1" a="1"/>
  <c r="L1032" i="1" s="1"/>
  <c r="M1029" i="1" a="1"/>
  <c r="M1029" i="1" s="1"/>
  <c r="K1039" i="1" a="1"/>
  <c r="K1039" i="1" s="1"/>
  <c r="G1039" i="1" a="1"/>
  <c r="G1039" i="1" s="1"/>
  <c r="J1032" i="1" a="1"/>
  <c r="J1032" i="1"/>
  <c r="P1029" i="1" a="1"/>
  <c r="P1029" i="1"/>
  <c r="H1029" i="1" a="1"/>
  <c r="H1029" i="1" s="1"/>
  <c r="N1027" i="1" a="1"/>
  <c r="N1027" i="1" s="1"/>
  <c r="F1029" i="1" a="1"/>
  <c r="F1029" i="1" s="1"/>
  <c r="L1039" i="1" a="1"/>
  <c r="L1039" i="1" s="1"/>
  <c r="I1032" i="1" a="1"/>
  <c r="I1032" i="1"/>
  <c r="F1032" i="1" a="1"/>
  <c r="F1032" i="1" s="1"/>
  <c r="Q1029" i="1" a="1"/>
  <c r="Q1029" i="1" s="1"/>
  <c r="J1039" i="1" a="1"/>
  <c r="J1039" i="1"/>
  <c r="O1032" i="1" a="1"/>
  <c r="O1032" i="1" s="1"/>
  <c r="J1027" i="1" a="1"/>
  <c r="J1027" i="1" s="1"/>
  <c r="I1039" i="1" a="1"/>
  <c r="I1039" i="1"/>
  <c r="K1032" i="1" a="1"/>
  <c r="K1032" i="1" s="1"/>
  <c r="N1032" i="1" a="1"/>
  <c r="N1032" i="1" s="1"/>
  <c r="Q1032" i="1" a="1"/>
  <c r="Q1032" i="1" s="1"/>
  <c r="K1029" i="1" a="1"/>
  <c r="K1029" i="1"/>
  <c r="M1032" i="1" a="1"/>
  <c r="M1032" i="1" s="1"/>
  <c r="L1027" i="1" a="1"/>
  <c r="L1027" i="1" s="1"/>
  <c r="O1029" i="1" a="1"/>
  <c r="O1029" i="1"/>
  <c r="M1027" i="1" a="1"/>
  <c r="M1027" i="1" s="1"/>
  <c r="P1008" i="1" a="1"/>
  <c r="P1008" i="1"/>
  <c r="M1024" i="1" a="1"/>
  <c r="M1024" i="1"/>
  <c r="L1024" i="1" a="1"/>
  <c r="L1024" i="1" s="1"/>
  <c r="I1024" i="1" a="1"/>
  <c r="I1024" i="1" s="1"/>
  <c r="L1008" i="1" a="1"/>
  <c r="L1008" i="1" s="1"/>
  <c r="L1054" i="1" s="1" a="1"/>
  <c r="L1054" i="1" s="1"/>
  <c r="N1024" i="1" a="1"/>
  <c r="N1024" i="1" s="1"/>
  <c r="I1027" i="1" a="1"/>
  <c r="I1027" i="1" s="1"/>
  <c r="H1027" i="1" a="1"/>
  <c r="H1027" i="1" s="1"/>
  <c r="F1027" i="1" a="1"/>
  <c r="F1027" i="1" s="1"/>
  <c r="H1008" i="1" a="1"/>
  <c r="H1008" i="1" s="1"/>
  <c r="H1054" i="1" s="1" a="1"/>
  <c r="H1054" i="1" s="1"/>
  <c r="P1024" i="1" a="1"/>
  <c r="P1024" i="1"/>
  <c r="F1024" i="1" a="1"/>
  <c r="F1024" i="1"/>
  <c r="G1027" i="1" a="1"/>
  <c r="G1027" i="1" s="1"/>
  <c r="O1008" i="1" a="1"/>
  <c r="O1008" i="1" s="1"/>
  <c r="K1024" i="1" a="1"/>
  <c r="K1024" i="1"/>
  <c r="Q1008" i="1" a="1"/>
  <c r="Q1008" i="1" s="1"/>
  <c r="Q1054" i="1" s="1" a="1"/>
  <c r="Q1054" i="1" s="1"/>
  <c r="J1008" i="1" a="1"/>
  <c r="J1008" i="1"/>
  <c r="J1054" i="1" s="1" a="1"/>
  <c r="J1054" i="1" s="1"/>
  <c r="I1008" i="1" a="1"/>
  <c r="I1008" i="1" s="1"/>
  <c r="Q1024" i="1" a="1"/>
  <c r="Q1024" i="1" s="1"/>
  <c r="O1024" i="1" a="1"/>
  <c r="O1024" i="1"/>
  <c r="H1024" i="1" a="1"/>
  <c r="H1024" i="1"/>
  <c r="J1024" i="1" a="1"/>
  <c r="J1024" i="1"/>
  <c r="M1008" i="1" a="1"/>
  <c r="M1008" i="1"/>
  <c r="M1054" i="1" s="1" a="1"/>
  <c r="M1054" i="1" s="1"/>
  <c r="N1008" i="1" a="1"/>
  <c r="N1008" i="1" s="1"/>
  <c r="N1054" i="1" s="1" a="1"/>
  <c r="N1054" i="1" s="1"/>
  <c r="K1008" i="1" a="1"/>
  <c r="K1008" i="1" s="1"/>
  <c r="K1054" i="1" s="1" a="1"/>
  <c r="K1054" i="1" s="1"/>
  <c r="G1008" i="1" a="1"/>
  <c r="G1008" i="1" s="1"/>
  <c r="G1054" i="1" s="1" a="1"/>
  <c r="G1054" i="1" s="1"/>
  <c r="F1008" i="1" a="1"/>
  <c r="F1008" i="1"/>
  <c r="G1024" i="1" a="1"/>
  <c r="G1024" i="1"/>
  <c r="Q998" i="1" a="1"/>
  <c r="Q998" i="1" s="1"/>
  <c r="K991" i="1" a="1"/>
  <c r="K991" i="1"/>
  <c r="M998" i="1" a="1"/>
  <c r="M998" i="1"/>
  <c r="H998" i="1" a="1"/>
  <c r="H998" i="1" s="1"/>
  <c r="I991" i="1" a="1"/>
  <c r="I991" i="1" s="1"/>
  <c r="L999" i="1" a="1"/>
  <c r="L999" i="1" s="1"/>
  <c r="L1051" i="1" s="1" a="1"/>
  <c r="L1051" i="1" s="1"/>
  <c r="O999" i="1" a="1"/>
  <c r="O999" i="1" s="1"/>
  <c r="O1051" i="1" s="1" a="1"/>
  <c r="O1051" i="1" s="1"/>
  <c r="M991" i="1" a="1"/>
  <c r="M991" i="1"/>
  <c r="P991" i="1" a="1"/>
  <c r="P991" i="1" s="1"/>
  <c r="O991" i="1" a="1"/>
  <c r="O991" i="1" s="1"/>
  <c r="Q991" i="1" a="1"/>
  <c r="Q991" i="1" s="1"/>
  <c r="H991" i="1" a="1"/>
  <c r="H991" i="1" s="1"/>
  <c r="N999" i="1" a="1"/>
  <c r="N999" i="1" s="1"/>
  <c r="N1051" i="1" s="1" a="1"/>
  <c r="N1051" i="1" s="1"/>
  <c r="K999" i="1" a="1"/>
  <c r="K999" i="1"/>
  <c r="K1051" i="1" s="1" a="1"/>
  <c r="K1051" i="1" s="1"/>
  <c r="P998" i="1" a="1"/>
  <c r="P998" i="1" s="1"/>
  <c r="N998" i="1" a="1"/>
  <c r="N998" i="1"/>
  <c r="G998" i="1" a="1"/>
  <c r="G998" i="1" s="1"/>
  <c r="G991" i="1" a="1"/>
  <c r="G991" i="1" s="1"/>
  <c r="F991" i="1" a="1"/>
  <c r="F991" i="1"/>
  <c r="K998" i="1" a="1"/>
  <c r="K998" i="1"/>
  <c r="F999" i="1" a="1"/>
  <c r="F999" i="1"/>
  <c r="F1051" i="1" s="1" a="1"/>
  <c r="L998" i="1" a="1"/>
  <c r="L998" i="1" s="1"/>
  <c r="N991" i="1" a="1"/>
  <c r="N991" i="1" s="1"/>
  <c r="G999" i="1" a="1"/>
  <c r="G999" i="1" s="1"/>
  <c r="G1051" i="1" s="1" a="1"/>
  <c r="G1051" i="1" s="1"/>
  <c r="J991" i="1" a="1"/>
  <c r="J991" i="1"/>
  <c r="Q999" i="1" a="1"/>
  <c r="Q999" i="1"/>
  <c r="Q1051" i="1" s="1" a="1"/>
  <c r="Q1051" i="1" s="1"/>
  <c r="P999" i="1" a="1"/>
  <c r="P999" i="1"/>
  <c r="M999" i="1" a="1"/>
  <c r="M999" i="1"/>
  <c r="M1051" i="1" s="1" a="1"/>
  <c r="M1051" i="1" s="1"/>
  <c r="J999" i="1" a="1"/>
  <c r="J999" i="1"/>
  <c r="O998" i="1" a="1"/>
  <c r="O998" i="1" s="1"/>
  <c r="J998" i="1" a="1"/>
  <c r="J998" i="1" s="1"/>
  <c r="F998" i="1" a="1"/>
  <c r="F998" i="1" s="1"/>
  <c r="I999" i="1" a="1"/>
  <c r="I999" i="1" s="1"/>
  <c r="I1051" i="1" s="1" a="1"/>
  <c r="I1051" i="1" s="1"/>
  <c r="I998" i="1" a="1"/>
  <c r="I998" i="1"/>
  <c r="L991" i="1" a="1"/>
  <c r="L991" i="1"/>
  <c r="H999" i="1" a="1"/>
  <c r="H999" i="1" s="1"/>
  <c r="H1051" i="1" s="1" a="1"/>
  <c r="H1051" i="1" s="1"/>
  <c r="F979" i="1" a="1"/>
  <c r="F979" i="1"/>
  <c r="F1053" i="1" s="1" a="1"/>
  <c r="F1053" i="1" s="1"/>
  <c r="M978" i="1" a="1"/>
  <c r="M978" i="1" s="1"/>
  <c r="O976" i="1" a="1"/>
  <c r="O976" i="1" s="1"/>
  <c r="P976" i="1" a="1"/>
  <c r="P976" i="1" s="1"/>
  <c r="G979" i="1" a="1"/>
  <c r="G979" i="1"/>
  <c r="G1053" i="1" s="1" a="1"/>
  <c r="G1053" i="1" s="1"/>
  <c r="N975" i="1" a="1"/>
  <c r="N975" i="1"/>
  <c r="I978" i="1" a="1"/>
  <c r="I978" i="1" s="1"/>
  <c r="Q985" i="1" a="1"/>
  <c r="Q985" i="1" s="1"/>
  <c r="M979" i="1" a="1"/>
  <c r="M979" i="1"/>
  <c r="I979" i="1" a="1"/>
  <c r="I979" i="1" s="1"/>
  <c r="I1053" i="1" s="1" a="1"/>
  <c r="I1053" i="1" s="1"/>
  <c r="P985" i="1" a="1"/>
  <c r="P985" i="1"/>
  <c r="O985" i="1" a="1"/>
  <c r="O985" i="1"/>
  <c r="N985" i="1" a="1"/>
  <c r="N985" i="1"/>
  <c r="K985" i="1" a="1"/>
  <c r="K985" i="1"/>
  <c r="M975" i="1" a="1"/>
  <c r="M975" i="1" s="1"/>
  <c r="J979" i="1" a="1"/>
  <c r="J979" i="1" s="1"/>
  <c r="I985" i="1" a="1"/>
  <c r="I985" i="1"/>
  <c r="K979" i="1" a="1"/>
  <c r="K979" i="1" s="1"/>
  <c r="K1053" i="1" s="1" a="1"/>
  <c r="K1053" i="1" s="1"/>
  <c r="H976" i="1" a="1"/>
  <c r="H976" i="1" s="1"/>
  <c r="N978" i="1" a="1"/>
  <c r="N978" i="1"/>
  <c r="P975" i="1" a="1"/>
  <c r="P975" i="1"/>
  <c r="G978" i="1" a="1"/>
  <c r="G978" i="1" s="1"/>
  <c r="I976" i="1" a="1"/>
  <c r="I976" i="1" s="1"/>
  <c r="H985" i="1" a="1"/>
  <c r="H985" i="1" s="1"/>
  <c r="G985" i="1" a="1"/>
  <c r="G985" i="1" s="1"/>
  <c r="G976" i="1" a="1"/>
  <c r="G976" i="1"/>
  <c r="O975" i="1" a="1"/>
  <c r="O975" i="1" s="1"/>
  <c r="N979" i="1" a="1"/>
  <c r="N979" i="1" s="1"/>
  <c r="N1053" i="1" s="1" a="1"/>
  <c r="N1053" i="1" s="1"/>
  <c r="Q975" i="1" a="1"/>
  <c r="Q975" i="1" s="1"/>
  <c r="Q978" i="1" a="1"/>
  <c r="Q978" i="1" s="1"/>
  <c r="L978" i="1" a="1"/>
  <c r="L978" i="1"/>
  <c r="K978" i="1" a="1"/>
  <c r="K978" i="1" s="1"/>
  <c r="F978" i="1" a="1"/>
  <c r="F978" i="1" s="1"/>
  <c r="N976" i="1" a="1"/>
  <c r="N976" i="1"/>
  <c r="M985" i="1" a="1"/>
  <c r="M985" i="1"/>
  <c r="L985" i="1" a="1"/>
  <c r="L985" i="1" s="1"/>
  <c r="J976" i="1" a="1"/>
  <c r="J976" i="1" s="1"/>
  <c r="M976" i="1" a="1"/>
  <c r="M976" i="1" s="1"/>
  <c r="J985" i="1" a="1"/>
  <c r="J985" i="1"/>
  <c r="O979" i="1" a="1"/>
  <c r="O979" i="1"/>
  <c r="O1053" i="1" s="1" a="1"/>
  <c r="O1053" i="1" s="1"/>
  <c r="F976" i="1" a="1"/>
  <c r="F976" i="1"/>
  <c r="L979" i="1" a="1"/>
  <c r="L979" i="1"/>
  <c r="L1053" i="1" s="1" a="1"/>
  <c r="L1053" i="1" s="1"/>
  <c r="F985" i="1" a="1"/>
  <c r="F985" i="1"/>
  <c r="H979" i="1" a="1"/>
  <c r="H979" i="1"/>
  <c r="H1053" i="1" s="1" a="1"/>
  <c r="H1053" i="1" s="1"/>
  <c r="Q979" i="1" a="1"/>
  <c r="Q979" i="1"/>
  <c r="Q1053" i="1" s="1" a="1"/>
  <c r="Q1053" i="1" s="1"/>
  <c r="L976" i="1" a="1"/>
  <c r="L976" i="1"/>
  <c r="P978" i="1" a="1"/>
  <c r="P978" i="1"/>
  <c r="Q976" i="1" a="1"/>
  <c r="Q976" i="1" s="1"/>
  <c r="J978" i="1" a="1"/>
  <c r="J978" i="1" s="1"/>
  <c r="O978" i="1" a="1"/>
  <c r="O978" i="1" s="1"/>
  <c r="H978" i="1" a="1"/>
  <c r="H978" i="1"/>
  <c r="P979" i="1" a="1"/>
  <c r="P979" i="1" s="1"/>
  <c r="K976" i="1" a="1"/>
  <c r="K976" i="1" s="1"/>
  <c r="L975" i="1" a="1"/>
  <c r="L975" i="1" s="1"/>
  <c r="F975" i="1" a="1"/>
  <c r="F975" i="1"/>
  <c r="K975" i="1" a="1"/>
  <c r="K975" i="1" s="1"/>
  <c r="J975" i="1" a="1"/>
  <c r="J975" i="1"/>
  <c r="I975" i="1" a="1"/>
  <c r="I975" i="1"/>
  <c r="H975" i="1" a="1"/>
  <c r="H975" i="1" s="1"/>
  <c r="G975" i="1" a="1"/>
  <c r="G975" i="1" s="1"/>
  <c r="Q928" i="1" a="1"/>
  <c r="Q928" i="1" s="1"/>
  <c r="N914" i="1" a="1"/>
  <c r="N914" i="1"/>
  <c r="J916" i="1" a="1"/>
  <c r="J916" i="1" s="1"/>
  <c r="P914" i="1" a="1"/>
  <c r="P914" i="1"/>
  <c r="I916" i="1" a="1"/>
  <c r="I916" i="1" s="1"/>
  <c r="K914" i="1" a="1"/>
  <c r="K914" i="1" s="1"/>
  <c r="P916" i="1" a="1"/>
  <c r="P916" i="1" s="1"/>
  <c r="P928" i="1" a="1"/>
  <c r="P928" i="1" s="1"/>
  <c r="L916" i="1" a="1"/>
  <c r="L916" i="1"/>
  <c r="G928" i="1" a="1"/>
  <c r="G928" i="1" s="1"/>
  <c r="F928" i="1" a="1"/>
  <c r="F928" i="1"/>
  <c r="Q914" i="1" a="1"/>
  <c r="Q914" i="1"/>
  <c r="I914" i="1" a="1"/>
  <c r="I914" i="1" s="1"/>
  <c r="L914" i="1" a="1"/>
  <c r="L914" i="1" s="1"/>
  <c r="L928" i="1" a="1"/>
  <c r="L928" i="1"/>
  <c r="J928" i="1" a="1"/>
  <c r="J928" i="1"/>
  <c r="H914" i="1" a="1"/>
  <c r="H914" i="1"/>
  <c r="O928" i="1" a="1"/>
  <c r="O928" i="1" s="1"/>
  <c r="N928" i="1" a="1"/>
  <c r="N928" i="1" s="1"/>
  <c r="M928" i="1" a="1"/>
  <c r="M928" i="1" s="1"/>
  <c r="M914" i="1" a="1"/>
  <c r="M914" i="1"/>
  <c r="K928" i="1" a="1"/>
  <c r="K928" i="1" s="1"/>
  <c r="I928" i="1" a="1"/>
  <c r="I928" i="1" s="1"/>
  <c r="H928" i="1" a="1"/>
  <c r="H928" i="1"/>
  <c r="O914" i="1" a="1"/>
  <c r="O914" i="1" s="1"/>
  <c r="Q916" i="1" a="1"/>
  <c r="Q916" i="1" s="1"/>
  <c r="H916" i="1" a="1"/>
  <c r="H916" i="1"/>
  <c r="G916" i="1" a="1"/>
  <c r="G916" i="1"/>
  <c r="F914" i="1" a="1"/>
  <c r="F914" i="1" s="1"/>
  <c r="O916" i="1" a="1"/>
  <c r="O916" i="1" s="1"/>
  <c r="N916" i="1" a="1"/>
  <c r="N916" i="1" s="1"/>
  <c r="J914" i="1" a="1"/>
  <c r="J914" i="1" s="1"/>
  <c r="G914" i="1" a="1"/>
  <c r="G914" i="1"/>
  <c r="M916" i="1" a="1"/>
  <c r="M916" i="1" s="1"/>
  <c r="K916" i="1" a="1"/>
  <c r="K916" i="1" s="1"/>
  <c r="F916" i="1" a="1"/>
  <c r="F916" i="1" s="1"/>
  <c r="K896" i="1" a="1"/>
  <c r="K896" i="1" s="1"/>
  <c r="P896" i="1" a="1"/>
  <c r="P896" i="1"/>
  <c r="M896" i="1" a="1"/>
  <c r="M896" i="1"/>
  <c r="H885" i="1" a="1"/>
  <c r="H885" i="1"/>
  <c r="P884" i="1" a="1"/>
  <c r="P884" i="1" s="1"/>
  <c r="O884" i="1" a="1"/>
  <c r="O884" i="1" s="1"/>
  <c r="L884" i="1" a="1"/>
  <c r="L884" i="1"/>
  <c r="K884" i="1" a="1"/>
  <c r="K884" i="1" s="1"/>
  <c r="H884" i="1" a="1"/>
  <c r="H884" i="1" s="1"/>
  <c r="K885" i="1" a="1"/>
  <c r="K885" i="1"/>
  <c r="Q885" i="1" a="1"/>
  <c r="Q885" i="1"/>
  <c r="P885" i="1" a="1"/>
  <c r="P885" i="1" s="1"/>
  <c r="Q884" i="1" a="1"/>
  <c r="Q884" i="1"/>
  <c r="G896" i="1" a="1"/>
  <c r="G896" i="1" s="1"/>
  <c r="N885" i="1" a="1"/>
  <c r="N885" i="1" s="1"/>
  <c r="J885" i="1" a="1"/>
  <c r="J885" i="1" s="1"/>
  <c r="J884" i="1" a="1"/>
  <c r="J884" i="1"/>
  <c r="O885" i="1" a="1"/>
  <c r="O885" i="1"/>
  <c r="I885" i="1" a="1"/>
  <c r="I885" i="1"/>
  <c r="M884" i="1" a="1"/>
  <c r="M884" i="1"/>
  <c r="Q896" i="1" a="1"/>
  <c r="Q896" i="1"/>
  <c r="O896" i="1" a="1"/>
  <c r="O896" i="1"/>
  <c r="L896" i="1" a="1"/>
  <c r="L896" i="1" s="1"/>
  <c r="F885" i="1" a="1"/>
  <c r="F885" i="1" s="1"/>
  <c r="I884" i="1" a="1"/>
  <c r="I884" i="1" s="1"/>
  <c r="F884" i="1" a="1"/>
  <c r="F884" i="1" s="1"/>
  <c r="F896" i="1" a="1"/>
  <c r="F896" i="1" s="1"/>
  <c r="G884" i="1" a="1"/>
  <c r="G884" i="1" s="1"/>
  <c r="I896" i="1" a="1"/>
  <c r="I896" i="1" s="1"/>
  <c r="I925" i="1" s="1"/>
  <c r="I924" i="1" s="1"/>
  <c r="M885" i="1" a="1"/>
  <c r="M885" i="1" s="1"/>
  <c r="H896" i="1" a="1"/>
  <c r="H896" i="1"/>
  <c r="H925" i="1" s="1"/>
  <c r="H924" i="1" s="1"/>
  <c r="L885" i="1" a="1"/>
  <c r="L885" i="1"/>
  <c r="G885" i="1" a="1"/>
  <c r="G885" i="1"/>
  <c r="N884" i="1" a="1"/>
  <c r="N884" i="1" s="1"/>
  <c r="N896" i="1" a="1"/>
  <c r="N896" i="1"/>
  <c r="J896" i="1" a="1"/>
  <c r="J896" i="1"/>
  <c r="J2308" i="1" a="1"/>
  <c r="J2308" i="1"/>
  <c r="N2308" i="1" a="1"/>
  <c r="N2308" i="1"/>
  <c r="K2308" i="1" a="1"/>
  <c r="K2308" i="1"/>
  <c r="I2308" i="1" a="1"/>
  <c r="I2308" i="1" s="1"/>
  <c r="G2308" i="1" a="1"/>
  <c r="G2308" i="1" s="1"/>
  <c r="F2308" i="1" a="1"/>
  <c r="F2308" i="1"/>
  <c r="G2310" i="1" a="1"/>
  <c r="G2310" i="1"/>
  <c r="F2310" i="1" a="1"/>
  <c r="F2310" i="1"/>
  <c r="M2308" i="1" a="1"/>
  <c r="M2308" i="1" s="1"/>
  <c r="L2312" i="1" a="1"/>
  <c r="L2312" i="1" s="1"/>
  <c r="K2312" i="1" a="1"/>
  <c r="K2312" i="1"/>
  <c r="J2312" i="1" a="1"/>
  <c r="J2312" i="1"/>
  <c r="I2312" i="1" a="1"/>
  <c r="I2312" i="1"/>
  <c r="Q2310" i="1" a="1"/>
  <c r="Q2310" i="1" s="1"/>
  <c r="H2312" i="1" a="1"/>
  <c r="H2312" i="1" s="1"/>
  <c r="G2312" i="1" a="1"/>
  <c r="G2312" i="1"/>
  <c r="M2310" i="1" a="1"/>
  <c r="M2310" i="1"/>
  <c r="F2312" i="1" a="1"/>
  <c r="F2312" i="1"/>
  <c r="N2310" i="1" a="1"/>
  <c r="N2310" i="1"/>
  <c r="Q2308" i="1" a="1"/>
  <c r="Q2308" i="1" s="1"/>
  <c r="P2310" i="1" a="1"/>
  <c r="P2310" i="1"/>
  <c r="O2310" i="1" a="1"/>
  <c r="O2310" i="1" s="1"/>
  <c r="L2310" i="1" a="1"/>
  <c r="L2310" i="1" s="1"/>
  <c r="K2310" i="1" a="1"/>
  <c r="K2310" i="1" s="1"/>
  <c r="J2310" i="1" a="1"/>
  <c r="J2310" i="1"/>
  <c r="H2308" i="1" a="1"/>
  <c r="H2308" i="1"/>
  <c r="L2308" i="1" a="1"/>
  <c r="L2308" i="1"/>
  <c r="I2310" i="1" a="1"/>
  <c r="I2310" i="1" s="1"/>
  <c r="H2310" i="1" a="1"/>
  <c r="H2310" i="1" s="1"/>
  <c r="P2308" i="1" a="1"/>
  <c r="P2308" i="1" s="1"/>
  <c r="O2308" i="1" a="1"/>
  <c r="O2308" i="1" s="1"/>
  <c r="M2300" i="1" a="1"/>
  <c r="M2300" i="1"/>
  <c r="Q2300" i="1" a="1"/>
  <c r="Q2300" i="1" s="1"/>
  <c r="K2302" i="1" a="1"/>
  <c r="K2302" i="1"/>
  <c r="O2300" i="1" a="1"/>
  <c r="O2300" i="1"/>
  <c r="P2304" i="1" a="1"/>
  <c r="P2304" i="1"/>
  <c r="L2302" i="1" a="1"/>
  <c r="L2302" i="1" s="1"/>
  <c r="L2304" i="1" a="1"/>
  <c r="L2304" i="1" s="1"/>
  <c r="N2306" i="1" a="1"/>
  <c r="N2306" i="1" s="1"/>
  <c r="M2306" i="1" a="1"/>
  <c r="M2306" i="1"/>
  <c r="L2303" i="1" a="1"/>
  <c r="L2303" i="1"/>
  <c r="H2306" i="1" a="1"/>
  <c r="H2306" i="1" s="1"/>
  <c r="L2306" i="1" a="1"/>
  <c r="L2306" i="1" s="1"/>
  <c r="M2303" i="1" a="1"/>
  <c r="M2303" i="1" s="1"/>
  <c r="M2304" i="1" a="1"/>
  <c r="M2304" i="1" s="1"/>
  <c r="K2304" i="1" a="1"/>
  <c r="K2304" i="1" s="1"/>
  <c r="I2302" i="1" a="1"/>
  <c r="I2302" i="1" s="1"/>
  <c r="H2304" i="1" a="1"/>
  <c r="H2304" i="1" s="1"/>
  <c r="I2304" i="1" a="1"/>
  <c r="I2304" i="1"/>
  <c r="O2302" i="1" a="1"/>
  <c r="O2302" i="1" s="1"/>
  <c r="Q2302" i="1" a="1"/>
  <c r="Q2302" i="1" s="1"/>
  <c r="H2302" i="1" a="1"/>
  <c r="H2302" i="1"/>
  <c r="G2304" i="1" a="1"/>
  <c r="G2304" i="1" s="1"/>
  <c r="O2303" i="1" a="1"/>
  <c r="O2303" i="1"/>
  <c r="P2306" i="1" a="1"/>
  <c r="P2306" i="1"/>
  <c r="K2306" i="1" a="1"/>
  <c r="K2306" i="1"/>
  <c r="J2306" i="1" a="1"/>
  <c r="J2306" i="1" s="1"/>
  <c r="I2306" i="1" a="1"/>
  <c r="I2306" i="1" s="1"/>
  <c r="F2304" i="1" a="1"/>
  <c r="F2304" i="1" s="1"/>
  <c r="J2302" i="1" a="1"/>
  <c r="J2302" i="1" s="1"/>
  <c r="M2302" i="1" a="1"/>
  <c r="M2302" i="1" s="1"/>
  <c r="F2302" i="1" a="1"/>
  <c r="F2302" i="1" s="1"/>
  <c r="G2306" i="1" a="1"/>
  <c r="G2306" i="1"/>
  <c r="F2306" i="1" a="1"/>
  <c r="F2306" i="1" s="1"/>
  <c r="J2304" i="1" a="1"/>
  <c r="J2304" i="1" s="1"/>
  <c r="G2302" i="1" a="1"/>
  <c r="G2302" i="1"/>
  <c r="I2303" i="1" a="1"/>
  <c r="I2303" i="1" s="1"/>
  <c r="H2303" i="1" a="1"/>
  <c r="H2303" i="1" s="1"/>
  <c r="P2303" i="1" a="1"/>
  <c r="P2303" i="1"/>
  <c r="N2303" i="1" a="1"/>
  <c r="N2303" i="1" s="1"/>
  <c r="N2302" i="1" a="1"/>
  <c r="N2302" i="1"/>
  <c r="P2300" i="1" a="1"/>
  <c r="P2300" i="1" s="1"/>
  <c r="G2303" i="1" a="1"/>
  <c r="G2303" i="1"/>
  <c r="J2303" i="1" a="1"/>
  <c r="J2303" i="1" s="1"/>
  <c r="P2302" i="1" a="1"/>
  <c r="P2302" i="1" s="1"/>
  <c r="N2300" i="1" a="1"/>
  <c r="N2300" i="1" s="1"/>
  <c r="O2306" i="1" a="1"/>
  <c r="O2306" i="1" s="1"/>
  <c r="N2304" i="1" a="1"/>
  <c r="N2304" i="1" s="1"/>
  <c r="Q2306" i="1" a="1"/>
  <c r="Q2306" i="1" s="1"/>
  <c r="Q2304" i="1" a="1"/>
  <c r="Q2304" i="1" s="1"/>
  <c r="K2303" i="1" a="1"/>
  <c r="K2303" i="1" s="1"/>
  <c r="Q2303" i="1" a="1"/>
  <c r="Q2303" i="1" s="1"/>
  <c r="O2304" i="1" a="1"/>
  <c r="O2304" i="1"/>
  <c r="F2303" i="1" a="1"/>
  <c r="F2303" i="1" s="1"/>
  <c r="Q2271" i="1" a="1"/>
  <c r="Q2271" i="1" s="1"/>
  <c r="P2271" i="1" a="1"/>
  <c r="P2271" i="1"/>
  <c r="O2271" i="1" a="1"/>
  <c r="O2271" i="1" s="1"/>
  <c r="N2271" i="1" a="1"/>
  <c r="N2271" i="1"/>
  <c r="K2271" i="1" a="1"/>
  <c r="K2271" i="1"/>
  <c r="M2271" i="1" a="1"/>
  <c r="M2271" i="1" s="1"/>
  <c r="L2271" i="1" a="1"/>
  <c r="L2271" i="1"/>
  <c r="K2300" i="1" a="1"/>
  <c r="K2300" i="1" s="1"/>
  <c r="L2300" i="1" a="1"/>
  <c r="L2300" i="1" s="1"/>
  <c r="I2300" i="1" a="1"/>
  <c r="I2300" i="1"/>
  <c r="H2300" i="1" a="1"/>
  <c r="H2300" i="1"/>
  <c r="J2300" i="1" a="1"/>
  <c r="J2300" i="1" s="1"/>
  <c r="P2298" i="1" a="1"/>
  <c r="P2298" i="1" s="1"/>
  <c r="M2298" i="1" a="1"/>
  <c r="M2298" i="1"/>
  <c r="H2297" i="1" a="1"/>
  <c r="H2297" i="1"/>
  <c r="F2300" i="1" a="1"/>
  <c r="F2300" i="1"/>
  <c r="G2300" i="1" a="1"/>
  <c r="G2300" i="1"/>
  <c r="Q2298" i="1" a="1"/>
  <c r="Q2298" i="1"/>
  <c r="J2298" i="1" a="1"/>
  <c r="J2298" i="1"/>
  <c r="P2297" i="1" a="1"/>
  <c r="P2297" i="1"/>
  <c r="N2297" i="1" a="1"/>
  <c r="N2297" i="1" s="1"/>
  <c r="I2297" i="1" a="1"/>
  <c r="I2297" i="1"/>
  <c r="G2297" i="1" a="1"/>
  <c r="G2297" i="1"/>
  <c r="N2298" i="1" a="1"/>
  <c r="N2298" i="1" s="1"/>
  <c r="F2297" i="1" a="1"/>
  <c r="F2297" i="1" s="1"/>
  <c r="L2298" i="1" a="1"/>
  <c r="L2298" i="1" s="1"/>
  <c r="I2298" i="1" a="1"/>
  <c r="I2298" i="1" s="1"/>
  <c r="H2298" i="1" a="1"/>
  <c r="H2298" i="1"/>
  <c r="G2298" i="1" a="1"/>
  <c r="G2298" i="1" s="1"/>
  <c r="M2297" i="1" a="1"/>
  <c r="M2297" i="1"/>
  <c r="Q2297" i="1" a="1"/>
  <c r="Q2297" i="1"/>
  <c r="K2297" i="1" a="1"/>
  <c r="K2297" i="1"/>
  <c r="J2297" i="1" a="1"/>
  <c r="J2297" i="1"/>
  <c r="O2298" i="1" a="1"/>
  <c r="O2298" i="1" s="1"/>
  <c r="K2298" i="1" a="1"/>
  <c r="K2298" i="1" s="1"/>
  <c r="F2298" i="1" a="1"/>
  <c r="F2298" i="1"/>
  <c r="O2297" i="1" a="1"/>
  <c r="O2297" i="1"/>
  <c r="L2297" i="1" a="1"/>
  <c r="L2297" i="1" s="1"/>
  <c r="P2294" i="1" a="1"/>
  <c r="P2294" i="1" s="1"/>
  <c r="M2294" i="1" a="1"/>
  <c r="M2294" i="1" s="1"/>
  <c r="I2294" i="1" a="1"/>
  <c r="I2294" i="1" s="1"/>
  <c r="N2294" i="1" a="1"/>
  <c r="N2294" i="1"/>
  <c r="J2294" i="1" a="1"/>
  <c r="J2294" i="1"/>
  <c r="L2294" i="1" a="1"/>
  <c r="L2294" i="1" s="1"/>
  <c r="Q2294" i="1" a="1"/>
  <c r="Q2294" i="1"/>
  <c r="O2294" i="1" a="1"/>
  <c r="O2294" i="1"/>
  <c r="K2294" i="1" a="1"/>
  <c r="K2294" i="1"/>
  <c r="H2294" i="1" a="1"/>
  <c r="H2294" i="1" s="1"/>
  <c r="G2294" i="1" a="1"/>
  <c r="G2294" i="1"/>
  <c r="F2294" i="1" a="1"/>
  <c r="F2294" i="1"/>
  <c r="P2292" i="1" a="1"/>
  <c r="P2292" i="1" s="1"/>
  <c r="Q2292" i="1" a="1"/>
  <c r="Q2292" i="1"/>
  <c r="O2292" i="1" a="1"/>
  <c r="O2292" i="1"/>
  <c r="N2292" i="1" a="1"/>
  <c r="N2292" i="1" s="1"/>
  <c r="L2292" i="1" a="1"/>
  <c r="L2292" i="1" s="1"/>
  <c r="K2292" i="1" a="1"/>
  <c r="K2292" i="1"/>
  <c r="K2290" i="1" a="1"/>
  <c r="K2290" i="1" s="1"/>
  <c r="J2292" i="1" a="1"/>
  <c r="J2292" i="1"/>
  <c r="H2292" i="1" a="1"/>
  <c r="H2292" i="1" s="1"/>
  <c r="I2292" i="1" a="1"/>
  <c r="I2292" i="1"/>
  <c r="I2290" i="1" a="1"/>
  <c r="I2290" i="1"/>
  <c r="G2292" i="1" a="1"/>
  <c r="G2292" i="1"/>
  <c r="F2292" i="1" a="1"/>
  <c r="F2292" i="1"/>
  <c r="Q2290" i="1" a="1"/>
  <c r="Q2290" i="1"/>
  <c r="O2290" i="1" a="1"/>
  <c r="O2290" i="1" s="1"/>
  <c r="L2290" i="1" a="1"/>
  <c r="L2290" i="1" s="1"/>
  <c r="F2290" i="1" a="1"/>
  <c r="F2290" i="1"/>
  <c r="H2290" i="1" a="1"/>
  <c r="H2290" i="1" s="1"/>
  <c r="J2290" i="1" a="1"/>
  <c r="J2290" i="1" s="1"/>
  <c r="G2290" i="1" a="1"/>
  <c r="G2290" i="1"/>
  <c r="M2290" i="1" a="1"/>
  <c r="M2290" i="1" s="1"/>
  <c r="P2290" i="1" a="1"/>
  <c r="P2290" i="1" s="1"/>
  <c r="N2290" i="1" a="1"/>
  <c r="N2290" i="1" s="1"/>
  <c r="M2292" i="1" a="1"/>
  <c r="M2292" i="1" s="1"/>
  <c r="I2282" i="1" a="1"/>
  <c r="I2282" i="1"/>
  <c r="Q2281" i="1" a="1"/>
  <c r="Q2281" i="1"/>
  <c r="M2288" i="1" a="1"/>
  <c r="M2288" i="1"/>
  <c r="L2288" i="1" a="1"/>
  <c r="L2288" i="1" s="1"/>
  <c r="J2286" i="1" a="1"/>
  <c r="J2286" i="1" s="1"/>
  <c r="K2288" i="1" a="1"/>
  <c r="K2288" i="1"/>
  <c r="J2288" i="1" a="1"/>
  <c r="J2288" i="1"/>
  <c r="H2288" i="1" a="1"/>
  <c r="H2288" i="1" s="1"/>
  <c r="M2281" i="1" a="1"/>
  <c r="M2281" i="1" s="1"/>
  <c r="G2288" i="1" a="1"/>
  <c r="G2288" i="1"/>
  <c r="N2284" i="1" a="1"/>
  <c r="N2284" i="1" s="1"/>
  <c r="J2284" i="1" a="1"/>
  <c r="J2284" i="1" s="1"/>
  <c r="P2284" i="1" a="1"/>
  <c r="P2284" i="1"/>
  <c r="I2284" i="1" a="1"/>
  <c r="I2284" i="1" s="1"/>
  <c r="Q2286" i="1" a="1"/>
  <c r="Q2286" i="1" s="1"/>
  <c r="K2284" i="1" a="1"/>
  <c r="K2284" i="1"/>
  <c r="M2286" i="1" a="1"/>
  <c r="M2286" i="1"/>
  <c r="I2286" i="1" a="1"/>
  <c r="I2286" i="1"/>
  <c r="M2282" i="1" a="1"/>
  <c r="M2282" i="1" s="1"/>
  <c r="Q2282" i="1" a="1"/>
  <c r="Q2282" i="1"/>
  <c r="P2282" i="1" a="1"/>
  <c r="P2282" i="1"/>
  <c r="O2282" i="1" a="1"/>
  <c r="O2282" i="1" s="1"/>
  <c r="G2282" i="1" a="1"/>
  <c r="G2282" i="1" s="1"/>
  <c r="O2281" i="1" a="1"/>
  <c r="O2281" i="1"/>
  <c r="N2281" i="1" a="1"/>
  <c r="N2281" i="1" s="1"/>
  <c r="H2281" i="1" a="1"/>
  <c r="H2281" i="1"/>
  <c r="F2288" i="1" a="1"/>
  <c r="F2288" i="1" s="1"/>
  <c r="N2286" i="1" a="1"/>
  <c r="N2286" i="1" s="1"/>
  <c r="P2286" i="1" a="1"/>
  <c r="P2286" i="1"/>
  <c r="K2282" i="1" a="1"/>
  <c r="K2282" i="1" s="1"/>
  <c r="Q2284" i="1" a="1"/>
  <c r="Q2284" i="1" s="1"/>
  <c r="G2286" i="1" a="1"/>
  <c r="G2286" i="1" s="1"/>
  <c r="N2282" i="1" a="1"/>
  <c r="N2282" i="1"/>
  <c r="L2286" i="1" a="1"/>
  <c r="L2286" i="1"/>
  <c r="H2284" i="1" a="1"/>
  <c r="H2284" i="1"/>
  <c r="O2284" i="1" a="1"/>
  <c r="O2284" i="1" s="1"/>
  <c r="M2284" i="1" a="1"/>
  <c r="M2284" i="1" s="1"/>
  <c r="L2281" i="1" a="1"/>
  <c r="L2281" i="1"/>
  <c r="K2281" i="1" a="1"/>
  <c r="K2281" i="1"/>
  <c r="F2284" i="1" a="1"/>
  <c r="F2284" i="1"/>
  <c r="H2282" i="1" a="1"/>
  <c r="H2282" i="1"/>
  <c r="G2281" i="1" a="1"/>
  <c r="G2281" i="1"/>
  <c r="L2284" i="1" a="1"/>
  <c r="L2284" i="1"/>
  <c r="Q2288" i="1" a="1"/>
  <c r="Q2288" i="1"/>
  <c r="P2281" i="1" a="1"/>
  <c r="P2281" i="1" s="1"/>
  <c r="O2286" i="1" a="1"/>
  <c r="O2286" i="1" s="1"/>
  <c r="G2284" i="1" a="1"/>
  <c r="G2284" i="1" s="1"/>
  <c r="J2281" i="1" a="1"/>
  <c r="J2281" i="1"/>
  <c r="F2286" i="1" a="1"/>
  <c r="F2286" i="1" s="1"/>
  <c r="F2281" i="1" a="1"/>
  <c r="F2281" i="1" s="1"/>
  <c r="F2282" i="1" a="1"/>
  <c r="F2282" i="1" s="1"/>
  <c r="I2288" i="1" a="1"/>
  <c r="I2288" i="1"/>
  <c r="K2286" i="1" a="1"/>
  <c r="K2286" i="1"/>
  <c r="J2282" i="1" a="1"/>
  <c r="J2282" i="1"/>
  <c r="H2286" i="1" a="1"/>
  <c r="H2286" i="1"/>
  <c r="L2282" i="1" a="1"/>
  <c r="L2282" i="1" s="1"/>
  <c r="I2281" i="1" a="1"/>
  <c r="I2281" i="1"/>
  <c r="P2288" i="1" a="1"/>
  <c r="P2288" i="1" s="1"/>
  <c r="O2288" i="1" a="1"/>
  <c r="O2288" i="1" s="1"/>
  <c r="N2288" i="1" a="1"/>
  <c r="N2288" i="1" s="1"/>
  <c r="L2275" i="1" a="1"/>
  <c r="L2275" i="1" s="1"/>
  <c r="I2274" i="1" a="1"/>
  <c r="I2274" i="1" s="1"/>
  <c r="F2280" i="1" a="1"/>
  <c r="F2280" i="1"/>
  <c r="J2278" i="1" a="1"/>
  <c r="J2278" i="1" s="1"/>
  <c r="Q2277" i="1" a="1"/>
  <c r="Q2277" i="1" s="1"/>
  <c r="O2277" i="1" a="1"/>
  <c r="O2277" i="1"/>
  <c r="K2277" i="1" a="1"/>
  <c r="K2277" i="1" s="1"/>
  <c r="I2275" i="1" a="1"/>
  <c r="I2275" i="1"/>
  <c r="Q2278" i="1" a="1"/>
  <c r="Q2278" i="1"/>
  <c r="P2278" i="1" a="1"/>
  <c r="P2278" i="1" s="1"/>
  <c r="H2277" i="1" a="1"/>
  <c r="H2277" i="1" s="1"/>
  <c r="M2274" i="1" a="1"/>
  <c r="M2274" i="1" s="1"/>
  <c r="J2277" i="1" a="1"/>
  <c r="J2277" i="1"/>
  <c r="N2278" i="1" a="1"/>
  <c r="N2278" i="1" s="1"/>
  <c r="L2277" i="1" a="1"/>
  <c r="L2277" i="1" s="1"/>
  <c r="M2278" i="1" a="1"/>
  <c r="M2278" i="1" s="1"/>
  <c r="Q2274" i="1" a="1"/>
  <c r="Q2274" i="1" s="1"/>
  <c r="P2277" i="1" a="1"/>
  <c r="P2277" i="1" s="1"/>
  <c r="Q2275" i="1" a="1"/>
  <c r="Q2275" i="1" s="1"/>
  <c r="J2274" i="1" a="1"/>
  <c r="J2274" i="1"/>
  <c r="M2275" i="1" a="1"/>
  <c r="M2275" i="1"/>
  <c r="M2277" i="1" a="1"/>
  <c r="M2277" i="1" s="1"/>
  <c r="G2277" i="1" a="1"/>
  <c r="G2277" i="1"/>
  <c r="Q2280" i="1" a="1"/>
  <c r="Q2280" i="1"/>
  <c r="O2278" i="1" a="1"/>
  <c r="O2278" i="1" s="1"/>
  <c r="P2280" i="1" a="1"/>
  <c r="P2280" i="1"/>
  <c r="O2280" i="1" a="1"/>
  <c r="O2280" i="1"/>
  <c r="N2280" i="1" a="1"/>
  <c r="N2280" i="1"/>
  <c r="I2280" i="1" a="1"/>
  <c r="I2280" i="1" s="1"/>
  <c r="I2278" i="1" a="1"/>
  <c r="I2278" i="1" s="1"/>
  <c r="G2278" i="1" a="1"/>
  <c r="G2278" i="1" s="1"/>
  <c r="O2275" i="1" a="1"/>
  <c r="O2275" i="1" s="1"/>
  <c r="N2277" i="1" a="1"/>
  <c r="N2277" i="1" s="1"/>
  <c r="G2275" i="1" a="1"/>
  <c r="G2275" i="1"/>
  <c r="G2274" i="1" a="1"/>
  <c r="G2274" i="1" s="1"/>
  <c r="K2275" i="1" a="1"/>
  <c r="K2275" i="1" s="1"/>
  <c r="F2275" i="1" a="1"/>
  <c r="F2275" i="1" s="1"/>
  <c r="M2280" i="1" a="1"/>
  <c r="M2280" i="1" s="1"/>
  <c r="L2280" i="1" a="1"/>
  <c r="L2280" i="1" s="1"/>
  <c r="K2280" i="1" a="1"/>
  <c r="K2280" i="1" s="1"/>
  <c r="J2280" i="1" a="1"/>
  <c r="J2280" i="1"/>
  <c r="L2274" i="1" a="1"/>
  <c r="L2274" i="1" s="1"/>
  <c r="H2280" i="1" a="1"/>
  <c r="H2280" i="1"/>
  <c r="G2280" i="1" a="1"/>
  <c r="G2280" i="1"/>
  <c r="L2278" i="1" a="1"/>
  <c r="L2278" i="1" s="1"/>
  <c r="K2278" i="1" a="1"/>
  <c r="K2278" i="1" s="1"/>
  <c r="J2275" i="1" a="1"/>
  <c r="J2275" i="1" s="1"/>
  <c r="F2278" i="1" a="1"/>
  <c r="F2278" i="1"/>
  <c r="K2274" i="1" a="1"/>
  <c r="K2274" i="1"/>
  <c r="F2277" i="1" a="1"/>
  <c r="F2277" i="1"/>
  <c r="H2275" i="1" a="1"/>
  <c r="H2275" i="1" s="1"/>
  <c r="I2277" i="1" a="1"/>
  <c r="I2277" i="1" s="1"/>
  <c r="P2275" i="1" a="1"/>
  <c r="P2275" i="1" s="1"/>
  <c r="H2274" i="1" a="1"/>
  <c r="H2274" i="1"/>
  <c r="F2274" i="1" a="1"/>
  <c r="F2274" i="1"/>
  <c r="P2274" i="1" a="1"/>
  <c r="P2274" i="1"/>
  <c r="H2278" i="1" a="1"/>
  <c r="H2278" i="1" s="1"/>
  <c r="N2275" i="1" a="1"/>
  <c r="N2275" i="1" s="1"/>
  <c r="O2274" i="1" a="1"/>
  <c r="O2274" i="1" s="1"/>
  <c r="N2274" i="1" a="1"/>
  <c r="N2274" i="1" s="1"/>
  <c r="M2269" i="1" a="1"/>
  <c r="M2269" i="1" s="1"/>
  <c r="Q2269" i="1" a="1"/>
  <c r="Q2269" i="1"/>
  <c r="I2269" i="1" a="1"/>
  <c r="I2269" i="1" s="1"/>
  <c r="O2269" i="1" a="1"/>
  <c r="O2269" i="1" s="1"/>
  <c r="F2269" i="1" a="1"/>
  <c r="F2269" i="1"/>
  <c r="J2267" i="1" a="1"/>
  <c r="J2267" i="1"/>
  <c r="O2267" i="1" a="1"/>
  <c r="O2267" i="1"/>
  <c r="M2267" i="1" a="1"/>
  <c r="M2267" i="1" s="1"/>
  <c r="Q2267" i="1" a="1"/>
  <c r="Q2267" i="1" s="1"/>
  <c r="F2271" i="1" a="1"/>
  <c r="F2271" i="1"/>
  <c r="G2269" i="1" a="1"/>
  <c r="G2269" i="1"/>
  <c r="P2267" i="1" a="1"/>
  <c r="P2267" i="1"/>
  <c r="N2267" i="1" a="1"/>
  <c r="N2267" i="1"/>
  <c r="I2271" i="1" a="1"/>
  <c r="I2271" i="1" s="1"/>
  <c r="H2271" i="1" a="1"/>
  <c r="H2271" i="1" s="1"/>
  <c r="K2267" i="1" a="1"/>
  <c r="K2267" i="1"/>
  <c r="G2271" i="1" a="1"/>
  <c r="G2271" i="1" s="1"/>
  <c r="L2269" i="1" a="1"/>
  <c r="L2269" i="1" s="1"/>
  <c r="L2267" i="1" a="1"/>
  <c r="L2267" i="1" s="1"/>
  <c r="H2267" i="1" a="1"/>
  <c r="H2267" i="1" s="1"/>
  <c r="N2269" i="1" a="1"/>
  <c r="N2269" i="1" s="1"/>
  <c r="I2267" i="1" a="1"/>
  <c r="I2267" i="1" s="1"/>
  <c r="K2269" i="1" a="1"/>
  <c r="K2269" i="1" s="1"/>
  <c r="J2269" i="1" a="1"/>
  <c r="J2269" i="1"/>
  <c r="H2269" i="1" a="1"/>
  <c r="H2269" i="1"/>
  <c r="G2267" i="1" a="1"/>
  <c r="G2267" i="1" s="1"/>
  <c r="F2267" i="1" a="1"/>
  <c r="F2267" i="1" s="1"/>
  <c r="J2271" i="1" a="1"/>
  <c r="J2271" i="1" s="1"/>
  <c r="P2269" i="1" a="1"/>
  <c r="P2269" i="1" s="1"/>
  <c r="P2265" i="1" a="1"/>
  <c r="P2265" i="1"/>
  <c r="Q2265" i="1" a="1"/>
  <c r="Q2265" i="1" s="1"/>
  <c r="M2265" i="1" a="1"/>
  <c r="M2265" i="1" s="1"/>
  <c r="K2265" i="1" a="1"/>
  <c r="K2265" i="1" s="1"/>
  <c r="F2265" i="1" a="1"/>
  <c r="F2265" i="1" s="1"/>
  <c r="I2265" i="1" a="1"/>
  <c r="I2265" i="1"/>
  <c r="O2265" i="1" a="1"/>
  <c r="O2265" i="1" s="1"/>
  <c r="N2265" i="1" a="1"/>
  <c r="N2265" i="1" s="1"/>
  <c r="L2265" i="1" a="1"/>
  <c r="L2265" i="1"/>
  <c r="J2265" i="1" a="1"/>
  <c r="J2265" i="1" s="1"/>
  <c r="H2265" i="1" a="1"/>
  <c r="H2265" i="1" s="1"/>
  <c r="G2265" i="1" a="1"/>
  <c r="G2265" i="1" s="1"/>
  <c r="Q2263" i="1" a="1"/>
  <c r="Q2263" i="1" s="1"/>
  <c r="K2263" i="1" a="1"/>
  <c r="K2263" i="1" s="1"/>
  <c r="O2263" i="1" a="1"/>
  <c r="O2263" i="1"/>
  <c r="N2263" i="1" a="1"/>
  <c r="N2263" i="1"/>
  <c r="J2261" i="1" a="1"/>
  <c r="J2261" i="1" s="1"/>
  <c r="M2263" i="1" a="1"/>
  <c r="M2263" i="1" s="1"/>
  <c r="L2261" i="1" a="1"/>
  <c r="L2261" i="1" s="1"/>
  <c r="I2258" i="1" a="1"/>
  <c r="I2258" i="1" s="1"/>
  <c r="O2256" i="1" a="1"/>
  <c r="O2256" i="1"/>
  <c r="F2256" i="1" a="1"/>
  <c r="F2256" i="1"/>
  <c r="K2256" i="1" a="1"/>
  <c r="K2256" i="1"/>
  <c r="O2261" i="1" a="1"/>
  <c r="O2261" i="1" s="1"/>
  <c r="L2256" i="1" a="1"/>
  <c r="L2256" i="1" s="1"/>
  <c r="L2263" i="1" a="1"/>
  <c r="L2263" i="1" s="1"/>
  <c r="I2263" i="1" a="1"/>
  <c r="I2263" i="1" s="1"/>
  <c r="H2263" i="1" a="1"/>
  <c r="H2263" i="1" s="1"/>
  <c r="G2263" i="1" a="1"/>
  <c r="G2263" i="1"/>
  <c r="P2258" i="1" a="1"/>
  <c r="P2258" i="1"/>
  <c r="F2258" i="1" a="1"/>
  <c r="F2258" i="1"/>
  <c r="F2263" i="1" a="1"/>
  <c r="F2263" i="1" s="1"/>
  <c r="Q2261" i="1" a="1"/>
  <c r="Q2261" i="1" s="1"/>
  <c r="P2261" i="1" a="1"/>
  <c r="P2261" i="1" s="1"/>
  <c r="H2261" i="1" a="1"/>
  <c r="H2261" i="1" s="1"/>
  <c r="F2261" i="1" a="1"/>
  <c r="F2261" i="1" s="1"/>
  <c r="Q2258" i="1" a="1"/>
  <c r="Q2258" i="1"/>
  <c r="M2260" i="1" a="1"/>
  <c r="M2260" i="1"/>
  <c r="J2258" i="1" a="1"/>
  <c r="J2258" i="1"/>
  <c r="M2256" i="1" a="1"/>
  <c r="M2256" i="1" s="1"/>
  <c r="N2260" i="1" a="1"/>
  <c r="N2260" i="1" s="1"/>
  <c r="N2261" i="1" a="1"/>
  <c r="N2261" i="1" s="1"/>
  <c r="P2256" i="1" a="1"/>
  <c r="P2256" i="1" s="1"/>
  <c r="O2258" i="1" a="1"/>
  <c r="O2258" i="1" s="1"/>
  <c r="M2258" i="1" a="1"/>
  <c r="M2258" i="1" s="1"/>
  <c r="K2261" i="1" a="1"/>
  <c r="K2261" i="1"/>
  <c r="K2258" i="1" a="1"/>
  <c r="K2258" i="1" s="1"/>
  <c r="I2261" i="1" a="1"/>
  <c r="I2261" i="1" s="1"/>
  <c r="H2258" i="1" a="1"/>
  <c r="H2258" i="1" s="1"/>
  <c r="N2256" i="1" a="1"/>
  <c r="N2256" i="1" s="1"/>
  <c r="H2256" i="1" a="1"/>
  <c r="H2256" i="1" s="1"/>
  <c r="N2258" i="1" a="1"/>
  <c r="N2258" i="1" s="1"/>
  <c r="G2258" i="1" a="1"/>
  <c r="G2258" i="1"/>
  <c r="L2260" i="1" a="1"/>
  <c r="L2260" i="1" s="1"/>
  <c r="J2256" i="1" a="1"/>
  <c r="J2256" i="1" s="1"/>
  <c r="O2260" i="1" a="1"/>
  <c r="O2260" i="1" s="1"/>
  <c r="I2256" i="1" a="1"/>
  <c r="I2256" i="1" s="1"/>
  <c r="K2260" i="1" a="1"/>
  <c r="K2260" i="1"/>
  <c r="Q2255" i="1" a="1"/>
  <c r="Q2255" i="1" s="1"/>
  <c r="L2258" i="1" a="1"/>
  <c r="L2258" i="1"/>
  <c r="J2260" i="1" a="1"/>
  <c r="J2260" i="1"/>
  <c r="P2260" i="1" a="1"/>
  <c r="P2260" i="1" s="1"/>
  <c r="H2260" i="1" a="1"/>
  <c r="H2260" i="1" s="1"/>
  <c r="G2260" i="1" a="1"/>
  <c r="G2260" i="1" s="1"/>
  <c r="M2261" i="1" a="1"/>
  <c r="M2261" i="1" s="1"/>
  <c r="F2260" i="1" a="1"/>
  <c r="F2260" i="1" s="1"/>
  <c r="G2256" i="1" a="1"/>
  <c r="G2256" i="1"/>
  <c r="I2260" i="1" a="1"/>
  <c r="I2260" i="1" s="1"/>
  <c r="J2263" i="1" a="1"/>
  <c r="J2263" i="1" s="1"/>
  <c r="Q2260" i="1" a="1"/>
  <c r="Q2260" i="1" s="1"/>
  <c r="G2261" i="1" a="1"/>
  <c r="G2261" i="1" s="1"/>
  <c r="Q2256" i="1" a="1"/>
  <c r="Q2256" i="1"/>
  <c r="P2263" i="1" a="1"/>
  <c r="P2263" i="1" s="1"/>
  <c r="L2250" i="1" a="1"/>
  <c r="L2250" i="1" s="1"/>
  <c r="Q2252" i="1" a="1"/>
  <c r="Q2252" i="1" s="1"/>
  <c r="F2248" i="1" a="1"/>
  <c r="F2248" i="1" s="1"/>
  <c r="Q2250" i="1" a="1"/>
  <c r="Q2250" i="1" s="1"/>
  <c r="L2255" i="1" a="1"/>
  <c r="L2255" i="1" s="1"/>
  <c r="G2255" i="1" a="1"/>
  <c r="G2255" i="1" s="1"/>
  <c r="L2252" i="1" a="1"/>
  <c r="L2252" i="1" s="1"/>
  <c r="H2250" i="1" a="1"/>
  <c r="H2250" i="1"/>
  <c r="N2250" i="1" a="1"/>
  <c r="N2250" i="1"/>
  <c r="H2252" i="1" a="1"/>
  <c r="H2252" i="1" s="1"/>
  <c r="P2248" i="1" a="1"/>
  <c r="P2248" i="1" s="1"/>
  <c r="P2255" i="1" a="1"/>
  <c r="P2255" i="1" s="1"/>
  <c r="O2255" i="1" a="1"/>
  <c r="O2255" i="1" s="1"/>
  <c r="F2252" i="1" a="1"/>
  <c r="F2252" i="1" s="1"/>
  <c r="L2246" i="1" a="1"/>
  <c r="L2246" i="1"/>
  <c r="N2255" i="1" a="1"/>
  <c r="N2255" i="1" s="1"/>
  <c r="M2255" i="1" a="1"/>
  <c r="M2255" i="1"/>
  <c r="J2255" i="1" a="1"/>
  <c r="J2255" i="1" s="1"/>
  <c r="I2255" i="1" a="1"/>
  <c r="I2255" i="1" s="1"/>
  <c r="J2250" i="1" a="1"/>
  <c r="J2250" i="1" s="1"/>
  <c r="K2246" i="1" a="1"/>
  <c r="K2246" i="1" s="1"/>
  <c r="I2252" i="1" a="1"/>
  <c r="I2252" i="1" s="1"/>
  <c r="P2252" i="1" a="1"/>
  <c r="P2252" i="1" s="1"/>
  <c r="O2246" i="1" a="1"/>
  <c r="O2246" i="1" s="1"/>
  <c r="M2252" i="1" a="1"/>
  <c r="M2252" i="1" s="1"/>
  <c r="G2250" i="1" a="1"/>
  <c r="G2250" i="1" s="1"/>
  <c r="N2248" i="1" a="1"/>
  <c r="N2248" i="1" s="1"/>
  <c r="K2250" i="1" a="1"/>
  <c r="K2250" i="1"/>
  <c r="O2248" i="1" a="1"/>
  <c r="O2248" i="1"/>
  <c r="Q2246" i="1" a="1"/>
  <c r="Q2246" i="1" s="1"/>
  <c r="N2252" i="1" a="1"/>
  <c r="N2252" i="1"/>
  <c r="K2252" i="1" a="1"/>
  <c r="K2252" i="1"/>
  <c r="P2250" i="1" a="1"/>
  <c r="P2250" i="1" s="1"/>
  <c r="O2250" i="1" a="1"/>
  <c r="O2250" i="1" s="1"/>
  <c r="F2255" i="1" a="1"/>
  <c r="F2255" i="1" s="1"/>
  <c r="K2255" i="1" a="1"/>
  <c r="K2255" i="1" s="1"/>
  <c r="H2255" i="1" a="1"/>
  <c r="H2255" i="1" s="1"/>
  <c r="O2252" i="1" a="1"/>
  <c r="O2252" i="1" s="1"/>
  <c r="J2252" i="1" a="1"/>
  <c r="J2252" i="1" s="1"/>
  <c r="G2252" i="1" a="1"/>
  <c r="G2252" i="1" s="1"/>
  <c r="M2250" i="1" a="1"/>
  <c r="M2250" i="1" s="1"/>
  <c r="Q2248" i="1" a="1"/>
  <c r="Q2248" i="1" s="1"/>
  <c r="M2248" i="1" a="1"/>
  <c r="M2248" i="1" s="1"/>
  <c r="J2248" i="1" a="1"/>
  <c r="J2248" i="1"/>
  <c r="N2246" i="1" a="1"/>
  <c r="N2246" i="1"/>
  <c r="I2248" i="1" a="1"/>
  <c r="I2248" i="1"/>
  <c r="I2250" i="1" a="1"/>
  <c r="I2250" i="1" s="1"/>
  <c r="H2248" i="1" a="1"/>
  <c r="H2248" i="1"/>
  <c r="M2246" i="1" a="1"/>
  <c r="M2246" i="1" s="1"/>
  <c r="L2248" i="1" a="1"/>
  <c r="L2248" i="1" s="1"/>
  <c r="K2248" i="1" a="1"/>
  <c r="K2248" i="1" s="1"/>
  <c r="F2250" i="1" a="1"/>
  <c r="F2250" i="1" s="1"/>
  <c r="P2246" i="1" a="1"/>
  <c r="P2246" i="1" s="1"/>
  <c r="G2248" i="1" a="1"/>
  <c r="G2248" i="1" s="1"/>
  <c r="G2244" i="1" a="1"/>
  <c r="G2244" i="1"/>
  <c r="P2242" i="1" a="1"/>
  <c r="P2242" i="1" s="1"/>
  <c r="Q2244" i="1" a="1"/>
  <c r="Q2244" i="1"/>
  <c r="J2246" i="1" a="1"/>
  <c r="J2246" i="1" s="1"/>
  <c r="I2246" i="1" a="1"/>
  <c r="I2246" i="1" s="1"/>
  <c r="L2242" i="1" a="1"/>
  <c r="L2242" i="1" s="1"/>
  <c r="O2244" i="1" a="1"/>
  <c r="O2244" i="1" s="1"/>
  <c r="H2246" i="1" a="1"/>
  <c r="H2246" i="1"/>
  <c r="G2246" i="1" a="1"/>
  <c r="G2246" i="1" s="1"/>
  <c r="F2244" i="1" a="1"/>
  <c r="F2244" i="1" s="1"/>
  <c r="F2246" i="1" a="1"/>
  <c r="F2246" i="1" s="1"/>
  <c r="P2244" i="1" a="1"/>
  <c r="P2244" i="1" s="1"/>
  <c r="N2244" i="1" a="1"/>
  <c r="N2244" i="1" s="1"/>
  <c r="M2244" i="1" a="1"/>
  <c r="M2244" i="1" s="1"/>
  <c r="L2244" i="1" a="1"/>
  <c r="L2244" i="1"/>
  <c r="K2242" i="1" a="1"/>
  <c r="K2242" i="1" s="1"/>
  <c r="J2244" i="1" a="1"/>
  <c r="J2244" i="1"/>
  <c r="K2244" i="1" a="1"/>
  <c r="K2244" i="1"/>
  <c r="N2242" i="1" a="1"/>
  <c r="N2242" i="1" s="1"/>
  <c r="M2242" i="1" a="1"/>
  <c r="M2242" i="1" s="1"/>
  <c r="J2242" i="1" a="1"/>
  <c r="J2242" i="1" s="1"/>
  <c r="H2244" i="1" a="1"/>
  <c r="H2244" i="1" s="1"/>
  <c r="I2244" i="1" a="1"/>
  <c r="I2244" i="1" s="1"/>
  <c r="Q2242" i="1" a="1"/>
  <c r="Q2242" i="1"/>
  <c r="O2242" i="1" a="1"/>
  <c r="O2242" i="1" s="1"/>
  <c r="J2236" i="1" a="1"/>
  <c r="J2236" i="1" s="1"/>
  <c r="P2239" i="1" a="1"/>
  <c r="P2239" i="1" s="1"/>
  <c r="O2239" i="1" a="1"/>
  <c r="O2239" i="1" s="1"/>
  <c r="M2239" i="1" a="1"/>
  <c r="M2239" i="1" s="1"/>
  <c r="F2239" i="1" a="1"/>
  <c r="F2239" i="1" s="1"/>
  <c r="O2237" i="1" a="1"/>
  <c r="O2237" i="1"/>
  <c r="M2236" i="1" a="1"/>
  <c r="M2236" i="1" s="1"/>
  <c r="M2237" i="1" a="1"/>
  <c r="M2237" i="1" s="1"/>
  <c r="K2237" i="1" a="1"/>
  <c r="K2237" i="1" s="1"/>
  <c r="I2236" i="1" a="1"/>
  <c r="I2236" i="1" s="1"/>
  <c r="J2239" i="1" a="1"/>
  <c r="J2239" i="1"/>
  <c r="P2237" i="1" a="1"/>
  <c r="P2237" i="1"/>
  <c r="F2236" i="1" a="1"/>
  <c r="F2236" i="1"/>
  <c r="H2237" i="1" a="1"/>
  <c r="H2237" i="1"/>
  <c r="K2236" i="1" a="1"/>
  <c r="K2236" i="1" s="1"/>
  <c r="H2236" i="1" a="1"/>
  <c r="H2236" i="1" s="1"/>
  <c r="H2241" i="1" a="1"/>
  <c r="H2241" i="1" s="1"/>
  <c r="O2236" i="1" a="1"/>
  <c r="O2236" i="1" s="1"/>
  <c r="L2237" i="1" a="1"/>
  <c r="L2237" i="1" s="1"/>
  <c r="P2236" i="1" a="1"/>
  <c r="P2236" i="1" s="1"/>
  <c r="N2237" i="1" a="1"/>
  <c r="N2237" i="1" s="1"/>
  <c r="Q2236" i="1" a="1"/>
  <c r="Q2236" i="1" s="1"/>
  <c r="F2241" i="1" a="1"/>
  <c r="F2241" i="1"/>
  <c r="I2242" i="1" a="1"/>
  <c r="I2242" i="1" s="1"/>
  <c r="Q2239" i="1" a="1"/>
  <c r="Q2239" i="1" s="1"/>
  <c r="H2242" i="1" a="1"/>
  <c r="H2242" i="1" s="1"/>
  <c r="G2242" i="1" a="1"/>
  <c r="G2242" i="1" s="1"/>
  <c r="F2242" i="1" a="1"/>
  <c r="F2242" i="1" s="1"/>
  <c r="N2236" i="1" a="1"/>
  <c r="N2236" i="1" s="1"/>
  <c r="H2239" i="1" a="1"/>
  <c r="H2239" i="1" s="1"/>
  <c r="Q2241" i="1" a="1"/>
  <c r="Q2241" i="1" s="1"/>
  <c r="L2241" i="1" a="1"/>
  <c r="L2241" i="1" s="1"/>
  <c r="J2237" i="1" a="1"/>
  <c r="J2237" i="1" s="1"/>
  <c r="L2239" i="1" a="1"/>
  <c r="L2239" i="1" s="1"/>
  <c r="P2241" i="1" a="1"/>
  <c r="P2241" i="1" s="1"/>
  <c r="O2241" i="1" a="1"/>
  <c r="O2241" i="1" s="1"/>
  <c r="M2241" i="1" a="1"/>
  <c r="M2241" i="1" s="1"/>
  <c r="G2236" i="1" a="1"/>
  <c r="G2236" i="1" s="1"/>
  <c r="I2237" i="1" a="1"/>
  <c r="I2237" i="1"/>
  <c r="K2241" i="1" a="1"/>
  <c r="K2241" i="1" s="1"/>
  <c r="G2241" i="1" a="1"/>
  <c r="G2241" i="1"/>
  <c r="N2239" i="1" a="1"/>
  <c r="N2239" i="1" s="1"/>
  <c r="K2239" i="1" a="1"/>
  <c r="K2239" i="1" s="1"/>
  <c r="Q2237" i="1" a="1"/>
  <c r="Q2237" i="1" s="1"/>
  <c r="I2239" i="1" a="1"/>
  <c r="I2239" i="1" s="1"/>
  <c r="G2237" i="1" a="1"/>
  <c r="G2237" i="1" s="1"/>
  <c r="F2237" i="1" a="1"/>
  <c r="F2237" i="1" s="1"/>
  <c r="L2236" i="1" a="1"/>
  <c r="L2236" i="1" s="1"/>
  <c r="N2241" i="1" a="1"/>
  <c r="N2241" i="1" s="1"/>
  <c r="J2241" i="1" a="1"/>
  <c r="J2241" i="1"/>
  <c r="I2241" i="1" a="1"/>
  <c r="I2241" i="1" s="1"/>
  <c r="G2239" i="1" a="1"/>
  <c r="G2239" i="1"/>
  <c r="P2312" i="1" a="1"/>
  <c r="P2312" i="1"/>
  <c r="O2312" i="1" a="1"/>
  <c r="O2312" i="1" s="1"/>
  <c r="Q2312" i="1" a="1"/>
  <c r="Q2312" i="1"/>
  <c r="N2312" i="1" a="1"/>
  <c r="N2312" i="1" s="1"/>
  <c r="M2312" i="1" a="1"/>
  <c r="M2312" i="1" s="1"/>
  <c r="Q856" i="1"/>
  <c r="Q855" i="1" s="1"/>
  <c r="P856" i="1"/>
  <c r="O856" i="1"/>
  <c r="O855" i="1" s="1"/>
  <c r="N856" i="1"/>
  <c r="M856" i="1"/>
  <c r="M855" i="1" s="1"/>
  <c r="L856" i="1"/>
  <c r="K856" i="1"/>
  <c r="J856" i="1"/>
  <c r="I856" i="1"/>
  <c r="H856" i="1"/>
  <c r="G856" i="1"/>
  <c r="F856" i="1"/>
  <c r="F855" i="1" s="1"/>
  <c r="P855" i="1"/>
  <c r="N855" i="1"/>
  <c r="L855" i="1"/>
  <c r="K855" i="1"/>
  <c r="J855" i="1"/>
  <c r="I855" i="1"/>
  <c r="H855" i="1"/>
  <c r="G855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Q787" i="1"/>
  <c r="P787" i="1"/>
  <c r="H787" i="1"/>
  <c r="Q786" i="1"/>
  <c r="P786" i="1"/>
  <c r="N786" i="1"/>
  <c r="N787" i="1" s="1"/>
  <c r="M786" i="1"/>
  <c r="M787" i="1" s="1"/>
  <c r="L786" i="1"/>
  <c r="L787" i="1" s="1"/>
  <c r="H786" i="1"/>
  <c r="Q783" i="1"/>
  <c r="O783" i="1"/>
  <c r="N783" i="1"/>
  <c r="M783" i="1"/>
  <c r="L783" i="1"/>
  <c r="K783" i="1"/>
  <c r="J783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Q779" i="1"/>
  <c r="P779" i="1"/>
  <c r="P783" i="1" s="1"/>
  <c r="O779" i="1"/>
  <c r="O786" i="1" s="1"/>
  <c r="O787" i="1" s="1"/>
  <c r="N779" i="1"/>
  <c r="M779" i="1"/>
  <c r="K779" i="1"/>
  <c r="K786" i="1" s="1"/>
  <c r="K787" i="1" s="1"/>
  <c r="J779" i="1"/>
  <c r="J786" i="1" s="1"/>
  <c r="J787" i="1" s="1"/>
  <c r="I779" i="1"/>
  <c r="I783" i="1" s="1"/>
  <c r="H779" i="1"/>
  <c r="H783" i="1" s="1"/>
  <c r="G779" i="1"/>
  <c r="F779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P675" i="1"/>
  <c r="N675" i="1"/>
  <c r="L675" i="1"/>
  <c r="G675" i="1"/>
  <c r="Q674" i="1"/>
  <c r="P674" i="1"/>
  <c r="O674" i="1"/>
  <c r="N674" i="1"/>
  <c r="I674" i="1"/>
  <c r="G674" i="1"/>
  <c r="F674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Q669" i="1"/>
  <c r="Q675" i="1" s="1"/>
  <c r="P669" i="1"/>
  <c r="O669" i="1"/>
  <c r="O675" i="1" s="1"/>
  <c r="N669" i="1"/>
  <c r="M669" i="1"/>
  <c r="M675" i="1" s="1"/>
  <c r="L669" i="1"/>
  <c r="K669" i="1"/>
  <c r="K675" i="1" s="1"/>
  <c r="J669" i="1"/>
  <c r="J675" i="1" s="1"/>
  <c r="I669" i="1"/>
  <c r="I675" i="1" s="1"/>
  <c r="H669" i="1"/>
  <c r="H675" i="1" s="1"/>
  <c r="G669" i="1"/>
  <c r="F669" i="1"/>
  <c r="F675" i="1" s="1"/>
  <c r="Q668" i="1"/>
  <c r="P668" i="1"/>
  <c r="O668" i="1"/>
  <c r="N668" i="1"/>
  <c r="M668" i="1"/>
  <c r="M674" i="1" s="1"/>
  <c r="L668" i="1"/>
  <c r="L674" i="1" s="1"/>
  <c r="K668" i="1"/>
  <c r="K674" i="1" s="1"/>
  <c r="J668" i="1"/>
  <c r="J674" i="1" s="1"/>
  <c r="I668" i="1"/>
  <c r="H668" i="1"/>
  <c r="H674" i="1" s="1"/>
  <c r="G668" i="1"/>
  <c r="F668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N520" i="1"/>
  <c r="N519" i="1"/>
  <c r="M519" i="1"/>
  <c r="L519" i="1"/>
  <c r="I517" i="1"/>
  <c r="H517" i="1"/>
  <c r="L516" i="1"/>
  <c r="K516" i="1"/>
  <c r="J516" i="1"/>
  <c r="H516" i="1"/>
  <c r="F516" i="1"/>
  <c r="Q515" i="1"/>
  <c r="P515" i="1"/>
  <c r="O515" i="1"/>
  <c r="Q514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N480" i="1"/>
  <c r="J479" i="1"/>
  <c r="F479" i="1"/>
  <c r="J478" i="1"/>
  <c r="Q476" i="1"/>
  <c r="P476" i="1"/>
  <c r="O476" i="1"/>
  <c r="M476" i="1"/>
  <c r="J476" i="1"/>
  <c r="I476" i="1"/>
  <c r="F476" i="1"/>
  <c r="N473" i="1"/>
  <c r="I472" i="1"/>
  <c r="N471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O439" i="1"/>
  <c r="N439" i="1"/>
  <c r="L439" i="1"/>
  <c r="F439" i="1"/>
  <c r="O419" i="1"/>
  <c r="M419" i="1"/>
  <c r="K419" i="1"/>
  <c r="H419" i="1"/>
  <c r="G419" i="1"/>
  <c r="Q413" i="1"/>
  <c r="I413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Q400" i="1"/>
  <c r="Q520" i="1" s="1"/>
  <c r="K400" i="1"/>
  <c r="K520" i="1" s="1"/>
  <c r="N399" i="1"/>
  <c r="M399" i="1"/>
  <c r="L399" i="1"/>
  <c r="K399" i="1"/>
  <c r="K519" i="1" s="1"/>
  <c r="O398" i="1"/>
  <c r="N398" i="1"/>
  <c r="M398" i="1"/>
  <c r="M439" i="1" s="1"/>
  <c r="L398" i="1"/>
  <c r="K398" i="1"/>
  <c r="K439" i="1" s="1"/>
  <c r="J398" i="1"/>
  <c r="J439" i="1" s="1"/>
  <c r="I398" i="1"/>
  <c r="I439" i="1" s="1"/>
  <c r="H398" i="1"/>
  <c r="H439" i="1" s="1"/>
  <c r="G398" i="1"/>
  <c r="G439" i="1" s="1"/>
  <c r="Q396" i="1"/>
  <c r="P396" i="1"/>
  <c r="O396" i="1"/>
  <c r="N396" i="1"/>
  <c r="M396" i="1"/>
  <c r="L396" i="1"/>
  <c r="K396" i="1"/>
  <c r="J396" i="1"/>
  <c r="I396" i="1"/>
  <c r="H396" i="1"/>
  <c r="G396" i="1"/>
  <c r="F396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K386" i="1"/>
  <c r="K517" i="1" s="1"/>
  <c r="J386" i="1"/>
  <c r="J517" i="1" s="1"/>
  <c r="I386" i="1"/>
  <c r="F386" i="1"/>
  <c r="F517" i="1" s="1"/>
  <c r="K385" i="1"/>
  <c r="Q383" i="1"/>
  <c r="P383" i="1"/>
  <c r="P514" i="1" s="1"/>
  <c r="N383" i="1"/>
  <c r="N514" i="1" s="1"/>
  <c r="Q382" i="1"/>
  <c r="Q513" i="1" s="1"/>
  <c r="N382" i="1"/>
  <c r="N513" i="1" s="1"/>
  <c r="Q381" i="1"/>
  <c r="P381" i="1"/>
  <c r="O381" i="1"/>
  <c r="N381" i="1"/>
  <c r="M381" i="1"/>
  <c r="L381" i="1"/>
  <c r="K381" i="1"/>
  <c r="J381" i="1"/>
  <c r="I381" i="1"/>
  <c r="H381" i="1"/>
  <c r="G381" i="1"/>
  <c r="F381" i="1"/>
  <c r="L380" i="1"/>
  <c r="L437" i="1" s="1"/>
  <c r="L364" i="1"/>
  <c r="J364" i="1"/>
  <c r="I364" i="1"/>
  <c r="H364" i="1"/>
  <c r="G364" i="1"/>
  <c r="O362" i="1"/>
  <c r="O429" i="1" s="1"/>
  <c r="P361" i="1"/>
  <c r="P428" i="1" s="1"/>
  <c r="Q360" i="1"/>
  <c r="P360" i="1"/>
  <c r="O360" i="1"/>
  <c r="N360" i="1"/>
  <c r="M360" i="1"/>
  <c r="L360" i="1"/>
  <c r="K360" i="1"/>
  <c r="J360" i="1"/>
  <c r="I360" i="1"/>
  <c r="H360" i="1"/>
  <c r="G360" i="1"/>
  <c r="F360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F325" i="1"/>
  <c r="F480" i="1" s="1"/>
  <c r="J324" i="1"/>
  <c r="I324" i="1"/>
  <c r="I479" i="1" s="1"/>
  <c r="H324" i="1"/>
  <c r="H479" i="1" s="1"/>
  <c r="G324" i="1"/>
  <c r="G479" i="1" s="1"/>
  <c r="F324" i="1"/>
  <c r="Q323" i="1"/>
  <c r="Q478" i="1" s="1"/>
  <c r="P323" i="1"/>
  <c r="P478" i="1" s="1"/>
  <c r="O323" i="1"/>
  <c r="O478" i="1" s="1"/>
  <c r="M323" i="1"/>
  <c r="M478" i="1" s="1"/>
  <c r="Q322" i="1"/>
  <c r="Q477" i="1" s="1"/>
  <c r="F322" i="1"/>
  <c r="F477" i="1" s="1"/>
  <c r="Q321" i="1"/>
  <c r="P321" i="1"/>
  <c r="I321" i="1"/>
  <c r="F321" i="1"/>
  <c r="J320" i="1"/>
  <c r="J475" i="1" s="1"/>
  <c r="P319" i="1"/>
  <c r="P474" i="1" s="1"/>
  <c r="O319" i="1"/>
  <c r="O474" i="1" s="1"/>
  <c r="N319" i="1"/>
  <c r="N474" i="1" s="1"/>
  <c r="M319" i="1"/>
  <c r="M474" i="1" s="1"/>
  <c r="L319" i="1"/>
  <c r="L474" i="1" s="1"/>
  <c r="K319" i="1"/>
  <c r="K474" i="1" s="1"/>
  <c r="J319" i="1"/>
  <c r="J474" i="1" s="1"/>
  <c r="I319" i="1"/>
  <c r="I474" i="1" s="1"/>
  <c r="Q318" i="1"/>
  <c r="Q473" i="1" s="1"/>
  <c r="N318" i="1"/>
  <c r="N316" i="1"/>
  <c r="L316" i="1"/>
  <c r="L471" i="1" s="1"/>
  <c r="J315" i="1"/>
  <c r="J420" i="1" s="1"/>
  <c r="I315" i="1"/>
  <c r="I420" i="1" s="1"/>
  <c r="H315" i="1"/>
  <c r="H420" i="1" s="1"/>
  <c r="G315" i="1"/>
  <c r="G420" i="1" s="1"/>
  <c r="L314" i="1"/>
  <c r="L419" i="1" s="1"/>
  <c r="G314" i="1"/>
  <c r="F314" i="1"/>
  <c r="F419" i="1" s="1"/>
  <c r="Q313" i="1"/>
  <c r="P313" i="1"/>
  <c r="O313" i="1"/>
  <c r="N313" i="1"/>
  <c r="M313" i="1"/>
  <c r="L313" i="1"/>
  <c r="K313" i="1"/>
  <c r="J313" i="1"/>
  <c r="I313" i="1"/>
  <c r="H313" i="1"/>
  <c r="G313" i="1"/>
  <c r="F313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L301" i="1"/>
  <c r="L465" i="1" s="1"/>
  <c r="Q300" i="1"/>
  <c r="P300" i="1"/>
  <c r="P413" i="1" s="1"/>
  <c r="N300" i="1"/>
  <c r="N413" i="1" s="1"/>
  <c r="M300" i="1"/>
  <c r="M413" i="1" s="1"/>
  <c r="L300" i="1"/>
  <c r="L413" i="1" s="1"/>
  <c r="K300" i="1"/>
  <c r="K413" i="1" s="1"/>
  <c r="J300" i="1"/>
  <c r="J413" i="1" s="1"/>
  <c r="H300" i="1"/>
  <c r="H413" i="1" s="1"/>
  <c r="G300" i="1"/>
  <c r="G413" i="1" s="1"/>
  <c r="F300" i="1"/>
  <c r="F413" i="1" s="1"/>
  <c r="Q299" i="1"/>
  <c r="P299" i="1"/>
  <c r="O299" i="1"/>
  <c r="N299" i="1"/>
  <c r="M299" i="1"/>
  <c r="L299" i="1"/>
  <c r="K299" i="1"/>
  <c r="J299" i="1"/>
  <c r="I299" i="1"/>
  <c r="H299" i="1"/>
  <c r="G299" i="1"/>
  <c r="F299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P129" i="1"/>
  <c r="N129" i="1"/>
  <c r="M129" i="1"/>
  <c r="L129" i="1"/>
  <c r="G129" i="1"/>
  <c r="P128" i="1"/>
  <c r="J128" i="1"/>
  <c r="I128" i="1"/>
  <c r="L126" i="1"/>
  <c r="H126" i="1"/>
  <c r="G126" i="1"/>
  <c r="F126" i="1"/>
  <c r="Q125" i="1"/>
  <c r="P125" i="1"/>
  <c r="O125" i="1"/>
  <c r="N125" i="1"/>
  <c r="M125" i="1"/>
  <c r="L125" i="1"/>
  <c r="J125" i="1"/>
  <c r="H125" i="1"/>
  <c r="G125" i="1"/>
  <c r="F125" i="1"/>
  <c r="H124" i="1"/>
  <c r="N123" i="1"/>
  <c r="M123" i="1"/>
  <c r="L123" i="1"/>
  <c r="J123" i="1"/>
  <c r="I123" i="1"/>
  <c r="H123" i="1"/>
  <c r="G123" i="1"/>
  <c r="Q122" i="1"/>
  <c r="P122" i="1"/>
  <c r="O122" i="1"/>
  <c r="N122" i="1"/>
  <c r="M122" i="1"/>
  <c r="K122" i="1"/>
  <c r="P121" i="1"/>
  <c r="J121" i="1"/>
  <c r="I121" i="1"/>
  <c r="H121" i="1"/>
  <c r="F121" i="1"/>
  <c r="Q120" i="1"/>
  <c r="P120" i="1"/>
  <c r="N120" i="1"/>
  <c r="M120" i="1"/>
  <c r="L120" i="1"/>
  <c r="K120" i="1"/>
  <c r="J120" i="1"/>
  <c r="I120" i="1"/>
  <c r="H120" i="1"/>
  <c r="L119" i="1"/>
  <c r="H119" i="1"/>
  <c r="G119" i="1"/>
  <c r="F119" i="1"/>
  <c r="Q118" i="1"/>
  <c r="P118" i="1"/>
  <c r="O118" i="1"/>
  <c r="N118" i="1"/>
  <c r="L118" i="1"/>
  <c r="J118" i="1"/>
  <c r="H118" i="1"/>
  <c r="G118" i="1"/>
  <c r="F118" i="1"/>
  <c r="Q117" i="1"/>
  <c r="P117" i="1"/>
  <c r="O117" i="1"/>
  <c r="H117" i="1"/>
  <c r="N116" i="1"/>
  <c r="M116" i="1"/>
  <c r="L116" i="1"/>
  <c r="J116" i="1"/>
  <c r="I116" i="1"/>
  <c r="H116" i="1"/>
  <c r="G116" i="1"/>
  <c r="F116" i="1"/>
  <c r="Q115" i="1"/>
  <c r="P115" i="1"/>
  <c r="O115" i="1"/>
  <c r="N11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Q290" i="1"/>
  <c r="P290" i="1"/>
  <c r="P400" i="1" s="1"/>
  <c r="P520" i="1" s="1"/>
  <c r="O290" i="1"/>
  <c r="O400" i="1" s="1"/>
  <c r="O520" i="1" s="1"/>
  <c r="N290" i="1"/>
  <c r="M290" i="1"/>
  <c r="L290" i="1"/>
  <c r="K290" i="1"/>
  <c r="J290" i="1"/>
  <c r="I290" i="1"/>
  <c r="H290" i="1"/>
  <c r="G290" i="1"/>
  <c r="F290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Q287" i="1"/>
  <c r="P287" i="1"/>
  <c r="O287" i="1"/>
  <c r="N287" i="1"/>
  <c r="M287" i="1"/>
  <c r="L287" i="1"/>
  <c r="K287" i="1"/>
  <c r="J287" i="1"/>
  <c r="I287" i="1"/>
  <c r="H287" i="1"/>
  <c r="H386" i="1" s="1"/>
  <c r="G287" i="1"/>
  <c r="F287" i="1"/>
  <c r="Q286" i="1"/>
  <c r="Q385" i="1" s="1"/>
  <c r="Q516" i="1" s="1"/>
  <c r="P286" i="1"/>
  <c r="O286" i="1"/>
  <c r="N286" i="1"/>
  <c r="M286" i="1"/>
  <c r="L286" i="1"/>
  <c r="K286" i="1"/>
  <c r="J286" i="1"/>
  <c r="I286" i="1"/>
  <c r="H286" i="1"/>
  <c r="G286" i="1"/>
  <c r="F286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F384" i="1" s="1"/>
  <c r="F515" i="1" s="1"/>
  <c r="Q283" i="1"/>
  <c r="P283" i="1"/>
  <c r="N283" i="1"/>
  <c r="H274" i="1"/>
  <c r="G274" i="1"/>
  <c r="F274" i="1"/>
  <c r="Q250" i="1"/>
  <c r="P250" i="1"/>
  <c r="P325" i="1" s="1"/>
  <c r="P480" i="1" s="1"/>
  <c r="O250" i="1"/>
  <c r="N250" i="1"/>
  <c r="M250" i="1"/>
  <c r="L250" i="1"/>
  <c r="K250" i="1"/>
  <c r="J250" i="1"/>
  <c r="I250" i="1"/>
  <c r="H250" i="1"/>
  <c r="G250" i="1"/>
  <c r="G325" i="1" s="1"/>
  <c r="G480" i="1" s="1"/>
  <c r="F250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Q248" i="1"/>
  <c r="P248" i="1"/>
  <c r="O248" i="1"/>
  <c r="N248" i="1"/>
  <c r="M248" i="1"/>
  <c r="L248" i="1"/>
  <c r="L323" i="1" s="1"/>
  <c r="L478" i="1" s="1"/>
  <c r="K248" i="1"/>
  <c r="K323" i="1" s="1"/>
  <c r="K478" i="1" s="1"/>
  <c r="J248" i="1"/>
  <c r="I248" i="1"/>
  <c r="H248" i="1"/>
  <c r="G248" i="1"/>
  <c r="F248" i="1"/>
  <c r="Q247" i="1"/>
  <c r="P247" i="1"/>
  <c r="O247" i="1"/>
  <c r="O322" i="1" s="1"/>
  <c r="O477" i="1" s="1"/>
  <c r="N247" i="1"/>
  <c r="N322" i="1" s="1"/>
  <c r="N477" i="1" s="1"/>
  <c r="M247" i="1"/>
  <c r="L247" i="1"/>
  <c r="K247" i="1"/>
  <c r="J247" i="1"/>
  <c r="I247" i="1"/>
  <c r="H247" i="1"/>
  <c r="G247" i="1"/>
  <c r="F247" i="1"/>
  <c r="Q246" i="1"/>
  <c r="P246" i="1"/>
  <c r="O246" i="1"/>
  <c r="N246" i="1"/>
  <c r="N321" i="1" s="1"/>
  <c r="N476" i="1" s="1"/>
  <c r="M246" i="1"/>
  <c r="L246" i="1"/>
  <c r="L321" i="1" s="1"/>
  <c r="L476" i="1" s="1"/>
  <c r="K246" i="1"/>
  <c r="J246" i="1"/>
  <c r="J321" i="1" s="1"/>
  <c r="I246" i="1"/>
  <c r="H246" i="1"/>
  <c r="H321" i="1" s="1"/>
  <c r="H476" i="1" s="1"/>
  <c r="G246" i="1"/>
  <c r="G321" i="1" s="1"/>
  <c r="G476" i="1" s="1"/>
  <c r="F246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Q244" i="1"/>
  <c r="P244" i="1"/>
  <c r="O244" i="1"/>
  <c r="N244" i="1"/>
  <c r="M244" i="1"/>
  <c r="L244" i="1"/>
  <c r="K244" i="1"/>
  <c r="J244" i="1"/>
  <c r="I244" i="1"/>
  <c r="H244" i="1"/>
  <c r="H319" i="1" s="1"/>
  <c r="H474" i="1" s="1"/>
  <c r="G244" i="1"/>
  <c r="G319" i="1" s="1"/>
  <c r="G474" i="1" s="1"/>
  <c r="F244" i="1"/>
  <c r="Q243" i="1"/>
  <c r="P243" i="1"/>
  <c r="P318" i="1" s="1"/>
  <c r="P473" i="1" s="1"/>
  <c r="O243" i="1"/>
  <c r="O318" i="1" s="1"/>
  <c r="O473" i="1" s="1"/>
  <c r="N243" i="1"/>
  <c r="M243" i="1"/>
  <c r="L243" i="1"/>
  <c r="K243" i="1"/>
  <c r="J243" i="1"/>
  <c r="I243" i="1"/>
  <c r="H243" i="1"/>
  <c r="G243" i="1"/>
  <c r="F243" i="1"/>
  <c r="N241" i="1"/>
  <c r="Q235" i="1"/>
  <c r="P235" i="1"/>
  <c r="O235" i="1"/>
  <c r="N235" i="1"/>
  <c r="M235" i="1"/>
  <c r="L235" i="1"/>
  <c r="K235" i="1"/>
  <c r="J235" i="1"/>
  <c r="I235" i="1"/>
  <c r="H235" i="1"/>
  <c r="G235" i="1"/>
  <c r="G301" i="1" s="1"/>
  <c r="G465" i="1" s="1"/>
  <c r="F235" i="1"/>
  <c r="F301" i="1" s="1"/>
  <c r="F465" i="1" s="1"/>
  <c r="Q232" i="1"/>
  <c r="P232" i="1"/>
  <c r="O232" i="1"/>
  <c r="N232" i="1"/>
  <c r="M232" i="1"/>
  <c r="L232" i="1"/>
  <c r="K232" i="1"/>
  <c r="J232" i="1"/>
  <c r="I232" i="1"/>
  <c r="H232" i="1"/>
  <c r="G232" i="1"/>
  <c r="F232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Q216" i="1"/>
  <c r="Q212" i="1" s="1"/>
  <c r="P216" i="1"/>
  <c r="O216" i="1"/>
  <c r="N216" i="1"/>
  <c r="M216" i="1"/>
  <c r="L216" i="1"/>
  <c r="K216" i="1"/>
  <c r="J216" i="1"/>
  <c r="I216" i="1"/>
  <c r="H216" i="1"/>
  <c r="H212" i="1" s="1"/>
  <c r="G216" i="1"/>
  <c r="G212" i="1" s="1"/>
  <c r="F216" i="1"/>
  <c r="F212" i="1" s="1"/>
  <c r="P212" i="1"/>
  <c r="O212" i="1"/>
  <c r="N212" i="1"/>
  <c r="M212" i="1"/>
  <c r="L212" i="1"/>
  <c r="K212" i="1"/>
  <c r="J212" i="1"/>
  <c r="I212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F380" i="1" s="1"/>
  <c r="F437" i="1" s="1"/>
  <c r="Q198" i="1"/>
  <c r="Q361" i="1" s="1"/>
  <c r="Q428" i="1" s="1"/>
  <c r="O198" i="1"/>
  <c r="N198" i="1"/>
  <c r="N361" i="1" s="1"/>
  <c r="N428" i="1" s="1"/>
  <c r="L198" i="1"/>
  <c r="L361" i="1" s="1"/>
  <c r="L428" i="1" s="1"/>
  <c r="K198" i="1"/>
  <c r="K361" i="1" s="1"/>
  <c r="K428" i="1" s="1"/>
  <c r="Q190" i="1"/>
  <c r="P190" i="1"/>
  <c r="O190" i="1"/>
  <c r="N190" i="1"/>
  <c r="M190" i="1"/>
  <c r="L190" i="1"/>
  <c r="K190" i="1"/>
  <c r="J190" i="1"/>
  <c r="I190" i="1"/>
  <c r="H190" i="1"/>
  <c r="G190" i="1"/>
  <c r="F190" i="1"/>
  <c r="F315" i="1" s="1"/>
  <c r="F420" i="1" s="1"/>
  <c r="Q189" i="1"/>
  <c r="Q314" i="1" s="1"/>
  <c r="Q419" i="1" s="1"/>
  <c r="P189" i="1"/>
  <c r="P314" i="1" s="1"/>
  <c r="P419" i="1" s="1"/>
  <c r="O189" i="1"/>
  <c r="N189" i="1"/>
  <c r="N314" i="1" s="1"/>
  <c r="N419" i="1" s="1"/>
  <c r="M189" i="1"/>
  <c r="M314" i="1" s="1"/>
  <c r="L189" i="1"/>
  <c r="K189" i="1"/>
  <c r="K314" i="1" s="1"/>
  <c r="J189" i="1"/>
  <c r="I189" i="1"/>
  <c r="I314" i="1" s="1"/>
  <c r="I419" i="1" s="1"/>
  <c r="H189" i="1"/>
  <c r="H314" i="1" s="1"/>
  <c r="G189" i="1"/>
  <c r="F189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Q172" i="1"/>
  <c r="P172" i="1"/>
  <c r="O172" i="1"/>
  <c r="N172" i="1"/>
  <c r="N400" i="1" s="1"/>
  <c r="M172" i="1"/>
  <c r="M400" i="1" s="1"/>
  <c r="M520" i="1" s="1"/>
  <c r="L172" i="1"/>
  <c r="L400" i="1" s="1"/>
  <c r="L520" i="1" s="1"/>
  <c r="K172" i="1"/>
  <c r="J172" i="1"/>
  <c r="J400" i="1" s="1"/>
  <c r="J520" i="1" s="1"/>
  <c r="I172" i="1"/>
  <c r="I400" i="1" s="1"/>
  <c r="I520" i="1" s="1"/>
  <c r="H172" i="1"/>
  <c r="G172" i="1"/>
  <c r="G400" i="1" s="1"/>
  <c r="G520" i="1" s="1"/>
  <c r="F172" i="1"/>
  <c r="F400" i="1" s="1"/>
  <c r="F520" i="1" s="1"/>
  <c r="Q171" i="1"/>
  <c r="Q399" i="1" s="1"/>
  <c r="Q519" i="1" s="1"/>
  <c r="P171" i="1"/>
  <c r="P399" i="1" s="1"/>
  <c r="P519" i="1" s="1"/>
  <c r="O171" i="1"/>
  <c r="O399" i="1" s="1"/>
  <c r="O519" i="1" s="1"/>
  <c r="N171" i="1"/>
  <c r="M171" i="1"/>
  <c r="L171" i="1"/>
  <c r="K171" i="1"/>
  <c r="J171" i="1"/>
  <c r="J399" i="1" s="1"/>
  <c r="J519" i="1" s="1"/>
  <c r="I171" i="1"/>
  <c r="H171" i="1"/>
  <c r="H399" i="1" s="1"/>
  <c r="H519" i="1" s="1"/>
  <c r="G171" i="1"/>
  <c r="F171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F398" i="1" s="1"/>
  <c r="Q167" i="1"/>
  <c r="P167" i="1"/>
  <c r="O167" i="1"/>
  <c r="N167" i="1"/>
  <c r="M167" i="1"/>
  <c r="L167" i="1"/>
  <c r="K167" i="1"/>
  <c r="J167" i="1"/>
  <c r="I167" i="1"/>
  <c r="H167" i="1"/>
  <c r="G167" i="1"/>
  <c r="F167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Q158" i="1"/>
  <c r="Q386" i="1" s="1"/>
  <c r="Q517" i="1" s="1"/>
  <c r="P158" i="1"/>
  <c r="O158" i="1"/>
  <c r="O386" i="1" s="1"/>
  <c r="O517" i="1" s="1"/>
  <c r="N158" i="1"/>
  <c r="N386" i="1" s="1"/>
  <c r="N517" i="1" s="1"/>
  <c r="M158" i="1"/>
  <c r="M386" i="1" s="1"/>
  <c r="M517" i="1" s="1"/>
  <c r="L158" i="1"/>
  <c r="L386" i="1" s="1"/>
  <c r="L517" i="1" s="1"/>
  <c r="K158" i="1"/>
  <c r="J158" i="1"/>
  <c r="I158" i="1"/>
  <c r="H158" i="1"/>
  <c r="G158" i="1"/>
  <c r="G386" i="1" s="1"/>
  <c r="G517" i="1" s="1"/>
  <c r="F158" i="1"/>
  <c r="Q157" i="1"/>
  <c r="P157" i="1"/>
  <c r="O157" i="1"/>
  <c r="O385" i="1" s="1"/>
  <c r="O516" i="1" s="1"/>
  <c r="N157" i="1"/>
  <c r="M157" i="1"/>
  <c r="M385" i="1" s="1"/>
  <c r="M516" i="1" s="1"/>
  <c r="L157" i="1"/>
  <c r="L385" i="1" s="1"/>
  <c r="K157" i="1"/>
  <c r="J157" i="1"/>
  <c r="J385" i="1" s="1"/>
  <c r="I157" i="1"/>
  <c r="I385" i="1" s="1"/>
  <c r="I516" i="1" s="1"/>
  <c r="H157" i="1"/>
  <c r="H385" i="1" s="1"/>
  <c r="G157" i="1"/>
  <c r="G385" i="1" s="1"/>
  <c r="G516" i="1" s="1"/>
  <c r="F157" i="1"/>
  <c r="F385" i="1" s="1"/>
  <c r="Q156" i="1"/>
  <c r="Q384" i="1" s="1"/>
  <c r="P156" i="1"/>
  <c r="P384" i="1" s="1"/>
  <c r="O156" i="1"/>
  <c r="O384" i="1" s="1"/>
  <c r="N156" i="1"/>
  <c r="M156" i="1"/>
  <c r="M384" i="1" s="1"/>
  <c r="M515" i="1" s="1"/>
  <c r="L156" i="1"/>
  <c r="K156" i="1"/>
  <c r="K384" i="1" s="1"/>
  <c r="K515" i="1" s="1"/>
  <c r="J156" i="1"/>
  <c r="J384" i="1" s="1"/>
  <c r="J515" i="1" s="1"/>
  <c r="I156" i="1"/>
  <c r="I384" i="1" s="1"/>
  <c r="I515" i="1" s="1"/>
  <c r="H156" i="1"/>
  <c r="H384" i="1" s="1"/>
  <c r="H515" i="1" s="1"/>
  <c r="G156" i="1"/>
  <c r="G384" i="1" s="1"/>
  <c r="G515" i="1" s="1"/>
  <c r="F156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Q154" i="1"/>
  <c r="P154" i="1"/>
  <c r="O154" i="1"/>
  <c r="N154" i="1"/>
  <c r="M154" i="1"/>
  <c r="L154" i="1"/>
  <c r="K154" i="1"/>
  <c r="J154" i="1"/>
  <c r="I154" i="1"/>
  <c r="I382" i="1" s="1"/>
  <c r="I513" i="1" s="1"/>
  <c r="H154" i="1"/>
  <c r="G154" i="1"/>
  <c r="F154" i="1"/>
  <c r="F382" i="1" s="1"/>
  <c r="F513" i="1" s="1"/>
  <c r="Q153" i="1"/>
  <c r="P153" i="1"/>
  <c r="O153" i="1"/>
  <c r="N153" i="1"/>
  <c r="M153" i="1"/>
  <c r="L153" i="1"/>
  <c r="K153" i="1"/>
  <c r="J153" i="1"/>
  <c r="I153" i="1"/>
  <c r="H153" i="1"/>
  <c r="G153" i="1"/>
  <c r="F153" i="1"/>
  <c r="Q152" i="1"/>
  <c r="Q380" i="1" s="1"/>
  <c r="Q437" i="1" s="1"/>
  <c r="P152" i="1"/>
  <c r="O152" i="1"/>
  <c r="N152" i="1"/>
  <c r="M152" i="1"/>
  <c r="L152" i="1"/>
  <c r="K152" i="1"/>
  <c r="J152" i="1"/>
  <c r="I152" i="1"/>
  <c r="I380" i="1" s="1"/>
  <c r="I437" i="1" s="1"/>
  <c r="H152" i="1"/>
  <c r="G152" i="1"/>
  <c r="F152" i="1"/>
  <c r="Q136" i="1"/>
  <c r="P136" i="1"/>
  <c r="O136" i="1"/>
  <c r="N136" i="1"/>
  <c r="N364" i="1" s="1"/>
  <c r="M136" i="1"/>
  <c r="L136" i="1"/>
  <c r="K136" i="1"/>
  <c r="K364" i="1" s="1"/>
  <c r="J136" i="1"/>
  <c r="I136" i="1"/>
  <c r="H136" i="1"/>
  <c r="G136" i="1"/>
  <c r="F136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Q134" i="1"/>
  <c r="Q141" i="1" s="1" a="1"/>
  <c r="P134" i="1"/>
  <c r="P141" i="1" s="1" a="1"/>
  <c r="P141" i="1" s="1"/>
  <c r="O134" i="1"/>
  <c r="N134" i="1"/>
  <c r="M134" i="1"/>
  <c r="M141" i="1" s="1" a="1"/>
  <c r="M141" i="1" s="1"/>
  <c r="L134" i="1"/>
  <c r="K134" i="1"/>
  <c r="J134" i="1"/>
  <c r="I134" i="1"/>
  <c r="I362" i="1" s="1"/>
  <c r="I429" i="1" s="1"/>
  <c r="H134" i="1"/>
  <c r="H141" i="1" s="1" a="1"/>
  <c r="H141" i="1" s="1"/>
  <c r="G134" i="1"/>
  <c r="F134" i="1"/>
  <c r="Q133" i="1"/>
  <c r="P133" i="1"/>
  <c r="O133" i="1"/>
  <c r="O140" i="1" s="1" a="1"/>
  <c r="N133" i="1"/>
  <c r="M133" i="1"/>
  <c r="L133" i="1"/>
  <c r="K133" i="1"/>
  <c r="J133" i="1"/>
  <c r="I133" i="1"/>
  <c r="I140" i="1" s="1" a="1"/>
  <c r="I140" i="1" s="1"/>
  <c r="H133" i="1"/>
  <c r="G133" i="1"/>
  <c r="F133" i="1"/>
  <c r="Q132" i="1"/>
  <c r="P132" i="1"/>
  <c r="O132" i="1"/>
  <c r="N132" i="1"/>
  <c r="M132" i="1"/>
  <c r="L132" i="1"/>
  <c r="L139" i="1" s="1" a="1"/>
  <c r="L139" i="1" s="1"/>
  <c r="K132" i="1"/>
  <c r="J132" i="1"/>
  <c r="J139" i="1" s="1" a="1"/>
  <c r="J139" i="1" s="1"/>
  <c r="I132" i="1"/>
  <c r="I139" i="1" s="1" a="1"/>
  <c r="I139" i="1" s="1"/>
  <c r="H132" i="1"/>
  <c r="G132" i="1"/>
  <c r="F132" i="1"/>
  <c r="F139" i="1" s="1" a="1"/>
  <c r="F139" i="1" s="1"/>
  <c r="Q131" i="1"/>
  <c r="Q130" i="1" s="1"/>
  <c r="P131" i="1"/>
  <c r="P138" i="1" s="1" a="1"/>
  <c r="P138" i="1" s="1"/>
  <c r="O131" i="1"/>
  <c r="O130" i="1" s="1"/>
  <c r="N131" i="1"/>
  <c r="M131" i="1"/>
  <c r="L131" i="1"/>
  <c r="K131" i="1"/>
  <c r="J131" i="1"/>
  <c r="I131" i="1"/>
  <c r="H131" i="1"/>
  <c r="G131" i="1"/>
  <c r="G138" i="1" s="1" a="1"/>
  <c r="F131" i="1"/>
  <c r="F138" i="1" s="1" a="1"/>
  <c r="Q97" i="1"/>
  <c r="Q129" i="1" s="1"/>
  <c r="P97" i="1"/>
  <c r="O97" i="1"/>
  <c r="N97" i="1"/>
  <c r="N325" i="1" s="1"/>
  <c r="M97" i="1"/>
  <c r="L97" i="1"/>
  <c r="K97" i="1"/>
  <c r="J97" i="1"/>
  <c r="J129" i="1" s="1"/>
  <c r="I97" i="1"/>
  <c r="I325" i="1" s="1"/>
  <c r="I480" i="1" s="1"/>
  <c r="H97" i="1"/>
  <c r="H129" i="1" s="1"/>
  <c r="G97" i="1"/>
  <c r="F97" i="1"/>
  <c r="F129" i="1" s="1"/>
  <c r="Q96" i="1"/>
  <c r="P96" i="1"/>
  <c r="P324" i="1" s="1"/>
  <c r="P479" i="1" s="1"/>
  <c r="O96" i="1"/>
  <c r="N96" i="1"/>
  <c r="M96" i="1"/>
  <c r="L96" i="1"/>
  <c r="K96" i="1"/>
  <c r="K324" i="1" s="1"/>
  <c r="K479" i="1" s="1"/>
  <c r="J96" i="1"/>
  <c r="I96" i="1"/>
  <c r="H96" i="1"/>
  <c r="H128" i="1" s="1"/>
  <c r="G96" i="1"/>
  <c r="G128" i="1" s="1"/>
  <c r="F96" i="1"/>
  <c r="F128" i="1" s="1"/>
  <c r="Q95" i="1"/>
  <c r="P95" i="1"/>
  <c r="O95" i="1"/>
  <c r="N95" i="1"/>
  <c r="M95" i="1"/>
  <c r="L95" i="1"/>
  <c r="K95" i="1"/>
  <c r="J95" i="1"/>
  <c r="J323" i="1" s="1"/>
  <c r="I95" i="1"/>
  <c r="H95" i="1"/>
  <c r="G95" i="1"/>
  <c r="F95" i="1"/>
  <c r="Q94" i="1"/>
  <c r="Q126" i="1" s="1"/>
  <c r="P94" i="1"/>
  <c r="O94" i="1"/>
  <c r="O126" i="1" s="1"/>
  <c r="N94" i="1"/>
  <c r="N126" i="1" s="1"/>
  <c r="M94" i="1"/>
  <c r="L94" i="1"/>
  <c r="L322" i="1" s="1"/>
  <c r="L477" i="1" s="1"/>
  <c r="K94" i="1"/>
  <c r="J94" i="1"/>
  <c r="I94" i="1"/>
  <c r="I322" i="1" s="1"/>
  <c r="I477" i="1" s="1"/>
  <c r="H94" i="1"/>
  <c r="H322" i="1" s="1"/>
  <c r="H477" i="1" s="1"/>
  <c r="G94" i="1"/>
  <c r="G322" i="1" s="1"/>
  <c r="G477" i="1" s="1"/>
  <c r="F94" i="1"/>
  <c r="Q93" i="1"/>
  <c r="P93" i="1"/>
  <c r="O93" i="1"/>
  <c r="O321" i="1" s="1"/>
  <c r="N93" i="1"/>
  <c r="M93" i="1"/>
  <c r="M321" i="1" s="1"/>
  <c r="L93" i="1"/>
  <c r="K93" i="1"/>
  <c r="J93" i="1"/>
  <c r="I93" i="1"/>
  <c r="I125" i="1" s="1"/>
  <c r="H93" i="1"/>
  <c r="G93" i="1"/>
  <c r="F93" i="1"/>
  <c r="Q92" i="1"/>
  <c r="P92" i="1"/>
  <c r="O92" i="1"/>
  <c r="N92" i="1"/>
  <c r="M92" i="1"/>
  <c r="L92" i="1"/>
  <c r="L124" i="1" s="1"/>
  <c r="K92" i="1"/>
  <c r="J92" i="1"/>
  <c r="J124" i="1" s="1"/>
  <c r="I92" i="1"/>
  <c r="H92" i="1"/>
  <c r="H320" i="1" s="1"/>
  <c r="H475" i="1" s="1"/>
  <c r="G92" i="1"/>
  <c r="F92" i="1"/>
  <c r="Q91" i="1"/>
  <c r="P91" i="1"/>
  <c r="P123" i="1" s="1"/>
  <c r="O91" i="1"/>
  <c r="O123" i="1" s="1"/>
  <c r="N91" i="1"/>
  <c r="M91" i="1"/>
  <c r="L91" i="1"/>
  <c r="K91" i="1"/>
  <c r="K123" i="1" s="1"/>
  <c r="J91" i="1"/>
  <c r="I91" i="1"/>
  <c r="H91" i="1"/>
  <c r="G91" i="1"/>
  <c r="F91" i="1"/>
  <c r="Q90" i="1"/>
  <c r="P90" i="1"/>
  <c r="O90" i="1"/>
  <c r="N90" i="1"/>
  <c r="M90" i="1"/>
  <c r="L90" i="1"/>
  <c r="K90" i="1"/>
  <c r="J90" i="1"/>
  <c r="I90" i="1"/>
  <c r="H90" i="1"/>
  <c r="G90" i="1"/>
  <c r="G122" i="1" s="1"/>
  <c r="F90" i="1"/>
  <c r="Q89" i="1"/>
  <c r="P89" i="1"/>
  <c r="O89" i="1"/>
  <c r="N89" i="1"/>
  <c r="M89" i="1"/>
  <c r="L89" i="1"/>
  <c r="L121" i="1" s="1"/>
  <c r="K89" i="1"/>
  <c r="K121" i="1" s="1"/>
  <c r="J89" i="1"/>
  <c r="I89" i="1"/>
  <c r="H89" i="1"/>
  <c r="G89" i="1"/>
  <c r="G121" i="1" s="1"/>
  <c r="F89" i="1"/>
  <c r="Q88" i="1"/>
  <c r="P88" i="1"/>
  <c r="O88" i="1"/>
  <c r="O120" i="1" s="1"/>
  <c r="N88" i="1"/>
  <c r="M88" i="1"/>
  <c r="L88" i="1"/>
  <c r="K88" i="1"/>
  <c r="J88" i="1"/>
  <c r="I88" i="1"/>
  <c r="H88" i="1"/>
  <c r="G88" i="1"/>
  <c r="F88" i="1"/>
  <c r="F120" i="1" s="1"/>
  <c r="Q87" i="1"/>
  <c r="P87" i="1"/>
  <c r="O87" i="1"/>
  <c r="N87" i="1"/>
  <c r="M87" i="1"/>
  <c r="L87" i="1"/>
  <c r="K87" i="1"/>
  <c r="J87" i="1"/>
  <c r="J119" i="1" s="1"/>
  <c r="I87" i="1"/>
  <c r="I119" i="1" s="1"/>
  <c r="H87" i="1"/>
  <c r="G87" i="1"/>
  <c r="F87" i="1"/>
  <c r="Q86" i="1"/>
  <c r="P86" i="1"/>
  <c r="O86" i="1"/>
  <c r="O314" i="1" s="1"/>
  <c r="N86" i="1"/>
  <c r="M86" i="1"/>
  <c r="M118" i="1" s="1"/>
  <c r="L86" i="1"/>
  <c r="K86" i="1"/>
  <c r="K118" i="1" s="1"/>
  <c r="J86" i="1"/>
  <c r="I86" i="1"/>
  <c r="I118" i="1" s="1"/>
  <c r="H86" i="1"/>
  <c r="G86" i="1"/>
  <c r="F86" i="1"/>
  <c r="Q85" i="1"/>
  <c r="P85" i="1"/>
  <c r="O85" i="1"/>
  <c r="N85" i="1"/>
  <c r="N117" i="1" s="1"/>
  <c r="M85" i="1"/>
  <c r="M117" i="1" s="1"/>
  <c r="L85" i="1"/>
  <c r="L117" i="1" s="1"/>
  <c r="K85" i="1"/>
  <c r="K117" i="1" s="1"/>
  <c r="J85" i="1"/>
  <c r="J117" i="1" s="1"/>
  <c r="I85" i="1"/>
  <c r="I117" i="1" s="1"/>
  <c r="H85" i="1"/>
  <c r="G85" i="1"/>
  <c r="G117" i="1" s="1"/>
  <c r="F85" i="1"/>
  <c r="F117" i="1" s="1"/>
  <c r="Q84" i="1"/>
  <c r="Q116" i="1" s="1"/>
  <c r="P84" i="1"/>
  <c r="P116" i="1" s="1"/>
  <c r="O84" i="1"/>
  <c r="O116" i="1" s="1"/>
  <c r="N84" i="1"/>
  <c r="M84" i="1"/>
  <c r="L84" i="1"/>
  <c r="K84" i="1"/>
  <c r="K116" i="1" s="1"/>
  <c r="J84" i="1"/>
  <c r="I84" i="1"/>
  <c r="H84" i="1"/>
  <c r="G84" i="1"/>
  <c r="F84" i="1"/>
  <c r="Q83" i="1"/>
  <c r="P83" i="1"/>
  <c r="O83" i="1"/>
  <c r="N83" i="1"/>
  <c r="M83" i="1"/>
  <c r="M115" i="1" s="1"/>
  <c r="L83" i="1"/>
  <c r="L115" i="1" s="1"/>
  <c r="K83" i="1"/>
  <c r="K115" i="1" s="1"/>
  <c r="J83" i="1"/>
  <c r="J115" i="1" s="1"/>
  <c r="I83" i="1"/>
  <c r="I115" i="1" s="1"/>
  <c r="H83" i="1"/>
  <c r="H115" i="1" s="1"/>
  <c r="G83" i="1"/>
  <c r="G115" i="1" s="1"/>
  <c r="F83" i="1"/>
  <c r="F115" i="1" s="1"/>
  <c r="Q77" i="1"/>
  <c r="P77" i="1"/>
  <c r="O77" i="1"/>
  <c r="N77" i="1"/>
  <c r="M77" i="1"/>
  <c r="L77" i="1"/>
  <c r="K77" i="1"/>
  <c r="J77" i="1"/>
  <c r="I77" i="1"/>
  <c r="H77" i="1"/>
  <c r="G77" i="1"/>
  <c r="F77" i="1"/>
  <c r="Q76" i="1"/>
  <c r="P76" i="1"/>
  <c r="O76" i="1"/>
  <c r="N76" i="1"/>
  <c r="M76" i="1"/>
  <c r="L76" i="1"/>
  <c r="K76" i="1"/>
  <c r="J76" i="1"/>
  <c r="I76" i="1"/>
  <c r="H76" i="1"/>
  <c r="G76" i="1"/>
  <c r="F76" i="1"/>
  <c r="Q73" i="1"/>
  <c r="Q301" i="1" s="1"/>
  <c r="Q465" i="1" s="1"/>
  <c r="P73" i="1"/>
  <c r="P301" i="1" s="1"/>
  <c r="P465" i="1" s="1"/>
  <c r="O73" i="1"/>
  <c r="N73" i="1"/>
  <c r="N301" i="1" s="1"/>
  <c r="N465" i="1" s="1"/>
  <c r="M73" i="1"/>
  <c r="M301" i="1" s="1"/>
  <c r="M465" i="1" s="1"/>
  <c r="L73" i="1"/>
  <c r="K73" i="1"/>
  <c r="K301" i="1" s="1"/>
  <c r="K465" i="1" s="1"/>
  <c r="J73" i="1"/>
  <c r="J301" i="1" s="1"/>
  <c r="J465" i="1" s="1"/>
  <c r="I73" i="1"/>
  <c r="I301" i="1" s="1"/>
  <c r="I465" i="1" s="1"/>
  <c r="H73" i="1"/>
  <c r="H301" i="1" s="1"/>
  <c r="H465" i="1" s="1"/>
  <c r="G73" i="1"/>
  <c r="F73" i="1"/>
  <c r="Q72" i="1"/>
  <c r="P72" i="1"/>
  <c r="O72" i="1"/>
  <c r="O300" i="1" s="1"/>
  <c r="O413" i="1" s="1"/>
  <c r="N72" i="1"/>
  <c r="M72" i="1"/>
  <c r="L72" i="1"/>
  <c r="K72" i="1"/>
  <c r="J72" i="1"/>
  <c r="I72" i="1"/>
  <c r="I300" i="1" s="1"/>
  <c r="H72" i="1"/>
  <c r="G72" i="1"/>
  <c r="F72" i="1"/>
  <c r="Q71" i="1"/>
  <c r="P71" i="1"/>
  <c r="O71" i="1"/>
  <c r="N71" i="1"/>
  <c r="M71" i="1"/>
  <c r="L71" i="1"/>
  <c r="K71" i="1"/>
  <c r="J71" i="1"/>
  <c r="I71" i="1"/>
  <c r="H71" i="1"/>
  <c r="G71" i="1"/>
  <c r="F71" i="1"/>
  <c r="Q69" i="1"/>
  <c r="P69" i="1"/>
  <c r="O69" i="1"/>
  <c r="N69" i="1"/>
  <c r="M69" i="1"/>
  <c r="L69" i="1"/>
  <c r="K69" i="1"/>
  <c r="J69" i="1"/>
  <c r="I69" i="1"/>
  <c r="H69" i="1"/>
  <c r="G69" i="1"/>
  <c r="F69" i="1"/>
  <c r="Q68" i="1"/>
  <c r="P68" i="1"/>
  <c r="O68" i="1"/>
  <c r="N68" i="1"/>
  <c r="M68" i="1"/>
  <c r="L68" i="1"/>
  <c r="K68" i="1"/>
  <c r="J68" i="1"/>
  <c r="I68" i="1"/>
  <c r="H68" i="1"/>
  <c r="G68" i="1"/>
  <c r="F68" i="1"/>
  <c r="Q67" i="1"/>
  <c r="P67" i="1"/>
  <c r="O67" i="1"/>
  <c r="N67" i="1"/>
  <c r="M67" i="1"/>
  <c r="L67" i="1"/>
  <c r="K67" i="1"/>
  <c r="J67" i="1"/>
  <c r="I67" i="1"/>
  <c r="H67" i="1"/>
  <c r="G67" i="1"/>
  <c r="F67" i="1"/>
  <c r="Q65" i="1"/>
  <c r="P65" i="1"/>
  <c r="O65" i="1"/>
  <c r="N65" i="1"/>
  <c r="M65" i="1"/>
  <c r="L65" i="1"/>
  <c r="K65" i="1"/>
  <c r="J65" i="1"/>
  <c r="I65" i="1"/>
  <c r="H65" i="1"/>
  <c r="G65" i="1"/>
  <c r="F65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P1648" i="1" a="1"/>
  <c r="P1648" i="1" s="1"/>
  <c r="L1648" i="1" a="1"/>
  <c r="L1648" i="1"/>
  <c r="G1648" i="1" a="1"/>
  <c r="G1648" i="1" s="1"/>
  <c r="Q1648" i="1" a="1"/>
  <c r="Q1648" i="1" s="1"/>
  <c r="K1648" i="1" a="1"/>
  <c r="K1648" i="1" s="1"/>
  <c r="I1648" i="1" a="1"/>
  <c r="I1648" i="1" s="1"/>
  <c r="O1648" i="1" a="1"/>
  <c r="O1648" i="1" s="1"/>
  <c r="H1648" i="1" a="1"/>
  <c r="H1648" i="1"/>
  <c r="M1648" i="1" a="1"/>
  <c r="M1648" i="1" s="1"/>
  <c r="F1648" i="1" a="1"/>
  <c r="F1648" i="1" s="1"/>
  <c r="J1648" i="1" a="1"/>
  <c r="J1648" i="1"/>
  <c r="N1648" i="1" a="1"/>
  <c r="N1648" i="1"/>
  <c r="I1644" i="1" a="1"/>
  <c r="I1644" i="1"/>
  <c r="N1644" i="1" a="1"/>
  <c r="N1644" i="1"/>
  <c r="J1644" i="1" a="1"/>
  <c r="J1644" i="1" s="1"/>
  <c r="Q1644" i="1" a="1"/>
  <c r="Q1644" i="1" s="1"/>
  <c r="F1644" i="1" a="1"/>
  <c r="F1644" i="1"/>
  <c r="O1644" i="1" a="1"/>
  <c r="O1644" i="1" s="1"/>
  <c r="P1644" i="1" a="1"/>
  <c r="P1644" i="1" s="1"/>
  <c r="M1644" i="1" a="1"/>
  <c r="M1644" i="1" s="1"/>
  <c r="L1644" i="1" a="1"/>
  <c r="L1644" i="1"/>
  <c r="K1644" i="1" a="1"/>
  <c r="K1644" i="1"/>
  <c r="H1644" i="1" a="1"/>
  <c r="H1644" i="1"/>
  <c r="G1644" i="1" a="1"/>
  <c r="G1644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I36" i="1"/>
  <c r="H36" i="1"/>
  <c r="G36" i="1"/>
  <c r="F36" i="1"/>
  <c r="Q32" i="1"/>
  <c r="P32" i="1"/>
  <c r="O32" i="1"/>
  <c r="N32" i="1"/>
  <c r="M32" i="1"/>
  <c r="L32" i="1"/>
  <c r="K32" i="1"/>
  <c r="J32" i="1"/>
  <c r="I32" i="1"/>
  <c r="H32" i="1"/>
  <c r="H30" i="1" s="1" a="1"/>
  <c r="H30" i="1" s="1"/>
  <c r="G32" i="1"/>
  <c r="F32" i="1"/>
  <c r="P2337" i="1" a="1"/>
  <c r="P2337" i="1"/>
  <c r="K2338" i="1" a="1"/>
  <c r="K2338" i="1" s="1"/>
  <c r="I2338" i="1" a="1"/>
  <c r="I2338" i="1" s="1"/>
  <c r="J2337" i="1" a="1"/>
  <c r="J2337" i="1" s="1"/>
  <c r="O2337" i="1" a="1"/>
  <c r="O2337" i="1" s="1"/>
  <c r="F2337" i="1" a="1"/>
  <c r="F2337" i="1"/>
  <c r="J2338" i="1" a="1"/>
  <c r="J2338" i="1" s="1"/>
  <c r="G2338" i="1" a="1"/>
  <c r="G2338" i="1"/>
  <c r="M2337" i="1" a="1"/>
  <c r="M2337" i="1"/>
  <c r="O2336" i="1" a="1"/>
  <c r="O2336" i="1" s="1"/>
  <c r="L2337" i="1" a="1"/>
  <c r="L2337" i="1" s="1"/>
  <c r="I2337" i="1" a="1"/>
  <c r="I2337" i="1" s="1"/>
  <c r="H2337" i="1" a="1"/>
  <c r="H2337" i="1"/>
  <c r="G2337" i="1" a="1"/>
  <c r="G2337" i="1"/>
  <c r="N2336" i="1" a="1"/>
  <c r="N2336" i="1" s="1"/>
  <c r="F2338" i="1" a="1"/>
  <c r="F2338" i="1"/>
  <c r="N2337" i="1" a="1"/>
  <c r="N2337" i="1"/>
  <c r="K2337" i="1" a="1"/>
  <c r="K2337" i="1"/>
  <c r="Q2336" i="1" a="1"/>
  <c r="Q2336" i="1" s="1"/>
  <c r="M2336" i="1" a="1"/>
  <c r="M2336" i="1" s="1"/>
  <c r="H2338" i="1" a="1"/>
  <c r="H2338" i="1"/>
  <c r="Q2337" i="1" a="1"/>
  <c r="Q2337" i="1"/>
  <c r="P2336" i="1" a="1"/>
  <c r="P2336" i="1" s="1"/>
  <c r="L2336" i="1" a="1"/>
  <c r="L2336" i="1"/>
  <c r="Q2340" i="1" a="1"/>
  <c r="Q2340" i="1" s="1"/>
  <c r="O2340" i="1" a="1"/>
  <c r="O2340" i="1" s="1"/>
  <c r="I2340" i="1" a="1"/>
  <c r="I2340" i="1" s="1"/>
  <c r="M2340" i="1" a="1"/>
  <c r="M2340" i="1"/>
  <c r="N2340" i="1" a="1"/>
  <c r="N2340" i="1"/>
  <c r="P2340" i="1" a="1"/>
  <c r="P2340" i="1" s="1"/>
  <c r="J2340" i="1" a="1"/>
  <c r="J2340" i="1" s="1"/>
  <c r="L2340" i="1" a="1"/>
  <c r="L2340" i="1" s="1"/>
  <c r="K2340" i="1" a="1"/>
  <c r="K2340" i="1" s="1"/>
  <c r="F2029" i="1" a="1"/>
  <c r="F2029" i="1"/>
  <c r="I2032" i="1" a="1"/>
  <c r="I2032" i="1"/>
  <c r="I2031" i="1" s="1" a="1"/>
  <c r="I2031" i="1" s="1"/>
  <c r="O2034" i="1" a="1"/>
  <c r="O2034" i="1" s="1"/>
  <c r="M2032" i="1" a="1"/>
  <c r="M2032" i="1"/>
  <c r="M2031" i="1" s="1" a="1"/>
  <c r="M2031" i="1" s="1"/>
  <c r="M2034" i="1" a="1"/>
  <c r="M2034" i="1"/>
  <c r="L2034" i="1" a="1"/>
  <c r="L2034" i="1"/>
  <c r="J2034" i="1" a="1"/>
  <c r="J2034" i="1"/>
  <c r="G2034" i="1" a="1"/>
  <c r="G2034" i="1"/>
  <c r="G2029" i="1" a="1"/>
  <c r="G2029" i="1" s="1"/>
  <c r="G2028" i="1" s="1" a="1"/>
  <c r="G2028" i="1" s="1"/>
  <c r="Q2032" i="1" a="1"/>
  <c r="Q2032" i="1" s="1"/>
  <c r="Q2031" i="1" s="1" a="1"/>
  <c r="Q2031" i="1" s="1"/>
  <c r="P2032" i="1" a="1"/>
  <c r="P2032" i="1"/>
  <c r="N2032" i="1" a="1"/>
  <c r="N2032" i="1" s="1"/>
  <c r="N2031" i="1" s="1" a="1"/>
  <c r="N2031" i="1" s="1"/>
  <c r="L2032" i="1" a="1"/>
  <c r="L2032" i="1" s="1"/>
  <c r="G2032" i="1" a="1"/>
  <c r="G2032" i="1" s="1"/>
  <c r="F2032" i="1" a="1"/>
  <c r="F2032" i="1" s="1"/>
  <c r="P2031" i="1" a="1"/>
  <c r="P2031" i="1"/>
  <c r="L2031" i="1" a="1"/>
  <c r="L2031" i="1"/>
  <c r="P2029" i="1" a="1"/>
  <c r="P2029" i="1"/>
  <c r="P2028" i="1" s="1" a="1"/>
  <c r="P2028" i="1" s="1"/>
  <c r="Q2028" i="1" a="1"/>
  <c r="Q2028" i="1" s="1"/>
  <c r="G2031" i="1" a="1"/>
  <c r="G2031" i="1" s="1"/>
  <c r="I2029" i="1" a="1"/>
  <c r="I2029" i="1" s="1"/>
  <c r="I2028" i="1" s="1" a="1"/>
  <c r="I2028" i="1" s="1"/>
  <c r="M2029" i="1" a="1"/>
  <c r="M2029" i="1"/>
  <c r="M2028" i="1" s="1" a="1"/>
  <c r="M2028" i="1" s="1"/>
  <c r="L2029" i="1" a="1"/>
  <c r="L2029" i="1" s="1"/>
  <c r="L2028" i="1" s="1" a="1"/>
  <c r="L2028" i="1" s="1"/>
  <c r="H2029" i="1" a="1"/>
  <c r="H2029" i="1" s="1"/>
  <c r="O2029" i="1" a="1"/>
  <c r="O2029" i="1" s="1"/>
  <c r="K2029" i="1" a="1"/>
  <c r="K2029" i="1"/>
  <c r="K2028" i="1" s="1" a="1"/>
  <c r="K2028" i="1" s="1"/>
  <c r="H2032" i="1" a="1"/>
  <c r="H2032" i="1"/>
  <c r="K2031" i="1"/>
  <c r="Q2034" i="1" a="1"/>
  <c r="Q2034" i="1"/>
  <c r="N2029" i="1" a="1"/>
  <c r="N2029" i="1"/>
  <c r="K2034" i="1" a="1"/>
  <c r="K2034" i="1"/>
  <c r="K2032" i="1" a="1"/>
  <c r="K2032" i="1" s="1"/>
  <c r="K2031" i="1" s="1" a="1"/>
  <c r="P2034" i="1" a="1"/>
  <c r="P2034" i="1"/>
  <c r="H2034" i="1" a="1"/>
  <c r="H2034" i="1"/>
  <c r="N2034" i="1" a="1"/>
  <c r="N2034" i="1"/>
  <c r="F2034" i="1" a="1"/>
  <c r="F2034" i="1"/>
  <c r="F2031" i="1" a="1"/>
  <c r="F2031" i="1" s="1"/>
  <c r="J2032" i="1" a="1"/>
  <c r="J2032" i="1"/>
  <c r="J2031" i="1" s="1" a="1"/>
  <c r="J2031" i="1" s="1"/>
  <c r="I2034" i="1" a="1"/>
  <c r="I2034" i="1" s="1"/>
  <c r="O2032" i="1" a="1"/>
  <c r="O2032" i="1" s="1"/>
  <c r="O2031" i="1" a="1"/>
  <c r="O2031" i="1" s="1"/>
  <c r="Q2029" i="1" a="1"/>
  <c r="Q2029" i="1" s="1"/>
  <c r="H2031" i="1" a="1"/>
  <c r="H2031" i="1"/>
  <c r="J2029" i="1" a="1"/>
  <c r="J2029" i="1" s="1"/>
  <c r="J2028" i="1" s="1" a="1"/>
  <c r="J2028" i="1" s="1"/>
  <c r="N2026" i="1" a="1"/>
  <c r="N2026" i="1"/>
  <c r="J2026" i="1" a="1"/>
  <c r="J2026" i="1"/>
  <c r="L2026" i="1" a="1"/>
  <c r="L2026" i="1"/>
  <c r="Q2026" i="1" a="1"/>
  <c r="Q2026" i="1"/>
  <c r="O2028" i="1" a="1"/>
  <c r="O2028" i="1"/>
  <c r="N2028" i="1" a="1"/>
  <c r="N2028" i="1" s="1"/>
  <c r="H2028" i="1" a="1"/>
  <c r="H2028" i="1"/>
  <c r="M2026" i="1" a="1"/>
  <c r="M2026" i="1"/>
  <c r="K2026" i="1" a="1"/>
  <c r="K2026" i="1" s="1"/>
  <c r="H2026" i="1" a="1"/>
  <c r="H2026" i="1" s="1"/>
  <c r="F2028" i="1" a="1"/>
  <c r="F2028" i="1" s="1"/>
  <c r="I2026" i="1" a="1"/>
  <c r="I2026" i="1"/>
  <c r="O2026" i="1" a="1"/>
  <c r="O2026" i="1"/>
  <c r="P2026" i="1" a="1"/>
  <c r="P2026" i="1" s="1"/>
  <c r="O2049" i="1" a="1"/>
  <c r="O2049" i="1" s="1"/>
  <c r="P2049" i="1" a="1"/>
  <c r="P2049" i="1" s="1"/>
  <c r="N2049" i="1" a="1"/>
  <c r="N2049" i="1" s="1"/>
  <c r="F2049" i="1" a="1"/>
  <c r="F2049" i="1" s="1"/>
  <c r="M2049" i="1" a="1"/>
  <c r="M2049" i="1" s="1"/>
  <c r="L2049" i="1" a="1"/>
  <c r="L2049" i="1" s="1"/>
  <c r="J2049" i="1" a="1"/>
  <c r="J2049" i="1"/>
  <c r="K2049" i="1" a="1"/>
  <c r="K2049" i="1"/>
  <c r="I2049" i="1" a="1"/>
  <c r="I2049" i="1" s="1"/>
  <c r="Q2048" i="1" a="1"/>
  <c r="Q2048" i="1" s="1"/>
  <c r="H2049" i="1" a="1"/>
  <c r="H2049" i="1" s="1"/>
  <c r="G2049" i="1" a="1"/>
  <c r="G2049" i="1"/>
  <c r="L2048" i="1" a="1"/>
  <c r="L2048" i="1" s="1"/>
  <c r="K2048" i="1" a="1"/>
  <c r="K2048" i="1" s="1"/>
  <c r="P2048" i="1" a="1"/>
  <c r="P2048" i="1" s="1"/>
  <c r="O2048" i="1" a="1"/>
  <c r="O2048" i="1"/>
  <c r="N2048" i="1" a="1"/>
  <c r="N2048" i="1"/>
  <c r="M2048" i="1" a="1"/>
  <c r="M2048" i="1"/>
  <c r="P2047" i="1" a="1"/>
  <c r="P2047" i="1"/>
  <c r="K2047" i="1" a="1"/>
  <c r="K2047" i="1" s="1"/>
  <c r="Q2047" i="1" a="1"/>
  <c r="Q2047" i="1" s="1"/>
  <c r="M2047" i="1" a="1"/>
  <c r="M2047" i="1"/>
  <c r="J2048" i="1" a="1"/>
  <c r="J2048" i="1"/>
  <c r="I2048" i="1" a="1"/>
  <c r="I2048" i="1"/>
  <c r="F2048" i="1" a="1"/>
  <c r="F2048" i="1"/>
  <c r="H2048" i="1" a="1"/>
  <c r="H2048" i="1" s="1"/>
  <c r="L2047" i="1" a="1"/>
  <c r="L2047" i="1"/>
  <c r="G2048" i="1" a="1"/>
  <c r="G2048" i="1" s="1"/>
  <c r="O2047" i="1" a="1"/>
  <c r="O2047" i="1"/>
  <c r="N2047" i="1" a="1"/>
  <c r="N2047" i="1" s="1"/>
  <c r="J2047" i="1" a="1"/>
  <c r="J2047" i="1" s="1"/>
  <c r="I2047" i="1" a="1"/>
  <c r="I2047" i="1" s="1"/>
  <c r="H2047" i="1" a="1"/>
  <c r="H2047" i="1" s="1"/>
  <c r="G2047" i="1" a="1"/>
  <c r="G2047" i="1"/>
  <c r="P2046" i="1" a="1"/>
  <c r="P2046" i="1" s="1"/>
  <c r="Q2046" i="1" a="1"/>
  <c r="Q2046" i="1"/>
  <c r="N2046" i="1" a="1"/>
  <c r="N2046" i="1"/>
  <c r="F2047" i="1" a="1"/>
  <c r="F2047" i="1"/>
  <c r="O2046" i="1" a="1"/>
  <c r="O2046" i="1"/>
  <c r="M2046" i="1" a="1"/>
  <c r="M2046" i="1" s="1"/>
  <c r="L2046" i="1" a="1"/>
  <c r="L2046" i="1" s="1"/>
  <c r="H2045" i="1" a="1"/>
  <c r="H2045" i="1" s="1"/>
  <c r="K2044" i="1" a="1"/>
  <c r="K2044" i="1" s="1"/>
  <c r="L2045" i="1" a="1"/>
  <c r="L2045" i="1"/>
  <c r="K2046" i="1" a="1"/>
  <c r="K2046" i="1"/>
  <c r="H2044" i="1" a="1"/>
  <c r="H2044" i="1"/>
  <c r="J2046" i="1" a="1"/>
  <c r="J2046" i="1"/>
  <c r="I2046" i="1" a="1"/>
  <c r="I2046" i="1"/>
  <c r="H2046" i="1" a="1"/>
  <c r="H2046" i="1" s="1"/>
  <c r="G2046" i="1" a="1"/>
  <c r="G2046" i="1"/>
  <c r="O2045" i="1" a="1"/>
  <c r="O2045" i="1" s="1"/>
  <c r="J2045" i="1" a="1"/>
  <c r="J2045" i="1" s="1"/>
  <c r="O2044" i="1" a="1"/>
  <c r="O2044" i="1" s="1"/>
  <c r="O2043" i="1" a="1"/>
  <c r="O2043" i="1" s="1"/>
  <c r="L2043" i="1" a="1"/>
  <c r="L2043" i="1"/>
  <c r="K2043" i="1" a="1"/>
  <c r="K2043" i="1" s="1"/>
  <c r="F2046" i="1" a="1"/>
  <c r="F2046" i="1" s="1"/>
  <c r="Q2045" i="1" a="1"/>
  <c r="Q2045" i="1"/>
  <c r="P2045" i="1" a="1"/>
  <c r="P2045" i="1" s="1"/>
  <c r="M2044" i="1" a="1"/>
  <c r="M2044" i="1" s="1"/>
  <c r="N2045" i="1" a="1"/>
  <c r="N2045" i="1" s="1"/>
  <c r="P2044" i="1" a="1"/>
  <c r="P2044" i="1" s="1"/>
  <c r="J2044" i="1" a="1"/>
  <c r="J2044" i="1" s="1"/>
  <c r="M2043" i="1" a="1"/>
  <c r="M2043" i="1"/>
  <c r="I2044" i="1" a="1"/>
  <c r="I2044" i="1"/>
  <c r="F2045" i="1" a="1"/>
  <c r="F2045" i="1" s="1"/>
  <c r="I2043" i="1" a="1"/>
  <c r="I2043" i="1" s="1"/>
  <c r="Q2044" i="1" a="1"/>
  <c r="Q2044" i="1"/>
  <c r="P2043" i="1" a="1"/>
  <c r="P2043" i="1" s="1"/>
  <c r="F2044" i="1" a="1"/>
  <c r="F2044" i="1" s="1"/>
  <c r="G2045" i="1" a="1"/>
  <c r="G2045" i="1"/>
  <c r="N2044" i="1" a="1"/>
  <c r="N2044" i="1" s="1"/>
  <c r="M2045" i="1" a="1"/>
  <c r="M2045" i="1" s="1"/>
  <c r="K2045" i="1" a="1"/>
  <c r="K2045" i="1"/>
  <c r="N2043" i="1" a="1"/>
  <c r="N2043" i="1"/>
  <c r="J2043" i="1" a="1"/>
  <c r="J2043" i="1"/>
  <c r="I2045" i="1" a="1"/>
  <c r="I2045" i="1"/>
  <c r="L2044" i="1" a="1"/>
  <c r="L2044" i="1"/>
  <c r="G2044" i="1" a="1"/>
  <c r="G2044" i="1" s="1"/>
  <c r="Q2043" i="1" a="1"/>
  <c r="Q2043" i="1"/>
  <c r="N2042" i="1" a="1"/>
  <c r="N2042" i="1"/>
  <c r="K2042" i="1" a="1"/>
  <c r="K2042" i="1" s="1"/>
  <c r="I2042" i="1" a="1"/>
  <c r="I2042" i="1" s="1"/>
  <c r="H2042" i="1" a="1"/>
  <c r="H2042" i="1" s="1"/>
  <c r="H2043" i="1" a="1"/>
  <c r="H2043" i="1" s="1"/>
  <c r="G2043" i="1" a="1"/>
  <c r="G2043" i="1" s="1"/>
  <c r="F2043" i="1" a="1"/>
  <c r="F2043" i="1"/>
  <c r="O2042" i="1" a="1"/>
  <c r="O2042" i="1" s="1"/>
  <c r="M2042" i="1" a="1"/>
  <c r="M2042" i="1" s="1"/>
  <c r="L2042" i="1" a="1"/>
  <c r="L2042" i="1" s="1"/>
  <c r="J2042" i="1" a="1"/>
  <c r="J2042" i="1" s="1"/>
  <c r="Q2042" i="1" a="1"/>
  <c r="Q2042" i="1" s="1"/>
  <c r="P2042" i="1" a="1"/>
  <c r="P2042" i="1" s="1"/>
  <c r="G2042" i="1" a="1"/>
  <c r="G2042" i="1" s="1"/>
  <c r="F2042" i="1" a="1"/>
  <c r="F2042" i="1"/>
  <c r="Q2041" i="1" a="1"/>
  <c r="Q2041" i="1"/>
  <c r="P2041" i="1" a="1"/>
  <c r="P2041" i="1"/>
  <c r="O2041" i="1" a="1"/>
  <c r="O2041" i="1" s="1"/>
  <c r="N2041" i="1" a="1"/>
  <c r="N2041" i="1"/>
  <c r="M2041" i="1" a="1"/>
  <c r="M2041" i="1" s="1"/>
  <c r="L2041" i="1" a="1"/>
  <c r="L2041" i="1" s="1"/>
  <c r="K2041" i="1" a="1"/>
  <c r="K2041" i="1"/>
  <c r="J2041" i="1" a="1"/>
  <c r="J2041" i="1"/>
  <c r="I2041" i="1" a="1"/>
  <c r="I2041" i="1"/>
  <c r="G2041" i="1" a="1"/>
  <c r="G2041" i="1"/>
  <c r="O2040" i="1" a="1"/>
  <c r="O2040" i="1"/>
  <c r="F2041" i="1" a="1"/>
  <c r="F2041" i="1" s="1"/>
  <c r="K2040" i="1" a="1"/>
  <c r="K2040" i="1" s="1"/>
  <c r="J2040" i="1" a="1"/>
  <c r="J2040" i="1"/>
  <c r="N2040" i="1" a="1"/>
  <c r="N2040" i="1"/>
  <c r="H2041" i="1" a="1"/>
  <c r="H2041" i="1"/>
  <c r="Q2040" i="1" a="1"/>
  <c r="Q2040" i="1" s="1"/>
  <c r="P2040" i="1" a="1"/>
  <c r="P2040" i="1"/>
  <c r="M2040" i="1" a="1"/>
  <c r="M2040" i="1"/>
  <c r="L2040" i="1" a="1"/>
  <c r="L2040" i="1"/>
  <c r="L2036" i="1" a="1"/>
  <c r="L2036" i="1"/>
  <c r="G2035" i="1" a="1"/>
  <c r="G2035" i="1" s="1"/>
  <c r="I2036" i="1" a="1"/>
  <c r="I2036" i="1" s="1"/>
  <c r="P2035" i="1" a="1"/>
  <c r="P2035" i="1" s="1"/>
  <c r="L2035" i="1" a="1"/>
  <c r="L2035" i="1" s="1"/>
  <c r="N2036" i="1" a="1"/>
  <c r="N2036" i="1" s="1"/>
  <c r="M2036" i="1" a="1"/>
  <c r="M2036" i="1" s="1"/>
  <c r="I2035" i="1" a="1"/>
  <c r="I2035" i="1"/>
  <c r="M2039" i="1" a="1"/>
  <c r="M2039" i="1" s="1"/>
  <c r="I2040" i="1" a="1"/>
  <c r="I2040" i="1" s="1"/>
  <c r="O2039" i="1" a="1"/>
  <c r="O2039" i="1" s="1"/>
  <c r="G2039" i="1" a="1"/>
  <c r="G2039" i="1" s="1"/>
  <c r="O2037" i="1" a="1"/>
  <c r="O2037" i="1"/>
  <c r="J2037" i="1" a="1"/>
  <c r="J2037" i="1"/>
  <c r="Q2035" i="1" a="1"/>
  <c r="Q2035" i="1"/>
  <c r="N2037" i="1" a="1"/>
  <c r="N2037" i="1"/>
  <c r="H2038" i="1" a="1"/>
  <c r="H2038" i="1"/>
  <c r="H2040" i="1" a="1"/>
  <c r="H2040" i="1"/>
  <c r="Q2036" i="1" a="1"/>
  <c r="Q2036" i="1"/>
  <c r="F2040" i="1" a="1"/>
  <c r="F2040" i="1"/>
  <c r="G2037" i="1" a="1"/>
  <c r="G2037" i="1" s="1"/>
  <c r="Q2039" i="1" a="1"/>
  <c r="Q2039" i="1" s="1"/>
  <c r="N2039" i="1" a="1"/>
  <c r="N2039" i="1"/>
  <c r="H2036" i="1" a="1"/>
  <c r="H2036" i="1" s="1"/>
  <c r="L2038" i="1" a="1"/>
  <c r="L2038" i="1" s="1"/>
  <c r="F2035" i="1" a="1"/>
  <c r="F2035" i="1" s="1"/>
  <c r="J2035" i="1" a="1"/>
  <c r="J2035" i="1"/>
  <c r="J2038" i="1" a="1"/>
  <c r="J2038" i="1"/>
  <c r="K2037" i="1" a="1"/>
  <c r="K2037" i="1"/>
  <c r="H2035" i="1" a="1"/>
  <c r="H2035" i="1"/>
  <c r="L2037" i="1" a="1"/>
  <c r="L2037" i="1" s="1"/>
  <c r="L2039" i="1" a="1"/>
  <c r="L2039" i="1" s="1"/>
  <c r="O2038" i="1" a="1"/>
  <c r="O2038" i="1" s="1"/>
  <c r="N2038" i="1" a="1"/>
  <c r="N2038" i="1" s="1"/>
  <c r="K2036" i="1" a="1"/>
  <c r="K2036" i="1" s="1"/>
  <c r="F2036" i="1" a="1"/>
  <c r="F2036" i="1" s="1"/>
  <c r="O2035" i="1" a="1"/>
  <c r="O2035" i="1"/>
  <c r="F2038" i="1" a="1"/>
  <c r="F2038" i="1"/>
  <c r="G2038" i="1" a="1"/>
  <c r="G2038" i="1" s="1"/>
  <c r="G2036" i="1" a="1"/>
  <c r="G2036" i="1"/>
  <c r="P2036" i="1" a="1"/>
  <c r="P2036" i="1" s="1"/>
  <c r="J2036" i="1" a="1"/>
  <c r="J2036" i="1"/>
  <c r="M2038" i="1" a="1"/>
  <c r="M2038" i="1" s="1"/>
  <c r="I2038" i="1" a="1"/>
  <c r="I2038" i="1" s="1"/>
  <c r="Q2037" i="1" a="1"/>
  <c r="Q2037" i="1"/>
  <c r="P2037" i="1" a="1"/>
  <c r="P2037" i="1"/>
  <c r="M2037" i="1" a="1"/>
  <c r="M2037" i="1"/>
  <c r="Q2038" i="1" a="1"/>
  <c r="Q2038" i="1"/>
  <c r="I2037" i="1" a="1"/>
  <c r="I2037" i="1"/>
  <c r="G2040" i="1" a="1"/>
  <c r="G2040" i="1"/>
  <c r="P2039" i="1" a="1"/>
  <c r="P2039" i="1" s="1"/>
  <c r="K2039" i="1" a="1"/>
  <c r="K2039" i="1" s="1"/>
  <c r="J2039" i="1" a="1"/>
  <c r="J2039" i="1" s="1"/>
  <c r="I2039" i="1" a="1"/>
  <c r="I2039" i="1" s="1"/>
  <c r="F2039" i="1" a="1"/>
  <c r="F2039" i="1" s="1"/>
  <c r="H2039" i="1" a="1"/>
  <c r="H2039" i="1" s="1"/>
  <c r="M2035" i="1" a="1"/>
  <c r="M2035" i="1"/>
  <c r="N2035" i="1" a="1"/>
  <c r="N2035" i="1"/>
  <c r="K2035" i="1" a="1"/>
  <c r="K2035" i="1" s="1"/>
  <c r="K2038" i="1" a="1"/>
  <c r="K2038" i="1" s="1"/>
  <c r="O2036" i="1" a="1"/>
  <c r="O2036" i="1" s="1"/>
  <c r="P2038" i="1" a="1"/>
  <c r="P2038" i="1" s="1"/>
  <c r="H2037" i="1" a="1"/>
  <c r="H2037" i="1" s="1"/>
  <c r="F2037" i="1" a="1"/>
  <c r="F2037" i="1"/>
  <c r="P30" i="1" a="1"/>
  <c r="P30" i="1"/>
  <c r="K31" i="1" a="1"/>
  <c r="K31" i="1"/>
  <c r="Q31" i="1" a="1"/>
  <c r="Q31" i="1" s="1"/>
  <c r="P31" i="1" a="1"/>
  <c r="P31" i="1" s="1"/>
  <c r="M31" i="1" a="1"/>
  <c r="M31" i="1"/>
  <c r="H31" i="1" a="1"/>
  <c r="H31" i="1"/>
  <c r="L31" i="1" a="1"/>
  <c r="L31" i="1" s="1"/>
  <c r="Q30" i="1" a="1"/>
  <c r="Q30" i="1"/>
  <c r="N31" i="1" a="1"/>
  <c r="N31" i="1"/>
  <c r="J31" i="1" a="1"/>
  <c r="J31" i="1"/>
  <c r="G31" i="1" a="1"/>
  <c r="G31" i="1"/>
  <c r="F31" i="1" a="1"/>
  <c r="F31" i="1"/>
  <c r="O31" i="1" a="1"/>
  <c r="O31" i="1"/>
  <c r="I31" i="1" a="1"/>
  <c r="I31" i="1"/>
  <c r="O30" i="1" a="1"/>
  <c r="O30" i="1"/>
  <c r="M30" i="1" a="1"/>
  <c r="M30" i="1" s="1"/>
  <c r="L30" i="1" a="1"/>
  <c r="L30" i="1" s="1"/>
  <c r="J30" i="1" a="1"/>
  <c r="J30" i="1"/>
  <c r="I30" i="1" a="1"/>
  <c r="I30" i="1" s="1"/>
  <c r="G30" i="1" a="1"/>
  <c r="G30" i="1" s="1"/>
  <c r="N30" i="1" a="1"/>
  <c r="N30" i="1"/>
  <c r="K30" i="1" a="1"/>
  <c r="K30" i="1" s="1"/>
  <c r="F30" i="1" a="1"/>
  <c r="F30" i="1" s="1"/>
  <c r="M2331" i="1" a="1"/>
  <c r="M2331" i="1" s="1"/>
  <c r="L2331" i="1" a="1"/>
  <c r="L2331" i="1" s="1"/>
  <c r="K2331" i="1" a="1"/>
  <c r="K2331" i="1" s="1"/>
  <c r="J2331" i="1" a="1"/>
  <c r="J2331" i="1" s="1"/>
  <c r="I2331" i="1" a="1"/>
  <c r="I2331" i="1" s="1"/>
  <c r="H2331" i="1" a="1"/>
  <c r="H2331" i="1"/>
  <c r="G2331" i="1" a="1"/>
  <c r="G2331" i="1" s="1"/>
  <c r="F2331" i="1" a="1"/>
  <c r="F2331" i="1" s="1"/>
  <c r="H2330" i="1" a="1"/>
  <c r="H2330" i="1" s="1"/>
  <c r="G2330" i="1" a="1"/>
  <c r="G2330" i="1"/>
  <c r="K2329" i="1" a="1"/>
  <c r="K2329" i="1"/>
  <c r="H2329" i="1" a="1"/>
  <c r="H2329" i="1" s="1"/>
  <c r="Q2330" i="1" a="1"/>
  <c r="Q2330" i="1" s="1"/>
  <c r="G2329" i="1" a="1"/>
  <c r="G2329" i="1" s="1"/>
  <c r="M2329" i="1" a="1"/>
  <c r="M2329" i="1"/>
  <c r="P2330" i="1" a="1"/>
  <c r="P2330" i="1"/>
  <c r="O2330" i="1" a="1"/>
  <c r="O2330" i="1"/>
  <c r="N2329" i="1" a="1"/>
  <c r="N2329" i="1"/>
  <c r="N2330" i="1" a="1"/>
  <c r="N2330" i="1"/>
  <c r="M2330" i="1" a="1"/>
  <c r="M2330" i="1"/>
  <c r="L2330" i="1" a="1"/>
  <c r="L2330" i="1" s="1"/>
  <c r="Q2328" i="1" a="1"/>
  <c r="Q2328" i="1" s="1"/>
  <c r="K2330" i="1" a="1"/>
  <c r="K2330" i="1" s="1"/>
  <c r="J2330" i="1" a="1"/>
  <c r="J2330" i="1" s="1"/>
  <c r="I2330" i="1" a="1"/>
  <c r="I2330" i="1" s="1"/>
  <c r="Q2329" i="1" a="1"/>
  <c r="Q2329" i="1"/>
  <c r="F2330" i="1" a="1"/>
  <c r="F2330" i="1"/>
  <c r="P2329" i="1" a="1"/>
  <c r="P2329" i="1"/>
  <c r="F2329" i="1" a="1"/>
  <c r="F2329" i="1" s="1"/>
  <c r="O2329" i="1" a="1"/>
  <c r="O2329" i="1" s="1"/>
  <c r="L2329" i="1" a="1"/>
  <c r="L2329" i="1" s="1"/>
  <c r="I2329" i="1" a="1"/>
  <c r="I2329" i="1" s="1"/>
  <c r="J2329" i="1" a="1"/>
  <c r="J2329" i="1" s="1"/>
  <c r="P2332" i="1" a="1"/>
  <c r="P2332" i="1"/>
  <c r="G2332" i="1" a="1"/>
  <c r="G2332" i="1" s="1"/>
  <c r="L2332" i="1" a="1"/>
  <c r="L2332" i="1" s="1"/>
  <c r="G2333" i="1" a="1"/>
  <c r="G2333" i="1" s="1"/>
  <c r="F2333" i="1" a="1"/>
  <c r="F2333" i="1"/>
  <c r="Q2332" i="1" a="1"/>
  <c r="Q2332" i="1" s="1"/>
  <c r="M2332" i="1" a="1"/>
  <c r="M2332" i="1"/>
  <c r="K2332" i="1" a="1"/>
  <c r="K2332" i="1"/>
  <c r="J2332" i="1" a="1"/>
  <c r="J2332" i="1" s="1"/>
  <c r="O2332" i="1" a="1"/>
  <c r="O2332" i="1" s="1"/>
  <c r="H2332" i="1" a="1"/>
  <c r="H2332" i="1" s="1"/>
  <c r="N2332" i="1" a="1"/>
  <c r="N2332" i="1"/>
  <c r="I2332" i="1" a="1"/>
  <c r="I2332" i="1"/>
  <c r="F2332" i="1" a="1"/>
  <c r="F2332" i="1"/>
  <c r="Q2331" i="1" a="1"/>
  <c r="Q2331" i="1"/>
  <c r="N2331" i="1" a="1"/>
  <c r="N2331" i="1" s="1"/>
  <c r="P2331" i="1" a="1"/>
  <c r="P2331" i="1" s="1"/>
  <c r="O2331" i="1" a="1"/>
  <c r="O2331" i="1"/>
  <c r="H2340" i="1" a="1"/>
  <c r="H2340" i="1" s="1"/>
  <c r="G2340" i="1" a="1"/>
  <c r="G2340" i="1"/>
  <c r="J2339" i="1" a="1"/>
  <c r="J2339" i="1" s="1"/>
  <c r="Q2338" i="1" a="1"/>
  <c r="Q2338" i="1" s="1"/>
  <c r="N2339" i="1" a="1"/>
  <c r="N2339" i="1"/>
  <c r="O2339" i="1" a="1"/>
  <c r="O2339" i="1"/>
  <c r="H2339" i="1" a="1"/>
  <c r="H2339" i="1"/>
  <c r="F2340" i="1" a="1"/>
  <c r="F2340" i="1" s="1"/>
  <c r="Q2339" i="1" a="1"/>
  <c r="Q2339" i="1" s="1"/>
  <c r="P2339" i="1" a="1"/>
  <c r="P2339" i="1" s="1"/>
  <c r="M2339" i="1" a="1"/>
  <c r="M2339" i="1" s="1"/>
  <c r="L2339" i="1" a="1"/>
  <c r="L2339" i="1" s="1"/>
  <c r="G2339" i="1" a="1"/>
  <c r="G2339" i="1"/>
  <c r="K2339" i="1" a="1"/>
  <c r="K2339" i="1"/>
  <c r="I2339" i="1" a="1"/>
  <c r="I2339" i="1"/>
  <c r="F2339" i="1" a="1"/>
  <c r="F2339" i="1"/>
  <c r="P2338" i="1" a="1"/>
  <c r="P2338" i="1"/>
  <c r="O2338" i="1" a="1"/>
  <c r="O2338" i="1" s="1"/>
  <c r="N2338" i="1" a="1"/>
  <c r="N2338" i="1"/>
  <c r="M2338" i="1" a="1"/>
  <c r="M2338" i="1" s="1"/>
  <c r="L2338" i="1" a="1"/>
  <c r="L2338" i="1"/>
  <c r="P666" i="1" a="1"/>
  <c r="P666" i="1" s="1"/>
  <c r="O666" i="1" a="1"/>
  <c r="O666" i="1"/>
  <c r="N666" i="1" a="1"/>
  <c r="N666" i="1"/>
  <c r="M666" i="1" a="1"/>
  <c r="M666" i="1"/>
  <c r="L666" i="1" a="1"/>
  <c r="L666" i="1" s="1"/>
  <c r="K666" i="1" a="1"/>
  <c r="K666" i="1" s="1"/>
  <c r="J666" i="1" a="1"/>
  <c r="J666" i="1"/>
  <c r="G665" i="1" a="1"/>
  <c r="G665" i="1"/>
  <c r="J665" i="1" a="1"/>
  <c r="J665" i="1"/>
  <c r="N665" i="1" a="1"/>
  <c r="N665" i="1"/>
  <c r="H665" i="1" a="1"/>
  <c r="H665" i="1"/>
  <c r="I665" i="1" a="1"/>
  <c r="I665" i="1" s="1"/>
  <c r="I666" i="1" a="1"/>
  <c r="I666" i="1"/>
  <c r="H666" i="1" a="1"/>
  <c r="H666" i="1" s="1"/>
  <c r="F665" i="1" a="1"/>
  <c r="F665" i="1"/>
  <c r="L664" i="1" a="1"/>
  <c r="L664" i="1" s="1"/>
  <c r="G666" i="1" a="1"/>
  <c r="G666" i="1" s="1"/>
  <c r="F666" i="1" a="1"/>
  <c r="F666" i="1" s="1"/>
  <c r="K665" i="1" a="1"/>
  <c r="K665" i="1" s="1"/>
  <c r="N664" i="1" a="1"/>
  <c r="N664" i="1"/>
  <c r="J664" i="1" a="1"/>
  <c r="J664" i="1" s="1"/>
  <c r="Q665" i="1" a="1"/>
  <c r="Q665" i="1" s="1"/>
  <c r="P665" i="1" a="1"/>
  <c r="P665" i="1"/>
  <c r="O665" i="1" a="1"/>
  <c r="O665" i="1" s="1"/>
  <c r="L665" i="1" a="1"/>
  <c r="L665" i="1"/>
  <c r="M665" i="1" a="1"/>
  <c r="M665" i="1"/>
  <c r="Q664" i="1" a="1"/>
  <c r="Q664" i="1"/>
  <c r="P664" i="1" a="1"/>
  <c r="P664" i="1"/>
  <c r="O664" i="1" a="1"/>
  <c r="O664" i="1" s="1"/>
  <c r="K664" i="1" a="1"/>
  <c r="K664" i="1" s="1"/>
  <c r="H664" i="1" a="1"/>
  <c r="H664" i="1"/>
  <c r="F664" i="1" a="1"/>
  <c r="F664" i="1"/>
  <c r="M664" i="1" a="1"/>
  <c r="M664" i="1" s="1"/>
  <c r="I664" i="1" a="1"/>
  <c r="I664" i="1" s="1"/>
  <c r="G664" i="1" a="1"/>
  <c r="G664" i="1"/>
  <c r="Q666" i="1" a="1"/>
  <c r="Q666" i="1"/>
  <c r="J652" i="1" a="1"/>
  <c r="J652" i="1" s="1"/>
  <c r="I652" i="1" a="1"/>
  <c r="I652" i="1"/>
  <c r="G650" i="1" a="1"/>
  <c r="G650" i="1"/>
  <c r="M650" i="1" a="1"/>
  <c r="M650" i="1"/>
  <c r="P648" i="1" a="1"/>
  <c r="P648" i="1"/>
  <c r="H652" i="1" a="1"/>
  <c r="H652" i="1"/>
  <c r="L649" i="1" a="1"/>
  <c r="L649" i="1" s="1"/>
  <c r="Q649" i="1" a="1"/>
  <c r="Q649" i="1" s="1"/>
  <c r="K650" i="1" a="1"/>
  <c r="K650" i="1" s="1"/>
  <c r="F653" i="1" a="1"/>
  <c r="F653" i="1" s="1"/>
  <c r="I653" i="1" a="1"/>
  <c r="I653" i="1" s="1"/>
  <c r="F652" i="1" a="1"/>
  <c r="F652" i="1"/>
  <c r="L650" i="1" a="1"/>
  <c r="L650" i="1"/>
  <c r="Q653" i="1" a="1"/>
  <c r="Q653" i="1"/>
  <c r="K653" i="1" a="1"/>
  <c r="K653" i="1"/>
  <c r="O652" i="1" a="1"/>
  <c r="O652" i="1"/>
  <c r="I649" i="1" a="1"/>
  <c r="I649" i="1"/>
  <c r="H649" i="1" a="1"/>
  <c r="H649" i="1"/>
  <c r="M652" i="1" a="1"/>
  <c r="M652" i="1" s="1"/>
  <c r="Q648" i="1" a="1"/>
  <c r="Q648" i="1"/>
  <c r="Q652" i="1" a="1"/>
  <c r="Q652" i="1"/>
  <c r="G653" i="1" a="1"/>
  <c r="G653" i="1"/>
  <c r="N649" i="1" a="1"/>
  <c r="N649" i="1" s="1"/>
  <c r="J649" i="1" a="1"/>
  <c r="J649" i="1"/>
  <c r="P652" i="1" a="1"/>
  <c r="P652" i="1" s="1"/>
  <c r="N653" i="1" a="1"/>
  <c r="N653" i="1" s="1"/>
  <c r="J653" i="1" a="1"/>
  <c r="J653" i="1" s="1"/>
  <c r="H653" i="1" a="1"/>
  <c r="H653" i="1"/>
  <c r="K649" i="1" a="1"/>
  <c r="K649" i="1" s="1"/>
  <c r="I650" i="1" a="1"/>
  <c r="I650" i="1" s="1"/>
  <c r="F649" i="1" a="1"/>
  <c r="F649" i="1" s="1"/>
  <c r="P649" i="1" a="1"/>
  <c r="P649" i="1" s="1"/>
  <c r="N652" i="1" a="1"/>
  <c r="N652" i="1" s="1"/>
  <c r="L652" i="1" a="1"/>
  <c r="L652" i="1" s="1"/>
  <c r="O648" i="1" a="1"/>
  <c r="O648" i="1" s="1"/>
  <c r="K652" i="1" a="1"/>
  <c r="K652" i="1" s="1"/>
  <c r="O649" i="1" a="1"/>
  <c r="O649" i="1"/>
  <c r="M649" i="1" a="1"/>
  <c r="M649" i="1" s="1"/>
  <c r="G649" i="1" a="1"/>
  <c r="G649" i="1" s="1"/>
  <c r="F650" i="1" a="1"/>
  <c r="F650" i="1"/>
  <c r="H650" i="1" a="1"/>
  <c r="H650" i="1"/>
  <c r="P650" i="1" a="1"/>
  <c r="P650" i="1"/>
  <c r="O650" i="1" a="1"/>
  <c r="O650" i="1" s="1"/>
  <c r="N650" i="1" a="1"/>
  <c r="N650" i="1" s="1"/>
  <c r="P653" i="1" a="1"/>
  <c r="P653" i="1" s="1"/>
  <c r="O653" i="1" a="1"/>
  <c r="O653" i="1"/>
  <c r="G652" i="1" a="1"/>
  <c r="G652" i="1" s="1"/>
  <c r="M653" i="1" a="1"/>
  <c r="M653" i="1" s="1"/>
  <c r="Q650" i="1" a="1"/>
  <c r="Q650" i="1"/>
  <c r="L653" i="1" a="1"/>
  <c r="L653" i="1"/>
  <c r="J650" i="1" a="1"/>
  <c r="J650" i="1"/>
  <c r="F647" i="1" a="1"/>
  <c r="F647" i="1"/>
  <c r="H645" i="1" a="1"/>
  <c r="H645" i="1" s="1"/>
  <c r="F648" i="1" a="1"/>
  <c r="F648" i="1" s="1"/>
  <c r="P647" i="1" a="1"/>
  <c r="P647" i="1" s="1"/>
  <c r="O647" i="1" a="1"/>
  <c r="O647" i="1" s="1"/>
  <c r="L645" i="1" a="1"/>
  <c r="L645" i="1"/>
  <c r="P645" i="1" a="1"/>
  <c r="P645" i="1"/>
  <c r="L643" i="1" a="1"/>
  <c r="L643" i="1" s="1"/>
  <c r="G645" i="1" a="1"/>
  <c r="G645" i="1"/>
  <c r="M643" i="1" a="1"/>
  <c r="M643" i="1" s="1"/>
  <c r="J643" i="1" a="1"/>
  <c r="J643" i="1" s="1"/>
  <c r="I643" i="1" a="1"/>
  <c r="I643" i="1" s="1"/>
  <c r="K647" i="1" a="1"/>
  <c r="K647" i="1"/>
  <c r="F645" i="1" a="1"/>
  <c r="F645" i="1" s="1"/>
  <c r="O643" i="1" a="1"/>
  <c r="O643" i="1" s="1"/>
  <c r="J645" i="1" a="1"/>
  <c r="J645" i="1" s="1"/>
  <c r="N645" i="1" a="1"/>
  <c r="N645" i="1"/>
  <c r="J647" i="1" a="1"/>
  <c r="J647" i="1"/>
  <c r="I645" i="1" a="1"/>
  <c r="I645" i="1"/>
  <c r="P643" i="1" a="1"/>
  <c r="P643" i="1"/>
  <c r="N648" i="1" a="1"/>
  <c r="N648" i="1"/>
  <c r="M648" i="1" a="1"/>
  <c r="M648" i="1"/>
  <c r="J648" i="1" a="1"/>
  <c r="J648" i="1"/>
  <c r="H647" i="1" a="1"/>
  <c r="H647" i="1"/>
  <c r="N647" i="1" a="1"/>
  <c r="N647" i="1" s="1"/>
  <c r="G647" i="1" a="1"/>
  <c r="G647" i="1" s="1"/>
  <c r="M645" i="1" a="1"/>
  <c r="M645" i="1"/>
  <c r="L648" i="1" a="1"/>
  <c r="L648" i="1" s="1"/>
  <c r="O645" i="1" a="1"/>
  <c r="O645" i="1"/>
  <c r="N643" i="1" a="1"/>
  <c r="N643" i="1" s="1"/>
  <c r="I648" i="1" a="1"/>
  <c r="I648" i="1" s="1"/>
  <c r="H648" i="1" a="1"/>
  <c r="H648" i="1" s="1"/>
  <c r="M647" i="1" a="1"/>
  <c r="M647" i="1" s="1"/>
  <c r="K643" i="1" a="1"/>
  <c r="K643" i="1" s="1"/>
  <c r="Q645" i="1" a="1"/>
  <c r="Q645" i="1" s="1"/>
  <c r="K648" i="1" a="1"/>
  <c r="K648" i="1" s="1"/>
  <c r="G648" i="1" a="1"/>
  <c r="G648" i="1" s="1"/>
  <c r="L647" i="1" a="1"/>
  <c r="L647" i="1"/>
  <c r="K645" i="1" a="1"/>
  <c r="K645" i="1"/>
  <c r="Q643" i="1" a="1"/>
  <c r="Q643" i="1" s="1"/>
  <c r="Q647" i="1" a="1"/>
  <c r="Q647" i="1"/>
  <c r="I647" i="1" a="1"/>
  <c r="I647" i="1"/>
  <c r="J642" i="1" a="1"/>
  <c r="J642" i="1" s="1"/>
  <c r="I638" i="1" a="1"/>
  <c r="I638" i="1" s="1"/>
  <c r="M637" i="1" a="1"/>
  <c r="M637" i="1"/>
  <c r="H642" i="1" a="1"/>
  <c r="H642" i="1"/>
  <c r="F642" i="1" a="1"/>
  <c r="F642" i="1"/>
  <c r="L640" i="1" a="1"/>
  <c r="L640" i="1"/>
  <c r="I639" i="1" a="1"/>
  <c r="I639" i="1"/>
  <c r="P640" i="1" a="1"/>
  <c r="P640" i="1"/>
  <c r="J639" i="1" a="1"/>
  <c r="J639" i="1" s="1"/>
  <c r="L637" i="1" a="1"/>
  <c r="L637" i="1"/>
  <c r="O640" i="1" a="1"/>
  <c r="O640" i="1"/>
  <c r="M640" i="1" a="1"/>
  <c r="M640" i="1"/>
  <c r="O637" i="1" a="1"/>
  <c r="O637" i="1" s="1"/>
  <c r="J640" i="1" a="1"/>
  <c r="J640" i="1"/>
  <c r="H640" i="1" a="1"/>
  <c r="H640" i="1"/>
  <c r="Q637" i="1" a="1"/>
  <c r="Q637" i="1" s="1"/>
  <c r="K640" i="1" a="1"/>
  <c r="K640" i="1" s="1"/>
  <c r="P639" i="1" a="1"/>
  <c r="P639" i="1" s="1"/>
  <c r="H643" i="1" a="1"/>
  <c r="H643" i="1" s="1"/>
  <c r="O642" i="1" a="1"/>
  <c r="O642" i="1" s="1"/>
  <c r="N639" i="1" a="1"/>
  <c r="N639" i="1" s="1"/>
  <c r="O638" i="1" a="1"/>
  <c r="O638" i="1"/>
  <c r="G643" i="1" a="1"/>
  <c r="G643" i="1"/>
  <c r="F643" i="1" a="1"/>
  <c r="F643" i="1" s="1"/>
  <c r="Q642" i="1" a="1"/>
  <c r="Q642" i="1" s="1"/>
  <c r="P642" i="1" a="1"/>
  <c r="P642" i="1" s="1"/>
  <c r="M639" i="1" a="1"/>
  <c r="M639" i="1" s="1"/>
  <c r="G638" i="1" a="1"/>
  <c r="G638" i="1" s="1"/>
  <c r="F639" i="1" a="1"/>
  <c r="F639" i="1"/>
  <c r="F640" i="1" a="1"/>
  <c r="F640" i="1" s="1"/>
  <c r="G639" i="1" a="1"/>
  <c r="G639" i="1"/>
  <c r="K637" i="1" a="1"/>
  <c r="K637" i="1"/>
  <c r="Q639" i="1" a="1"/>
  <c r="Q639" i="1"/>
  <c r="Q638" i="1" a="1"/>
  <c r="Q638" i="1"/>
  <c r="H638" i="1" a="1"/>
  <c r="H638" i="1"/>
  <c r="N642" i="1" a="1"/>
  <c r="N642" i="1"/>
  <c r="M642" i="1" a="1"/>
  <c r="M642" i="1" s="1"/>
  <c r="L642" i="1" a="1"/>
  <c r="L642" i="1" s="1"/>
  <c r="I642" i="1" a="1"/>
  <c r="I642" i="1" s="1"/>
  <c r="K642" i="1" a="1"/>
  <c r="K642" i="1" s="1"/>
  <c r="P638" i="1" a="1"/>
  <c r="P638" i="1" s="1"/>
  <c r="Q640" i="1" a="1"/>
  <c r="Q640" i="1" s="1"/>
  <c r="J638" i="1" a="1"/>
  <c r="J638" i="1" s="1"/>
  <c r="H639" i="1" a="1"/>
  <c r="H639" i="1" s="1"/>
  <c r="L638" i="1" a="1"/>
  <c r="L638" i="1"/>
  <c r="K638" i="1" a="1"/>
  <c r="K638" i="1"/>
  <c r="G640" i="1" a="1"/>
  <c r="G640" i="1" s="1"/>
  <c r="O639" i="1" a="1"/>
  <c r="O639" i="1" s="1"/>
  <c r="L639" i="1" a="1"/>
  <c r="L639" i="1" s="1"/>
  <c r="M638" i="1" a="1"/>
  <c r="M638" i="1" s="1"/>
  <c r="N637" i="1" a="1"/>
  <c r="N637" i="1" s="1"/>
  <c r="K639" i="1" a="1"/>
  <c r="K639" i="1"/>
  <c r="F638" i="1" a="1"/>
  <c r="F638" i="1" s="1"/>
  <c r="P637" i="1" a="1"/>
  <c r="P637" i="1"/>
  <c r="N638" i="1" a="1"/>
  <c r="N638" i="1" s="1"/>
  <c r="G642" i="1" a="1"/>
  <c r="G642" i="1" s="1"/>
  <c r="N640" i="1" a="1"/>
  <c r="N640" i="1" s="1"/>
  <c r="I640" i="1" a="1"/>
  <c r="I640" i="1" s="1"/>
  <c r="J637" i="1" a="1"/>
  <c r="J637" i="1" s="1"/>
  <c r="I637" i="1" a="1"/>
  <c r="I637" i="1"/>
  <c r="G637" i="1" a="1"/>
  <c r="G637" i="1" s="1"/>
  <c r="J633" i="1" a="1"/>
  <c r="J633" i="1"/>
  <c r="H635" i="1" a="1"/>
  <c r="H635" i="1"/>
  <c r="Q635" i="1" a="1"/>
  <c r="Q635" i="1"/>
  <c r="N633" i="1" a="1"/>
  <c r="N633" i="1"/>
  <c r="Q630" i="1" a="1"/>
  <c r="Q630" i="1" s="1"/>
  <c r="I632" i="1" a="1"/>
  <c r="I632" i="1" s="1"/>
  <c r="F632" i="1" a="1"/>
  <c r="F632" i="1" s="1"/>
  <c r="O632" i="1" a="1"/>
  <c r="O632" i="1" s="1"/>
  <c r="J632" i="1" a="1"/>
  <c r="J632" i="1"/>
  <c r="H637" i="1" a="1"/>
  <c r="H637" i="1" s="1"/>
  <c r="I635" i="1" a="1"/>
  <c r="I635" i="1" s="1"/>
  <c r="F635" i="1" a="1"/>
  <c r="F635" i="1"/>
  <c r="H633" i="1" a="1"/>
  <c r="H633" i="1"/>
  <c r="L632" i="1" a="1"/>
  <c r="L632" i="1" s="1"/>
  <c r="F637" i="1" a="1"/>
  <c r="F637" i="1" s="1"/>
  <c r="M632" i="1" a="1"/>
  <c r="M632" i="1" s="1"/>
  <c r="M633" i="1" a="1"/>
  <c r="M633" i="1" s="1"/>
  <c r="L633" i="1" a="1"/>
  <c r="L633" i="1" s="1"/>
  <c r="F633" i="1" a="1"/>
  <c r="F633" i="1" s="1"/>
  <c r="G635" i="1" a="1"/>
  <c r="G635" i="1"/>
  <c r="G632" i="1" a="1"/>
  <c r="G632" i="1"/>
  <c r="P630" i="1" a="1"/>
  <c r="P630" i="1" s="1"/>
  <c r="O630" i="1" a="1"/>
  <c r="O630" i="1"/>
  <c r="K632" i="1" a="1"/>
  <c r="K632" i="1" s="1"/>
  <c r="H632" i="1" a="1"/>
  <c r="H632" i="1" s="1"/>
  <c r="G633" i="1" a="1"/>
  <c r="G633" i="1" s="1"/>
  <c r="N632" i="1" a="1"/>
  <c r="N632" i="1" s="1"/>
  <c r="P633" i="1" a="1"/>
  <c r="P633" i="1"/>
  <c r="O633" i="1" a="1"/>
  <c r="O633" i="1" s="1"/>
  <c r="P635" i="1" a="1"/>
  <c r="P635" i="1"/>
  <c r="O635" i="1" a="1"/>
  <c r="O635" i="1"/>
  <c r="N635" i="1" a="1"/>
  <c r="N635" i="1"/>
  <c r="Q633" i="1" a="1"/>
  <c r="Q633" i="1"/>
  <c r="P632" i="1" a="1"/>
  <c r="P632" i="1"/>
  <c r="M635" i="1" a="1"/>
  <c r="M635" i="1" s="1"/>
  <c r="J635" i="1" a="1"/>
  <c r="J635" i="1" s="1"/>
  <c r="Q632" i="1" a="1"/>
  <c r="Q632" i="1"/>
  <c r="L635" i="1" a="1"/>
  <c r="L635" i="1"/>
  <c r="I633" i="1" a="1"/>
  <c r="I633" i="1" s="1"/>
  <c r="K635" i="1" a="1"/>
  <c r="K635" i="1"/>
  <c r="K633" i="1" a="1"/>
  <c r="K633" i="1"/>
  <c r="Q628" i="1" a="1"/>
  <c r="Q628" i="1" s="1"/>
  <c r="O628" i="1" a="1"/>
  <c r="O628" i="1"/>
  <c r="O627" i="1" a="1"/>
  <c r="O627" i="1" s="1"/>
  <c r="J625" i="1" a="1"/>
  <c r="J625" i="1" s="1"/>
  <c r="K625" i="1" a="1"/>
  <c r="K625" i="1" s="1"/>
  <c r="K630" i="1" a="1"/>
  <c r="K630" i="1" s="1"/>
  <c r="K629" i="1" a="1"/>
  <c r="K629" i="1" s="1"/>
  <c r="J628" i="1" a="1"/>
  <c r="J628" i="1"/>
  <c r="N627" i="1" a="1"/>
  <c r="N627" i="1" s="1"/>
  <c r="H630" i="1" a="1"/>
  <c r="H630" i="1" s="1"/>
  <c r="F630" i="1" a="1"/>
  <c r="F630" i="1" s="1"/>
  <c r="N629" i="1" a="1"/>
  <c r="N629" i="1" s="1"/>
  <c r="I629" i="1" a="1"/>
  <c r="I629" i="1" s="1"/>
  <c r="K628" i="1" a="1"/>
  <c r="K628" i="1"/>
  <c r="H628" i="1" a="1"/>
  <c r="H628" i="1" s="1"/>
  <c r="M627" i="1" a="1"/>
  <c r="M627" i="1"/>
  <c r="M625" i="1" a="1"/>
  <c r="M625" i="1"/>
  <c r="I625" i="1" a="1"/>
  <c r="I625" i="1"/>
  <c r="G625" i="1" a="1"/>
  <c r="G625" i="1"/>
  <c r="L625" i="1" a="1"/>
  <c r="L625" i="1"/>
  <c r="L627" i="1" a="1"/>
  <c r="L627" i="1"/>
  <c r="H627" i="1" a="1"/>
  <c r="H627" i="1" s="1"/>
  <c r="H629" i="1" a="1"/>
  <c r="H629" i="1" s="1"/>
  <c r="G628" i="1" a="1"/>
  <c r="G628" i="1"/>
  <c r="G627" i="1" a="1"/>
  <c r="G627" i="1"/>
  <c r="P628" i="1" a="1"/>
  <c r="P628" i="1" s="1"/>
  <c r="F628" i="1" a="1"/>
  <c r="F628" i="1" s="1"/>
  <c r="K627" i="1" a="1"/>
  <c r="K627" i="1"/>
  <c r="I627" i="1" a="1"/>
  <c r="I627" i="1" s="1"/>
  <c r="G629" i="1" a="1"/>
  <c r="G629" i="1"/>
  <c r="M628" i="1" a="1"/>
  <c r="M628" i="1"/>
  <c r="I628" i="1" a="1"/>
  <c r="I628" i="1" s="1"/>
  <c r="F625" i="1" a="1"/>
  <c r="F625" i="1" s="1"/>
  <c r="P627" i="1" a="1"/>
  <c r="P627" i="1" s="1"/>
  <c r="N630" i="1" a="1"/>
  <c r="N630" i="1" s="1"/>
  <c r="P625" i="1" a="1"/>
  <c r="P625" i="1" s="1"/>
  <c r="H625" i="1" a="1"/>
  <c r="H625" i="1" s="1"/>
  <c r="M630" i="1" a="1"/>
  <c r="M630" i="1" s="1"/>
  <c r="F627" i="1" a="1"/>
  <c r="F627" i="1"/>
  <c r="L630" i="1" a="1"/>
  <c r="L630" i="1" s="1"/>
  <c r="N625" i="1" a="1"/>
  <c r="N625" i="1"/>
  <c r="J630" i="1" a="1"/>
  <c r="J630" i="1"/>
  <c r="J629" i="1" a="1"/>
  <c r="J629" i="1"/>
  <c r="I630" i="1" a="1"/>
  <c r="I630" i="1" s="1"/>
  <c r="G630" i="1" a="1"/>
  <c r="G630" i="1" s="1"/>
  <c r="O625" i="1" a="1"/>
  <c r="O625" i="1" s="1"/>
  <c r="Q625" i="1" a="1"/>
  <c r="Q625" i="1"/>
  <c r="Q629" i="1" a="1"/>
  <c r="Q629" i="1"/>
  <c r="M629" i="1" a="1"/>
  <c r="M629" i="1"/>
  <c r="P629" i="1" a="1"/>
  <c r="P629" i="1"/>
  <c r="O629" i="1" a="1"/>
  <c r="O629" i="1"/>
  <c r="F629" i="1" a="1"/>
  <c r="F629" i="1" s="1"/>
  <c r="L628" i="1" a="1"/>
  <c r="L628" i="1" s="1"/>
  <c r="N628" i="1" a="1"/>
  <c r="N628" i="1" s="1"/>
  <c r="L629" i="1" a="1"/>
  <c r="L629" i="1" s="1"/>
  <c r="Q627" i="1" a="1"/>
  <c r="Q627" i="1"/>
  <c r="J627" i="1" a="1"/>
  <c r="J627" i="1"/>
  <c r="H623" i="1" a="1"/>
  <c r="H623" i="1"/>
  <c r="Q622" i="1" a="1"/>
  <c r="Q622" i="1" s="1"/>
  <c r="K622" i="1" a="1"/>
  <c r="K622" i="1"/>
  <c r="P619" i="1" a="1"/>
  <c r="P619" i="1" s="1"/>
  <c r="O622" i="1" a="1"/>
  <c r="O622" i="1" s="1"/>
  <c r="O620" i="1" a="1"/>
  <c r="O620" i="1" s="1"/>
  <c r="J622" i="1" a="1"/>
  <c r="J622" i="1" s="1"/>
  <c r="P620" i="1" a="1"/>
  <c r="P620" i="1"/>
  <c r="H620" i="1" a="1"/>
  <c r="H620" i="1"/>
  <c r="M619" i="1" a="1"/>
  <c r="M619" i="1"/>
  <c r="G620" i="1" a="1"/>
  <c r="G620" i="1" s="1"/>
  <c r="K618" i="1" a="1"/>
  <c r="K618" i="1"/>
  <c r="M618" i="1" a="1"/>
  <c r="M618" i="1"/>
  <c r="J620" i="1" a="1"/>
  <c r="J620" i="1"/>
  <c r="G619" i="1" a="1"/>
  <c r="G619" i="1"/>
  <c r="Q617" i="1" a="1"/>
  <c r="Q617" i="1" s="1"/>
  <c r="N620" i="1" a="1"/>
  <c r="N620" i="1" s="1"/>
  <c r="G622" i="1" a="1"/>
  <c r="G622" i="1" s="1"/>
  <c r="G618" i="1" a="1"/>
  <c r="G618" i="1"/>
  <c r="P623" i="1" a="1"/>
  <c r="P623" i="1"/>
  <c r="L623" i="1" a="1"/>
  <c r="L623" i="1"/>
  <c r="K623" i="1" a="1"/>
  <c r="K623" i="1"/>
  <c r="I618" i="1" a="1"/>
  <c r="I618" i="1"/>
  <c r="F618" i="1" a="1"/>
  <c r="F618" i="1"/>
  <c r="J618" i="1" a="1"/>
  <c r="J618" i="1" s="1"/>
  <c r="O623" i="1" a="1"/>
  <c r="O623" i="1"/>
  <c r="J623" i="1" a="1"/>
  <c r="J623" i="1"/>
  <c r="O618" i="1" a="1"/>
  <c r="O618" i="1" s="1"/>
  <c r="O619" i="1" a="1"/>
  <c r="O619" i="1" s="1"/>
  <c r="N619" i="1" a="1"/>
  <c r="N619" i="1"/>
  <c r="M622" i="1" a="1"/>
  <c r="M622" i="1" s="1"/>
  <c r="Q620" i="1" a="1"/>
  <c r="Q620" i="1" s="1"/>
  <c r="L620" i="1" a="1"/>
  <c r="L620" i="1" s="1"/>
  <c r="L619" i="1" a="1"/>
  <c r="L619" i="1" s="1"/>
  <c r="H619" i="1" a="1"/>
  <c r="H619" i="1" s="1"/>
  <c r="Q618" i="1" a="1"/>
  <c r="Q618" i="1" s="1"/>
  <c r="P622" i="1" a="1"/>
  <c r="P622" i="1" s="1"/>
  <c r="I622" i="1" a="1"/>
  <c r="I622" i="1"/>
  <c r="J619" i="1" a="1"/>
  <c r="J619" i="1" s="1"/>
  <c r="N618" i="1" a="1"/>
  <c r="N618" i="1"/>
  <c r="P617" i="1" a="1"/>
  <c r="P617" i="1" s="1"/>
  <c r="O617" i="1" a="1"/>
  <c r="O617" i="1"/>
  <c r="H618" i="1" a="1"/>
  <c r="H618" i="1"/>
  <c r="G623" i="1" a="1"/>
  <c r="G623" i="1"/>
  <c r="F623" i="1" a="1"/>
  <c r="F623" i="1" s="1"/>
  <c r="I620" i="1" a="1"/>
  <c r="I620" i="1"/>
  <c r="F619" i="1" a="1"/>
  <c r="F619" i="1"/>
  <c r="Q619" i="1" a="1"/>
  <c r="Q619" i="1"/>
  <c r="L618" i="1" a="1"/>
  <c r="L618" i="1"/>
  <c r="L622" i="1" a="1"/>
  <c r="L622" i="1"/>
  <c r="M620" i="1" a="1"/>
  <c r="M620" i="1"/>
  <c r="F620" i="1" a="1"/>
  <c r="F620" i="1" s="1"/>
  <c r="N622" i="1" a="1"/>
  <c r="N622" i="1" s="1"/>
  <c r="K619" i="1" a="1"/>
  <c r="K619" i="1" s="1"/>
  <c r="P618" i="1" a="1"/>
  <c r="P618" i="1" s="1"/>
  <c r="H622" i="1" a="1"/>
  <c r="H622" i="1" s="1"/>
  <c r="I619" i="1" a="1"/>
  <c r="I619" i="1" s="1"/>
  <c r="Q623" i="1" a="1"/>
  <c r="Q623" i="1" s="1"/>
  <c r="M623" i="1" a="1"/>
  <c r="M623" i="1"/>
  <c r="K620" i="1" a="1"/>
  <c r="K620" i="1" s="1"/>
  <c r="I623" i="1" a="1"/>
  <c r="I623" i="1"/>
  <c r="N623" i="1" a="1"/>
  <c r="N623" i="1" s="1"/>
  <c r="F622" i="1" a="1"/>
  <c r="F622" i="1" s="1"/>
  <c r="Q610" i="1" a="1"/>
  <c r="Q610" i="1" s="1"/>
  <c r="H610" i="1" a="1"/>
  <c r="H610" i="1" s="1"/>
  <c r="M609" i="1" a="1"/>
  <c r="M609" i="1"/>
  <c r="Q607" i="1" a="1"/>
  <c r="Q607" i="1" s="1"/>
  <c r="K610" i="1" a="1"/>
  <c r="K610" i="1"/>
  <c r="N609" i="1" a="1"/>
  <c r="N609" i="1"/>
  <c r="G609" i="1" a="1"/>
  <c r="G609" i="1"/>
  <c r="P609" i="1" a="1"/>
  <c r="P609" i="1" s="1"/>
  <c r="L609" i="1" a="1"/>
  <c r="L609" i="1" s="1"/>
  <c r="K609" i="1" a="1"/>
  <c r="K609" i="1" s="1"/>
  <c r="L607" i="1" a="1"/>
  <c r="L607" i="1" s="1"/>
  <c r="M617" i="1" a="1"/>
  <c r="M617" i="1" s="1"/>
  <c r="F617" i="1" a="1"/>
  <c r="F617" i="1"/>
  <c r="N607" i="1" a="1"/>
  <c r="N607" i="1"/>
  <c r="H617" i="1" a="1"/>
  <c r="H617" i="1"/>
  <c r="N610" i="1" a="1"/>
  <c r="N610" i="1"/>
  <c r="L617" i="1" a="1"/>
  <c r="L617" i="1"/>
  <c r="J610" i="1" a="1"/>
  <c r="J610" i="1" s="1"/>
  <c r="O610" i="1" a="1"/>
  <c r="O610" i="1" s="1"/>
  <c r="I610" i="1" a="1"/>
  <c r="I610" i="1" s="1"/>
  <c r="G610" i="1" a="1"/>
  <c r="G610" i="1" s="1"/>
  <c r="H609" i="1" a="1"/>
  <c r="H609" i="1"/>
  <c r="Q609" i="1" a="1"/>
  <c r="Q609" i="1" s="1"/>
  <c r="P607" i="1" a="1"/>
  <c r="P607" i="1"/>
  <c r="I607" i="1" a="1"/>
  <c r="I607" i="1"/>
  <c r="O609" i="1" a="1"/>
  <c r="O609" i="1" s="1"/>
  <c r="K617" i="1" a="1"/>
  <c r="K617" i="1"/>
  <c r="H607" i="1" a="1"/>
  <c r="H607" i="1" s="1"/>
  <c r="L610" i="1" a="1"/>
  <c r="L610" i="1" s="1"/>
  <c r="J607" i="1" a="1"/>
  <c r="J607" i="1" s="1"/>
  <c r="I609" i="1" a="1"/>
  <c r="I609" i="1" s="1"/>
  <c r="J617" i="1" a="1"/>
  <c r="J617" i="1" s="1"/>
  <c r="G607" i="1" a="1"/>
  <c r="G607" i="1" s="1"/>
  <c r="M610" i="1" a="1"/>
  <c r="M610" i="1" s="1"/>
  <c r="P610" i="1" a="1"/>
  <c r="P610" i="1" s="1"/>
  <c r="M607" i="1" a="1"/>
  <c r="M607" i="1"/>
  <c r="J609" i="1" a="1"/>
  <c r="J609" i="1"/>
  <c r="F610" i="1" a="1"/>
  <c r="F610" i="1"/>
  <c r="I617" i="1" a="1"/>
  <c r="I617" i="1" s="1"/>
  <c r="O607" i="1" a="1"/>
  <c r="O607" i="1"/>
  <c r="F609" i="1" a="1"/>
  <c r="F609" i="1" s="1"/>
  <c r="K607" i="1" a="1"/>
  <c r="K607" i="1"/>
  <c r="N617" i="1" a="1"/>
  <c r="N617" i="1"/>
  <c r="G617" i="1" a="1"/>
  <c r="G617" i="1"/>
  <c r="G603" i="1" a="1"/>
  <c r="G603" i="1"/>
  <c r="P596" i="1" a="1"/>
  <c r="P596" i="1" s="1"/>
  <c r="Q603" i="1" a="1"/>
  <c r="Q603" i="1"/>
  <c r="L602" i="1" a="1"/>
  <c r="L602" i="1"/>
  <c r="H602" i="1" a="1"/>
  <c r="H602" i="1"/>
  <c r="F606" i="1" a="1"/>
  <c r="F606" i="1" s="1"/>
  <c r="N603" i="1" a="1"/>
  <c r="N603" i="1" s="1"/>
  <c r="H603" i="1" a="1"/>
  <c r="H603" i="1" s="1"/>
  <c r="L603" i="1" a="1"/>
  <c r="L603" i="1"/>
  <c r="K602" i="1" a="1"/>
  <c r="K602" i="1" s="1"/>
  <c r="I602" i="1" a="1"/>
  <c r="I602" i="1"/>
  <c r="O596" i="1" a="1"/>
  <c r="O596" i="1" s="1"/>
  <c r="P602" i="1" a="1"/>
  <c r="P602" i="1" s="1"/>
  <c r="N602" i="1" a="1"/>
  <c r="N602" i="1" s="1"/>
  <c r="N596" i="1" a="1"/>
  <c r="N596" i="1" s="1"/>
  <c r="Q602" i="1" a="1"/>
  <c r="Q602" i="1" s="1"/>
  <c r="K603" i="1" a="1"/>
  <c r="K603" i="1"/>
  <c r="Q606" i="1" a="1"/>
  <c r="Q606" i="1" s="1"/>
  <c r="M603" i="1" a="1"/>
  <c r="M603" i="1" s="1"/>
  <c r="Q596" i="1" a="1"/>
  <c r="Q596" i="1"/>
  <c r="M606" i="1" a="1"/>
  <c r="M606" i="1"/>
  <c r="J603" i="1" a="1"/>
  <c r="J603" i="1" s="1"/>
  <c r="L596" i="1" a="1"/>
  <c r="L596" i="1"/>
  <c r="M596" i="1" a="1"/>
  <c r="M596" i="1" s="1"/>
  <c r="K596" i="1" a="1"/>
  <c r="K596" i="1"/>
  <c r="F607" i="1" a="1"/>
  <c r="F607" i="1"/>
  <c r="L606" i="1" a="1"/>
  <c r="L606" i="1" s="1"/>
  <c r="H606" i="1" a="1"/>
  <c r="H606" i="1"/>
  <c r="G606" i="1" a="1"/>
  <c r="G606" i="1"/>
  <c r="O602" i="1" a="1"/>
  <c r="O602" i="1" s="1"/>
  <c r="M602" i="1" a="1"/>
  <c r="M602" i="1" s="1"/>
  <c r="F602" i="1" a="1"/>
  <c r="F602" i="1" s="1"/>
  <c r="J596" i="1" a="1"/>
  <c r="J596" i="1"/>
  <c r="P606" i="1" a="1"/>
  <c r="P606" i="1" s="1"/>
  <c r="O606" i="1" a="1"/>
  <c r="O606" i="1" s="1"/>
  <c r="N606" i="1" a="1"/>
  <c r="N606" i="1" s="1"/>
  <c r="K606" i="1" a="1"/>
  <c r="K606" i="1" s="1"/>
  <c r="J606" i="1" a="1"/>
  <c r="J606" i="1"/>
  <c r="P603" i="1" a="1"/>
  <c r="P603" i="1"/>
  <c r="J602" i="1" a="1"/>
  <c r="J602" i="1"/>
  <c r="O603" i="1" a="1"/>
  <c r="O603" i="1"/>
  <c r="I603" i="1" a="1"/>
  <c r="I603" i="1" s="1"/>
  <c r="G602" i="1" a="1"/>
  <c r="G602" i="1" s="1"/>
  <c r="I606" i="1" a="1"/>
  <c r="I606" i="1" s="1"/>
  <c r="F603" i="1" a="1"/>
  <c r="F603" i="1"/>
  <c r="Q593" i="1" a="1"/>
  <c r="Q593" i="1"/>
  <c r="I593" i="1" a="1"/>
  <c r="I593" i="1"/>
  <c r="H589" i="1" a="1"/>
  <c r="H589" i="1"/>
  <c r="P593" i="1" a="1"/>
  <c r="P593" i="1"/>
  <c r="O588" i="1" a="1"/>
  <c r="O588" i="1"/>
  <c r="O592" i="1" a="1"/>
  <c r="O592" i="1"/>
  <c r="M592" i="1" a="1"/>
  <c r="M592" i="1"/>
  <c r="M589" i="1" a="1"/>
  <c r="M589" i="1" s="1"/>
  <c r="N593" i="1" a="1"/>
  <c r="N593" i="1"/>
  <c r="M593" i="1" a="1"/>
  <c r="M593" i="1" s="1"/>
  <c r="K589" i="1" a="1"/>
  <c r="K589" i="1"/>
  <c r="N589" i="1" a="1"/>
  <c r="N589" i="1"/>
  <c r="P588" i="1" a="1"/>
  <c r="P588" i="1" s="1"/>
  <c r="Q588" i="1" a="1"/>
  <c r="Q588" i="1" s="1"/>
  <c r="Q589" i="1" a="1"/>
  <c r="Q589" i="1" s="1"/>
  <c r="N588" i="1" a="1"/>
  <c r="N588" i="1"/>
  <c r="I596" i="1" a="1"/>
  <c r="I596" i="1" s="1"/>
  <c r="H596" i="1" a="1"/>
  <c r="H596" i="1" s="1"/>
  <c r="G596" i="1" a="1"/>
  <c r="G596" i="1" s="1"/>
  <c r="F596" i="1" a="1"/>
  <c r="F596" i="1" s="1"/>
  <c r="Q595" i="1" a="1"/>
  <c r="Q595" i="1" s="1"/>
  <c r="P595" i="1" a="1"/>
  <c r="P595" i="1"/>
  <c r="O595" i="1" a="1"/>
  <c r="O595" i="1"/>
  <c r="N595" i="1" a="1"/>
  <c r="N595" i="1" s="1"/>
  <c r="J595" i="1" a="1"/>
  <c r="J595" i="1"/>
  <c r="H593" i="1" a="1"/>
  <c r="H593" i="1" s="1"/>
  <c r="F593" i="1" a="1"/>
  <c r="F593" i="1" s="1"/>
  <c r="J589" i="1" a="1"/>
  <c r="J589" i="1"/>
  <c r="L592" i="1" a="1"/>
  <c r="L592" i="1"/>
  <c r="K592" i="1" a="1"/>
  <c r="K592" i="1"/>
  <c r="G589" i="1" a="1"/>
  <c r="G589" i="1" s="1"/>
  <c r="M588" i="1" a="1"/>
  <c r="M588" i="1"/>
  <c r="K595" i="1" a="1"/>
  <c r="K595" i="1" s="1"/>
  <c r="P589" i="1" a="1"/>
  <c r="P589" i="1" s="1"/>
  <c r="L588" i="1" a="1"/>
  <c r="L588" i="1"/>
  <c r="K593" i="1" a="1"/>
  <c r="K593" i="1" s="1"/>
  <c r="L589" i="1" a="1"/>
  <c r="L589" i="1" s="1"/>
  <c r="H592" i="1" a="1"/>
  <c r="H592" i="1" s="1"/>
  <c r="M595" i="1" a="1"/>
  <c r="M595" i="1" s="1"/>
  <c r="L595" i="1" a="1"/>
  <c r="L595" i="1"/>
  <c r="F595" i="1" a="1"/>
  <c r="F595" i="1" s="1"/>
  <c r="P592" i="1" a="1"/>
  <c r="P592" i="1" s="1"/>
  <c r="G592" i="1" a="1"/>
  <c r="G592" i="1" s="1"/>
  <c r="I595" i="1" a="1"/>
  <c r="I595" i="1" s="1"/>
  <c r="O589" i="1" a="1"/>
  <c r="O589" i="1"/>
  <c r="H595" i="1" a="1"/>
  <c r="H595" i="1"/>
  <c r="F592" i="1" a="1"/>
  <c r="F592" i="1"/>
  <c r="G593" i="1" a="1"/>
  <c r="G593" i="1"/>
  <c r="I589" i="1" a="1"/>
  <c r="I589" i="1" s="1"/>
  <c r="N592" i="1" a="1"/>
  <c r="N592" i="1"/>
  <c r="I592" i="1" a="1"/>
  <c r="I592" i="1" s="1"/>
  <c r="O593" i="1" a="1"/>
  <c r="O593" i="1" s="1"/>
  <c r="Q592" i="1" a="1"/>
  <c r="Q592" i="1" s="1"/>
  <c r="L593" i="1" a="1"/>
  <c r="L593" i="1"/>
  <c r="J592" i="1" a="1"/>
  <c r="J592" i="1" s="1"/>
  <c r="F589" i="1" a="1"/>
  <c r="F589" i="1"/>
  <c r="G595" i="1" a="1"/>
  <c r="G595" i="1"/>
  <c r="J593" i="1" a="1"/>
  <c r="J593" i="1"/>
  <c r="Q585" i="1" a="1"/>
  <c r="Q585" i="1"/>
  <c r="P585" i="1" a="1"/>
  <c r="P585" i="1" s="1"/>
  <c r="O585" i="1" a="1"/>
  <c r="O585" i="1"/>
  <c r="P584" i="1" a="1"/>
  <c r="P584" i="1"/>
  <c r="L585" i="1" a="1"/>
  <c r="L585" i="1"/>
  <c r="K585" i="1" a="1"/>
  <c r="K585" i="1"/>
  <c r="J585" i="1" a="1"/>
  <c r="J585" i="1"/>
  <c r="H585" i="1" a="1"/>
  <c r="H585" i="1"/>
  <c r="F585" i="1" a="1"/>
  <c r="F585" i="1" s="1"/>
  <c r="O584" i="1" a="1"/>
  <c r="O584" i="1" s="1"/>
  <c r="M584" i="1" a="1"/>
  <c r="M584" i="1" s="1"/>
  <c r="Q584" i="1" a="1"/>
  <c r="Q584" i="1" s="1"/>
  <c r="L584" i="1" a="1"/>
  <c r="L584" i="1" s="1"/>
  <c r="J584" i="1" a="1"/>
  <c r="J584" i="1" s="1"/>
  <c r="K584" i="1" a="1"/>
  <c r="K584" i="1" s="1"/>
  <c r="G588" i="1" a="1"/>
  <c r="G588" i="1" s="1"/>
  <c r="F588" i="1" a="1"/>
  <c r="F588" i="1" s="1"/>
  <c r="I584" i="1" a="1"/>
  <c r="I584" i="1" s="1"/>
  <c r="H584" i="1" a="1"/>
  <c r="H584" i="1"/>
  <c r="F584" i="1" a="1"/>
  <c r="F584" i="1"/>
  <c r="G584" i="1" a="1"/>
  <c r="G584" i="1"/>
  <c r="H588" i="1" a="1"/>
  <c r="H588" i="1" s="1"/>
  <c r="K588" i="1" a="1"/>
  <c r="K588" i="1"/>
  <c r="J588" i="1" a="1"/>
  <c r="J588" i="1"/>
  <c r="I588" i="1" a="1"/>
  <c r="I588" i="1" s="1"/>
  <c r="N585" i="1" a="1"/>
  <c r="N585" i="1"/>
  <c r="M585" i="1" a="1"/>
  <c r="M585" i="1"/>
  <c r="N584" i="1" a="1"/>
  <c r="N584" i="1"/>
  <c r="G585" i="1" a="1"/>
  <c r="G585" i="1"/>
  <c r="I585" i="1" a="1"/>
  <c r="I585" i="1"/>
  <c r="P743" i="1" a="1"/>
  <c r="P743" i="1" s="1"/>
  <c r="K743" i="1" a="1"/>
  <c r="K743" i="1"/>
  <c r="N743" i="1" a="1"/>
  <c r="N743" i="1" s="1"/>
  <c r="M742" i="1" a="1"/>
  <c r="M742" i="1" s="1"/>
  <c r="M744" i="1" s="1" a="1"/>
  <c r="M744" i="1" s="1"/>
  <c r="J743" i="1" a="1"/>
  <c r="J743" i="1"/>
  <c r="F743" i="1" a="1"/>
  <c r="F743" i="1"/>
  <c r="H742" i="1" a="1"/>
  <c r="H742" i="1"/>
  <c r="H744" i="1" s="1" a="1"/>
  <c r="H744" i="1" s="1"/>
  <c r="Q743" i="1" a="1"/>
  <c r="Q743" i="1" s="1"/>
  <c r="H743" i="1" a="1"/>
  <c r="H743" i="1" s="1"/>
  <c r="O743" i="1" a="1"/>
  <c r="O743" i="1"/>
  <c r="M743" i="1" a="1"/>
  <c r="M743" i="1"/>
  <c r="I743" i="1" a="1"/>
  <c r="I743" i="1"/>
  <c r="G743" i="1" a="1"/>
  <c r="G743" i="1" s="1"/>
  <c r="L743" i="1" a="1"/>
  <c r="L743" i="1" s="1"/>
  <c r="K740" i="1" a="1"/>
  <c r="K740" i="1"/>
  <c r="J740" i="1" a="1"/>
  <c r="J740" i="1"/>
  <c r="G740" i="1" a="1"/>
  <c r="G740" i="1" s="1"/>
  <c r="I740" i="1" a="1"/>
  <c r="I740" i="1" s="1"/>
  <c r="N740" i="1" a="1"/>
  <c r="N740" i="1" s="1"/>
  <c r="L740" i="1" a="1"/>
  <c r="L740" i="1" s="1"/>
  <c r="M740" i="1" a="1"/>
  <c r="M740" i="1" s="1"/>
  <c r="P740" i="1" a="1"/>
  <c r="P740" i="1" s="1"/>
  <c r="H740" i="1" a="1"/>
  <c r="H740" i="1" s="1"/>
  <c r="F740" i="1" a="1"/>
  <c r="F740" i="1" s="1"/>
  <c r="Q740" i="1" a="1"/>
  <c r="Q740" i="1"/>
  <c r="O740" i="1" a="1"/>
  <c r="O740" i="1"/>
  <c r="I727" i="1" a="1"/>
  <c r="I727" i="1" s="1"/>
  <c r="G727" i="1" a="1"/>
  <c r="G727" i="1"/>
  <c r="J727" i="1" a="1"/>
  <c r="J727" i="1"/>
  <c r="K726" i="1" a="1"/>
  <c r="K726" i="1"/>
  <c r="K728" i="1" s="1" a="1"/>
  <c r="K728" i="1" s="1"/>
  <c r="L724" i="1" a="1"/>
  <c r="L724" i="1"/>
  <c r="P727" i="1" a="1"/>
  <c r="P727" i="1"/>
  <c r="F727" i="1" a="1"/>
  <c r="F727" i="1" s="1"/>
  <c r="Q720" i="1" a="1"/>
  <c r="Q720" i="1"/>
  <c r="Q724" i="1" a="1"/>
  <c r="Q724" i="1" s="1"/>
  <c r="F724" i="1" a="1"/>
  <c r="F724" i="1"/>
  <c r="K724" i="1" a="1"/>
  <c r="K724" i="1" s="1"/>
  <c r="Q727" i="1" a="1"/>
  <c r="Q727" i="1" s="1"/>
  <c r="O727" i="1" a="1"/>
  <c r="O727" i="1"/>
  <c r="H726" i="1" a="1"/>
  <c r="H726" i="1"/>
  <c r="H728" i="1" s="1" a="1"/>
  <c r="H728" i="1" s="1"/>
  <c r="J724" i="1" a="1"/>
  <c r="J724" i="1"/>
  <c r="L727" i="1" a="1"/>
  <c r="L727" i="1" s="1"/>
  <c r="H727" i="1" a="1"/>
  <c r="H727" i="1" s="1"/>
  <c r="N724" i="1" a="1"/>
  <c r="N724" i="1"/>
  <c r="I724" i="1" a="1"/>
  <c r="I724" i="1" s="1"/>
  <c r="O724" i="1" a="1"/>
  <c r="O724" i="1" s="1"/>
  <c r="N727" i="1" a="1"/>
  <c r="N727" i="1"/>
  <c r="P724" i="1" a="1"/>
  <c r="P724" i="1"/>
  <c r="H724" i="1" a="1"/>
  <c r="H724" i="1"/>
  <c r="M727" i="1" a="1"/>
  <c r="M727" i="1"/>
  <c r="M726" i="1" a="1"/>
  <c r="M726" i="1"/>
  <c r="M728" i="1" a="1"/>
  <c r="M728" i="1" s="1"/>
  <c r="K727" i="1" a="1"/>
  <c r="K727" i="1" s="1"/>
  <c r="M724" i="1" a="1"/>
  <c r="M724" i="1"/>
  <c r="G724" i="1" a="1"/>
  <c r="G724" i="1"/>
  <c r="J718" i="1" a="1"/>
  <c r="J718" i="1" s="1"/>
  <c r="H718" i="1" a="1"/>
  <c r="H718" i="1" s="1"/>
  <c r="H716" i="1" a="1"/>
  <c r="H716" i="1" s="1"/>
  <c r="P720" i="1" a="1"/>
  <c r="P720" i="1" s="1"/>
  <c r="I718" i="1" a="1"/>
  <c r="I718" i="1"/>
  <c r="O719" i="1" a="1"/>
  <c r="O719" i="1" s="1"/>
  <c r="N720" i="1" a="1"/>
  <c r="N720" i="1"/>
  <c r="H720" i="1" a="1"/>
  <c r="H720" i="1"/>
  <c r="O718" i="1" a="1"/>
  <c r="O718" i="1"/>
  <c r="J719" i="1" a="1"/>
  <c r="J719" i="1" s="1"/>
  <c r="N719" i="1" a="1"/>
  <c r="N719" i="1"/>
  <c r="F720" i="1" a="1"/>
  <c r="F720" i="1" s="1"/>
  <c r="L719" i="1" a="1"/>
  <c r="L719" i="1" s="1"/>
  <c r="P718" i="1" a="1"/>
  <c r="P718" i="1" s="1"/>
  <c r="O711" i="1" a="1"/>
  <c r="O711" i="1" s="1"/>
  <c r="M711" i="1" a="1"/>
  <c r="M711" i="1"/>
  <c r="K718" i="1" a="1"/>
  <c r="K718" i="1"/>
  <c r="P716" i="1" a="1"/>
  <c r="P716" i="1"/>
  <c r="M720" i="1" a="1"/>
  <c r="M720" i="1"/>
  <c r="K716" i="1" a="1"/>
  <c r="K716" i="1" s="1"/>
  <c r="K720" i="1" a="1"/>
  <c r="K720" i="1" s="1"/>
  <c r="M716" i="1" a="1"/>
  <c r="M716" i="1"/>
  <c r="L711" i="1" a="1"/>
  <c r="L711" i="1"/>
  <c r="G719" i="1" a="1"/>
  <c r="G719" i="1" s="1"/>
  <c r="P711" i="1" a="1"/>
  <c r="P711" i="1"/>
  <c r="J720" i="1" a="1"/>
  <c r="J720" i="1"/>
  <c r="J742" i="1" s="1" a="1"/>
  <c r="J742" i="1" s="1"/>
  <c r="J744" i="1" s="1" a="1"/>
  <c r="J744" i="1" s="1"/>
  <c r="P719" i="1" a="1"/>
  <c r="P719" i="1"/>
  <c r="I716" i="1" a="1"/>
  <c r="I716" i="1" s="1"/>
  <c r="N711" i="1" a="1"/>
  <c r="N711" i="1"/>
  <c r="I720" i="1" a="1"/>
  <c r="I720" i="1" s="1"/>
  <c r="G720" i="1" a="1"/>
  <c r="G720" i="1" s="1"/>
  <c r="M719" i="1" a="1"/>
  <c r="M719" i="1" s="1"/>
  <c r="K719" i="1" a="1"/>
  <c r="K719" i="1" s="1"/>
  <c r="Q718" i="1" a="1"/>
  <c r="Q718" i="1" s="1"/>
  <c r="N718" i="1" a="1"/>
  <c r="N718" i="1" s="1"/>
  <c r="N742" i="1" s="1" a="1"/>
  <c r="N742" i="1" s="1"/>
  <c r="N744" i="1" s="1" a="1"/>
  <c r="N744" i="1" s="1"/>
  <c r="M718" i="1" a="1"/>
  <c r="M718" i="1"/>
  <c r="Q711" i="1" a="1"/>
  <c r="Q711" i="1" s="1"/>
  <c r="J716" i="1" a="1"/>
  <c r="J716" i="1" s="1"/>
  <c r="L718" i="1" a="1"/>
  <c r="L718" i="1" s="1"/>
  <c r="L742" i="1" s="1" a="1"/>
  <c r="L742" i="1" s="1"/>
  <c r="L744" i="1" s="1" a="1"/>
  <c r="L744" i="1" s="1"/>
  <c r="Q716" i="1" a="1"/>
  <c r="Q716" i="1"/>
  <c r="F718" i="1" a="1"/>
  <c r="F718" i="1"/>
  <c r="O716" i="1" a="1"/>
  <c r="O716" i="1"/>
  <c r="N716" i="1" a="1"/>
  <c r="N716" i="1"/>
  <c r="G716" i="1" a="1"/>
  <c r="G716" i="1"/>
  <c r="F719" i="1" a="1"/>
  <c r="F719" i="1"/>
  <c r="O720" i="1" a="1"/>
  <c r="O720" i="1"/>
  <c r="Q719" i="1" a="1"/>
  <c r="Q719" i="1"/>
  <c r="L720" i="1" a="1"/>
  <c r="L720" i="1"/>
  <c r="I719" i="1" a="1"/>
  <c r="I719" i="1"/>
  <c r="G718" i="1" a="1"/>
  <c r="G718" i="1" s="1"/>
  <c r="G742" i="1" s="1" a="1"/>
  <c r="G742" i="1" s="1"/>
  <c r="G744" i="1" s="1" a="1"/>
  <c r="G744" i="1" s="1"/>
  <c r="H719" i="1" a="1"/>
  <c r="H719" i="1" s="1"/>
  <c r="L716" i="1" a="1"/>
  <c r="L716" i="1" s="1"/>
  <c r="F716" i="1" a="1"/>
  <c r="F716" i="1"/>
  <c r="M709" i="1" a="1"/>
  <c r="M709" i="1" s="1"/>
  <c r="I697" i="1" a="1"/>
  <c r="I697" i="1"/>
  <c r="H696" i="1" a="1"/>
  <c r="H696" i="1"/>
  <c r="N696" i="1" a="1"/>
  <c r="N696" i="1"/>
  <c r="G697" i="1" a="1"/>
  <c r="G697" i="1"/>
  <c r="P697" i="1" a="1"/>
  <c r="P697" i="1" s="1"/>
  <c r="P696" i="1" a="1"/>
  <c r="P696" i="1" s="1"/>
  <c r="H697" i="1" a="1"/>
  <c r="H697" i="1" s="1"/>
  <c r="N697" i="1" a="1"/>
  <c r="N697" i="1" s="1"/>
  <c r="M697" i="1" a="1"/>
  <c r="M697" i="1"/>
  <c r="P709" i="1" a="1"/>
  <c r="P709" i="1" s="1"/>
  <c r="K711" i="1" a="1"/>
  <c r="K711" i="1" s="1"/>
  <c r="G711" i="1" a="1"/>
  <c r="G711" i="1" s="1"/>
  <c r="M696" i="1" a="1"/>
  <c r="M696" i="1" s="1"/>
  <c r="L697" i="1" a="1"/>
  <c r="L697" i="1"/>
  <c r="K697" i="1" a="1"/>
  <c r="K697" i="1" s="1"/>
  <c r="J711" i="1" a="1"/>
  <c r="J711" i="1" s="1"/>
  <c r="I711" i="1" a="1"/>
  <c r="I711" i="1" s="1"/>
  <c r="H711" i="1" a="1"/>
  <c r="H711" i="1" s="1"/>
  <c r="F711" i="1" a="1"/>
  <c r="F711" i="1" s="1"/>
  <c r="G696" i="1" a="1"/>
  <c r="G696" i="1"/>
  <c r="O709" i="1" a="1"/>
  <c r="O709" i="1"/>
  <c r="O697" i="1" a="1"/>
  <c r="O697" i="1"/>
  <c r="F697" i="1" a="1"/>
  <c r="F697" i="1"/>
  <c r="L709" i="1" a="1"/>
  <c r="L709" i="1"/>
  <c r="K696" i="1" a="1"/>
  <c r="K696" i="1"/>
  <c r="J696" i="1" a="1"/>
  <c r="J696" i="1" s="1"/>
  <c r="Q696" i="1" a="1"/>
  <c r="Q696" i="1" s="1"/>
  <c r="F709" i="1" a="1"/>
  <c r="F709" i="1"/>
  <c r="H709" i="1" a="1"/>
  <c r="H709" i="1"/>
  <c r="Q709" i="1" a="1"/>
  <c r="Q709" i="1"/>
  <c r="N709" i="1" a="1"/>
  <c r="N709" i="1" s="1"/>
  <c r="J709" i="1" a="1"/>
  <c r="J709" i="1" s="1"/>
  <c r="L696" i="1" a="1"/>
  <c r="L696" i="1" s="1"/>
  <c r="K709" i="1" a="1"/>
  <c r="K709" i="1" s="1"/>
  <c r="I709" i="1" a="1"/>
  <c r="I709" i="1" s="1"/>
  <c r="Q697" i="1" a="1"/>
  <c r="Q697" i="1" s="1"/>
  <c r="O696" i="1" a="1"/>
  <c r="O696" i="1" s="1"/>
  <c r="G709" i="1" a="1"/>
  <c r="G709" i="1"/>
  <c r="I696" i="1" a="1"/>
  <c r="I696" i="1"/>
  <c r="J697" i="1" a="1"/>
  <c r="J697" i="1" s="1"/>
  <c r="Q685" i="1" a="1"/>
  <c r="Q685" i="1"/>
  <c r="K685" i="1" a="1"/>
  <c r="K685" i="1"/>
  <c r="F685" i="1" a="1"/>
  <c r="F685" i="1"/>
  <c r="K687" i="1" a="1"/>
  <c r="K687" i="1" s="1"/>
  <c r="Q683" i="1" a="1"/>
  <c r="Q683" i="1" s="1"/>
  <c r="Q688" i="1" a="1"/>
  <c r="Q688" i="1" s="1"/>
  <c r="P688" i="1" a="1"/>
  <c r="P688" i="1"/>
  <c r="O688" i="1" a="1"/>
  <c r="O688" i="1" s="1"/>
  <c r="N688" i="1" a="1"/>
  <c r="N688" i="1"/>
  <c r="I685" i="1" a="1"/>
  <c r="I685" i="1"/>
  <c r="M688" i="1" a="1"/>
  <c r="M688" i="1"/>
  <c r="K688" i="1" a="1"/>
  <c r="K688" i="1"/>
  <c r="H688" i="1" a="1"/>
  <c r="H688" i="1" s="1"/>
  <c r="J688" i="1" a="1"/>
  <c r="J688" i="1" s="1"/>
  <c r="J687" i="1" a="1"/>
  <c r="J687" i="1"/>
  <c r="L687" i="1" a="1"/>
  <c r="L687" i="1" s="1"/>
  <c r="J683" i="1" a="1"/>
  <c r="J683" i="1" s="1"/>
  <c r="F688" i="1" a="1"/>
  <c r="F688" i="1"/>
  <c r="O687" i="1" a="1"/>
  <c r="O687" i="1"/>
  <c r="I687" i="1" a="1"/>
  <c r="I687" i="1"/>
  <c r="I688" i="1" a="1"/>
  <c r="I688" i="1"/>
  <c r="M683" i="1" a="1"/>
  <c r="M683" i="1" s="1"/>
  <c r="G688" i="1" a="1"/>
  <c r="G688" i="1" s="1"/>
  <c r="M687" i="1" a="1"/>
  <c r="M687" i="1" s="1"/>
  <c r="P683" i="1" a="1"/>
  <c r="P683" i="1" s="1"/>
  <c r="N683" i="1" a="1"/>
  <c r="N683" i="1" s="1"/>
  <c r="L683" i="1" a="1"/>
  <c r="L683" i="1"/>
  <c r="P687" i="1" a="1"/>
  <c r="P687" i="1" s="1"/>
  <c r="Q687" i="1" a="1"/>
  <c r="Q687" i="1" s="1"/>
  <c r="P685" i="1" a="1"/>
  <c r="P685" i="1" s="1"/>
  <c r="J685" i="1" a="1"/>
  <c r="J685" i="1"/>
  <c r="F696" i="1" a="1"/>
  <c r="F696" i="1"/>
  <c r="N687" i="1" a="1"/>
  <c r="N687" i="1"/>
  <c r="L688" i="1" a="1"/>
  <c r="L688" i="1"/>
  <c r="L685" i="1" a="1"/>
  <c r="L685" i="1" s="1"/>
  <c r="H685" i="1" a="1"/>
  <c r="H685" i="1"/>
  <c r="O683" i="1" a="1"/>
  <c r="O683" i="1" s="1"/>
  <c r="N685" i="1" a="1"/>
  <c r="N685" i="1"/>
  <c r="H687" i="1" a="1"/>
  <c r="H687" i="1"/>
  <c r="G687" i="1" a="1"/>
  <c r="G687" i="1"/>
  <c r="O685" i="1" a="1"/>
  <c r="O685" i="1"/>
  <c r="G685" i="1" a="1"/>
  <c r="G685" i="1" s="1"/>
  <c r="M685" i="1" a="1"/>
  <c r="M685" i="1" s="1"/>
  <c r="K683" i="1" a="1"/>
  <c r="K683" i="1" s="1"/>
  <c r="F687" i="1" a="1"/>
  <c r="F687" i="1"/>
  <c r="L682" i="1" a="1"/>
  <c r="L682" i="1" s="1"/>
  <c r="I682" i="1" a="1"/>
  <c r="I682" i="1" s="1"/>
  <c r="H682" i="1" a="1"/>
  <c r="H682" i="1" s="1"/>
  <c r="K681" i="1" a="1"/>
  <c r="K681" i="1"/>
  <c r="J681" i="1" a="1"/>
  <c r="J681" i="1"/>
  <c r="G681" i="1" a="1"/>
  <c r="G681" i="1"/>
  <c r="I681" i="1" a="1"/>
  <c r="I681" i="1" s="1"/>
  <c r="F681" i="1" a="1"/>
  <c r="F681" i="1" s="1"/>
  <c r="I683" i="1" a="1"/>
  <c r="I683" i="1" s="1"/>
  <c r="H683" i="1" a="1"/>
  <c r="H683" i="1" s="1"/>
  <c r="P682" i="1" a="1"/>
  <c r="P682" i="1" s="1"/>
  <c r="F682" i="1" a="1"/>
  <c r="F682" i="1" s="1"/>
  <c r="G683" i="1" a="1"/>
  <c r="G683" i="1" s="1"/>
  <c r="F683" i="1" a="1"/>
  <c r="F683" i="1"/>
  <c r="Q682" i="1" a="1"/>
  <c r="Q682" i="1" s="1"/>
  <c r="O682" i="1" a="1"/>
  <c r="O682" i="1" s="1"/>
  <c r="P681" i="1" a="1"/>
  <c r="P681" i="1" s="1"/>
  <c r="N682" i="1" a="1"/>
  <c r="N682" i="1" s="1"/>
  <c r="M682" i="1" a="1"/>
  <c r="M682" i="1"/>
  <c r="G682" i="1" a="1"/>
  <c r="G682" i="1"/>
  <c r="N681" i="1" a="1"/>
  <c r="N681" i="1" s="1"/>
  <c r="K682" i="1" a="1"/>
  <c r="K682" i="1"/>
  <c r="H681" i="1" a="1"/>
  <c r="H681" i="1"/>
  <c r="Q681" i="1" a="1"/>
  <c r="Q681" i="1"/>
  <c r="L681" i="1" a="1"/>
  <c r="L681" i="1" s="1"/>
  <c r="M681" i="1" a="1"/>
  <c r="M681" i="1" s="1"/>
  <c r="J682" i="1" a="1"/>
  <c r="J682" i="1" s="1"/>
  <c r="O681" i="1" a="1"/>
  <c r="O681" i="1" s="1"/>
  <c r="F1708" i="1" a="1"/>
  <c r="F1708" i="1"/>
  <c r="I1709" i="1" a="1"/>
  <c r="I1709" i="1" s="1"/>
  <c r="H1708" i="1" a="1"/>
  <c r="H1708" i="1"/>
  <c r="G1709" i="1" a="1"/>
  <c r="G1709" i="1" s="1"/>
  <c r="P1708" i="1" a="1"/>
  <c r="P1708" i="1" s="1"/>
  <c r="F1709" i="1" a="1"/>
  <c r="F1709" i="1" s="1"/>
  <c r="N1708" i="1" a="1"/>
  <c r="N1708" i="1"/>
  <c r="N1709" i="1" a="1"/>
  <c r="N1709" i="1" s="1"/>
  <c r="H1709" i="1" a="1"/>
  <c r="H1709" i="1" s="1"/>
  <c r="P1709" i="1" a="1"/>
  <c r="P1709" i="1" s="1"/>
  <c r="O1709" i="1" a="1"/>
  <c r="O1709" i="1" s="1"/>
  <c r="L1708" i="1" a="1"/>
  <c r="L1708" i="1"/>
  <c r="L1709" i="1" a="1"/>
  <c r="L1709" i="1"/>
  <c r="G1708" i="1" a="1"/>
  <c r="G1708" i="1"/>
  <c r="M1709" i="1" a="1"/>
  <c r="M1709" i="1"/>
  <c r="M1708" i="1" a="1"/>
  <c r="M1708" i="1"/>
  <c r="J1708" i="1" a="1"/>
  <c r="J1708" i="1" s="1"/>
  <c r="I1708" i="1" a="1"/>
  <c r="I1708" i="1"/>
  <c r="J1709" i="1" a="1"/>
  <c r="J1709" i="1"/>
  <c r="Q1709" i="1" a="1"/>
  <c r="Q1709" i="1" s="1"/>
  <c r="K1708" i="1" a="1"/>
  <c r="K1708" i="1" s="1"/>
  <c r="O1708" i="1" a="1"/>
  <c r="O1708" i="1" s="1"/>
  <c r="Q1708" i="1" a="1"/>
  <c r="Q1708" i="1"/>
  <c r="K1709" i="1" a="1"/>
  <c r="K1709" i="1"/>
  <c r="Q2049" i="1" a="1"/>
  <c r="Q2049" i="1" s="1"/>
  <c r="M2325" i="1" a="1"/>
  <c r="M2325" i="1" s="1"/>
  <c r="L2325" i="1" a="1"/>
  <c r="L2325" i="1"/>
  <c r="K2325" i="1" a="1"/>
  <c r="K2325" i="1"/>
  <c r="J2325" i="1" a="1"/>
  <c r="J2325" i="1"/>
  <c r="I2325" i="1" a="1"/>
  <c r="I2325" i="1"/>
  <c r="M2323" i="1" a="1"/>
  <c r="M2323" i="1" s="1"/>
  <c r="M2322" i="1" s="1" a="1"/>
  <c r="M2322" i="1" s="1"/>
  <c r="P2323" i="1" a="1"/>
  <c r="P2323" i="1" s="1"/>
  <c r="P2322" i="1" s="1" a="1"/>
  <c r="P2322" i="1" s="1"/>
  <c r="L2323" i="1" a="1"/>
  <c r="L2323" i="1" s="1"/>
  <c r="K2323" i="1" a="1"/>
  <c r="K2323" i="1"/>
  <c r="K2322" i="1" s="1" a="1"/>
  <c r="K2322" i="1" s="1"/>
  <c r="F2325" i="1" a="1"/>
  <c r="F2325" i="1" s="1"/>
  <c r="N2323" i="1" a="1"/>
  <c r="N2323" i="1" s="1"/>
  <c r="H2325" i="1" a="1"/>
  <c r="H2325" i="1" s="1"/>
  <c r="O2323" i="1" a="1"/>
  <c r="O2323" i="1" s="1"/>
  <c r="G2325" i="1" a="1"/>
  <c r="G2325" i="1" s="1"/>
  <c r="Q2323" i="1" a="1"/>
  <c r="Q2323" i="1"/>
  <c r="J2323" i="1" a="1"/>
  <c r="J2323" i="1"/>
  <c r="J2322" i="1" s="1" a="1"/>
  <c r="I2323" i="1" a="1"/>
  <c r="I2323" i="1" s="1"/>
  <c r="H2323" i="1" a="1"/>
  <c r="H2323" i="1"/>
  <c r="H2322" i="1" s="1" a="1"/>
  <c r="N2322" i="1" a="1"/>
  <c r="N2322" i="1"/>
  <c r="G2323" i="1" a="1"/>
  <c r="G2323" i="1"/>
  <c r="G2322" i="1" s="1" a="1"/>
  <c r="G2322" i="1" s="1"/>
  <c r="F2323" i="1" a="1"/>
  <c r="F2323" i="1"/>
  <c r="F2322" i="1" s="1" a="1"/>
  <c r="F2322" i="1" s="1"/>
  <c r="Q2322" i="1" a="1"/>
  <c r="Q2322" i="1"/>
  <c r="O2322" i="1" a="1"/>
  <c r="O2322" i="1" s="1"/>
  <c r="O2328" i="1" a="1"/>
  <c r="O2328" i="1" s="1"/>
  <c r="P2328" i="1" a="1"/>
  <c r="P2328" i="1"/>
  <c r="N2328" i="1" a="1"/>
  <c r="N2328" i="1"/>
  <c r="L2328" i="1" a="1"/>
  <c r="L2328" i="1" s="1"/>
  <c r="M2328" i="1" a="1"/>
  <c r="M2328" i="1" s="1"/>
  <c r="K2328" i="1" a="1"/>
  <c r="K2328" i="1" s="1"/>
  <c r="J2328" i="1" a="1"/>
  <c r="J2328" i="1"/>
  <c r="H2328" i="1" a="1"/>
  <c r="H2328" i="1" s="1"/>
  <c r="I2328" i="1" a="1"/>
  <c r="I2328" i="1"/>
  <c r="G2328" i="1" a="1"/>
  <c r="G2328" i="1"/>
  <c r="M2327" i="1" a="1"/>
  <c r="M2327" i="1"/>
  <c r="F2328" i="1" a="1"/>
  <c r="F2328" i="1"/>
  <c r="Q2327" i="1" a="1"/>
  <c r="Q2327" i="1"/>
  <c r="O2327" i="1" a="1"/>
  <c r="O2327" i="1"/>
  <c r="N2327" i="1" a="1"/>
  <c r="N2327" i="1"/>
  <c r="P2327" i="1" a="1"/>
  <c r="P2327" i="1"/>
  <c r="J2327" i="1" a="1"/>
  <c r="J2327" i="1" s="1"/>
  <c r="I2327" i="1" a="1"/>
  <c r="I2327" i="1" s="1"/>
  <c r="K2327" i="1" a="1"/>
  <c r="K2327" i="1"/>
  <c r="L2327" i="1" a="1"/>
  <c r="L2327" i="1"/>
  <c r="H2327" i="1" a="1"/>
  <c r="H2327" i="1"/>
  <c r="P2326" i="1" a="1"/>
  <c r="P2326" i="1"/>
  <c r="O2326" i="1" a="1"/>
  <c r="O2326" i="1" s="1"/>
  <c r="M2326" i="1" a="1"/>
  <c r="M2326" i="1"/>
  <c r="L2326" i="1" a="1"/>
  <c r="L2326" i="1"/>
  <c r="J2326" i="1" a="1"/>
  <c r="J2326" i="1"/>
  <c r="H2326" i="1" a="1"/>
  <c r="H2326" i="1"/>
  <c r="G2326" i="1" a="1"/>
  <c r="G2326" i="1"/>
  <c r="G2327" i="1" a="1"/>
  <c r="G2327" i="1"/>
  <c r="F2327" i="1" a="1"/>
  <c r="F2327" i="1"/>
  <c r="K2326" i="1" a="1"/>
  <c r="K2326" i="1"/>
  <c r="Q2326" i="1" a="1"/>
  <c r="Q2326" i="1" s="1"/>
  <c r="N2326" i="1" a="1"/>
  <c r="N2326" i="1" s="1"/>
  <c r="I2326" i="1" a="1"/>
  <c r="I2326" i="1" s="1"/>
  <c r="P2325" i="1" a="1"/>
  <c r="P2325" i="1" s="1"/>
  <c r="F2326" i="1" a="1"/>
  <c r="F2326" i="1" s="1"/>
  <c r="Q2325" i="1" a="1"/>
  <c r="Q2325" i="1"/>
  <c r="O2325" i="1" a="1"/>
  <c r="O2325" i="1"/>
  <c r="N2325" i="1" a="1"/>
  <c r="N2325" i="1" s="1"/>
  <c r="P2334" i="1" a="1"/>
  <c r="P2334" i="1"/>
  <c r="M2334" i="1" a="1"/>
  <c r="M2334" i="1" s="1"/>
  <c r="L2334" i="1" a="1"/>
  <c r="L2334" i="1"/>
  <c r="O2334" i="1" a="1"/>
  <c r="O2334" i="1"/>
  <c r="N2334" i="1" a="1"/>
  <c r="N2334" i="1"/>
  <c r="K2334" i="1" a="1"/>
  <c r="K2334" i="1"/>
  <c r="J2334" i="1" a="1"/>
  <c r="J2334" i="1" s="1"/>
  <c r="Q2333" i="1" a="1"/>
  <c r="Q2333" i="1"/>
  <c r="H2334" i="1" a="1"/>
  <c r="H2334" i="1"/>
  <c r="G2334" i="1" a="1"/>
  <c r="G2334" i="1"/>
  <c r="F2334" i="1" a="1"/>
  <c r="F2334" i="1"/>
  <c r="P2333" i="1" a="1"/>
  <c r="P2333" i="1"/>
  <c r="I2334" i="1" a="1"/>
  <c r="I2334" i="1" s="1"/>
  <c r="O2333" i="1" a="1"/>
  <c r="O2333" i="1" s="1"/>
  <c r="N2333" i="1" a="1"/>
  <c r="N2333" i="1" s="1"/>
  <c r="M2333" i="1" a="1"/>
  <c r="M2333" i="1" s="1"/>
  <c r="L2333" i="1" a="1"/>
  <c r="L2333" i="1"/>
  <c r="K2333" i="1" a="1"/>
  <c r="K2333" i="1"/>
  <c r="J2333" i="1" a="1"/>
  <c r="J2333" i="1"/>
  <c r="I2333" i="1" a="1"/>
  <c r="I2333" i="1"/>
  <c r="H2333" i="1" a="1"/>
  <c r="H2333" i="1" s="1"/>
  <c r="K2336" i="1" a="1"/>
  <c r="K2336" i="1" s="1"/>
  <c r="J2336" i="1" a="1"/>
  <c r="J2336" i="1" s="1"/>
  <c r="I2336" i="1" a="1"/>
  <c r="I2336" i="1" s="1"/>
  <c r="H2336" i="1" a="1"/>
  <c r="H2336" i="1" s="1"/>
  <c r="F2336" i="1" a="1"/>
  <c r="F2336" i="1"/>
  <c r="G2336" i="1" a="1"/>
  <c r="G2336" i="1" s="1"/>
  <c r="Q2335" i="1" a="1"/>
  <c r="Q2335" i="1" s="1"/>
  <c r="P2335" i="1" a="1"/>
  <c r="P2335" i="1"/>
  <c r="O2335" i="1" a="1"/>
  <c r="O2335" i="1"/>
  <c r="N2335" i="1" a="1"/>
  <c r="N2335" i="1" s="1"/>
  <c r="L2335" i="1" a="1"/>
  <c r="L2335" i="1"/>
  <c r="M2335" i="1" a="1"/>
  <c r="M2335" i="1" s="1"/>
  <c r="K2335" i="1" a="1"/>
  <c r="K2335" i="1" s="1"/>
  <c r="J2335" i="1" a="1"/>
  <c r="J2335" i="1" s="1"/>
  <c r="I2335" i="1" a="1"/>
  <c r="I2335" i="1"/>
  <c r="H2335" i="1" a="1"/>
  <c r="H2335" i="1"/>
  <c r="Q2334" i="1" a="1"/>
  <c r="Q2334" i="1"/>
  <c r="G2335" i="1" a="1"/>
  <c r="G2335" i="1"/>
  <c r="F2335" i="1" a="1"/>
  <c r="F2335" i="1"/>
  <c r="P2023" i="1" a="1"/>
  <c r="P2023" i="1"/>
  <c r="L2025" i="1" a="1"/>
  <c r="L2025" i="1"/>
  <c r="J2025" i="1" a="1"/>
  <c r="J2025" i="1"/>
  <c r="H2025" i="1" a="1"/>
  <c r="H2025" i="1" s="1"/>
  <c r="L2023" i="1" a="1"/>
  <c r="L2023" i="1" s="1"/>
  <c r="F2023" i="1" a="1"/>
  <c r="F2023" i="1" s="1"/>
  <c r="G2023" i="1" a="1"/>
  <c r="G2023" i="1"/>
  <c r="Q2023" i="1" a="1"/>
  <c r="Q2023" i="1"/>
  <c r="M2023" i="1" a="1"/>
  <c r="M2023" i="1" s="1"/>
  <c r="G2026" i="1" a="1"/>
  <c r="G2026" i="1" s="1"/>
  <c r="O2023" i="1" a="1"/>
  <c r="O2023" i="1" s="1"/>
  <c r="H2023" i="1" a="1"/>
  <c r="H2023" i="1" s="1"/>
  <c r="F2026" i="1" a="1"/>
  <c r="F2026" i="1" s="1"/>
  <c r="P2025" i="1" a="1"/>
  <c r="P2025" i="1" s="1"/>
  <c r="Q2025" i="1" a="1"/>
  <c r="Q2025" i="1"/>
  <c r="I2023" i="1" a="1"/>
  <c r="I2023" i="1"/>
  <c r="K2025" i="1" a="1"/>
  <c r="K2025" i="1"/>
  <c r="O2025" i="1" a="1"/>
  <c r="O2025" i="1" s="1"/>
  <c r="I2025" i="1" a="1"/>
  <c r="I2025" i="1" s="1"/>
  <c r="N2023" i="1" a="1"/>
  <c r="N2023" i="1"/>
  <c r="N2025" i="1" a="1"/>
  <c r="N2025" i="1"/>
  <c r="F2025" i="1" a="1"/>
  <c r="F2025" i="1"/>
  <c r="M2025" i="1" a="1"/>
  <c r="M2025" i="1" s="1"/>
  <c r="G2025" i="1" a="1"/>
  <c r="G2025" i="1" s="1"/>
  <c r="K2023" i="1" a="1"/>
  <c r="K2023" i="1"/>
  <c r="J2023" i="1" a="1"/>
  <c r="J2023" i="1"/>
  <c r="H2322" i="1"/>
  <c r="J2322" i="1"/>
  <c r="O2320" i="1" a="1"/>
  <c r="O2320" i="1" s="1"/>
  <c r="O2319" i="1" s="1" a="1"/>
  <c r="O2319" i="1" s="1"/>
  <c r="Q2320" i="1" a="1"/>
  <c r="Q2320" i="1"/>
  <c r="Q2319" i="1" s="1" a="1"/>
  <c r="Q2319" i="1" s="1"/>
  <c r="M2320" i="1" a="1"/>
  <c r="M2320" i="1"/>
  <c r="M2319" i="1" s="1" a="1"/>
  <c r="M2319" i="1" s="1"/>
  <c r="N2320" i="1" a="1"/>
  <c r="N2320" i="1" s="1"/>
  <c r="N2319" i="1" s="1" a="1"/>
  <c r="N2319" i="1" s="1"/>
  <c r="P2320" i="1" a="1"/>
  <c r="P2320" i="1"/>
  <c r="L2322" i="1" a="1"/>
  <c r="L2322" i="1"/>
  <c r="I2322" i="1" a="1"/>
  <c r="I2322" i="1" s="1"/>
  <c r="P2319" i="1" a="1"/>
  <c r="P2319" i="1" s="1"/>
  <c r="G2320" i="1" a="1"/>
  <c r="G2320" i="1" s="1"/>
  <c r="G2319" i="1" a="1"/>
  <c r="G2319" i="1" s="1"/>
  <c r="L2317" i="1" a="1"/>
  <c r="L2317" i="1" s="1"/>
  <c r="Q2314" i="1" a="1"/>
  <c r="Q2314" i="1" s="1"/>
  <c r="F2320" i="1" a="1"/>
  <c r="F2320" i="1"/>
  <c r="N2314" i="1" a="1"/>
  <c r="N2314" i="1" s="1"/>
  <c r="H2314" i="1" a="1"/>
  <c r="H2314" i="1" s="1"/>
  <c r="N2317" i="1" a="1"/>
  <c r="N2317" i="1"/>
  <c r="F2317" i="1" a="1"/>
  <c r="F2317" i="1" s="1"/>
  <c r="O2314" i="1" a="1"/>
  <c r="O2314" i="1" s="1"/>
  <c r="J2314" i="1" a="1"/>
  <c r="J2314" i="1"/>
  <c r="I2316" i="1" a="1"/>
  <c r="I2316" i="1"/>
  <c r="K2317" i="1" a="1"/>
  <c r="K2317" i="1"/>
  <c r="H2317" i="1" a="1"/>
  <c r="H2317" i="1"/>
  <c r="M2316" i="1" a="1"/>
  <c r="M2316" i="1"/>
  <c r="Q2316" i="1" a="1"/>
  <c r="Q2316" i="1"/>
  <c r="P2316" i="1" a="1"/>
  <c r="P2316" i="1" s="1"/>
  <c r="F2316" i="1" a="1"/>
  <c r="F2316" i="1" s="1"/>
  <c r="M2314" i="1" a="1"/>
  <c r="M2314" i="1" s="1"/>
  <c r="L2314" i="1" a="1"/>
  <c r="L2314" i="1" s="1"/>
  <c r="F2314" i="1" a="1"/>
  <c r="F2314" i="1"/>
  <c r="G2314" i="1" a="1"/>
  <c r="G2314" i="1" s="1"/>
  <c r="P2314" i="1" a="1"/>
  <c r="P2314" i="1" s="1"/>
  <c r="O2316" i="1" a="1"/>
  <c r="O2316" i="1"/>
  <c r="L2320" i="1" a="1"/>
  <c r="L2320" i="1"/>
  <c r="L2319" i="1" s="1" a="1"/>
  <c r="L2319" i="1" s="1"/>
  <c r="I2317" i="1" a="1"/>
  <c r="I2317" i="1" s="1"/>
  <c r="K2320" i="1" a="1"/>
  <c r="K2320" i="1" s="1"/>
  <c r="K2319" i="1" a="1"/>
  <c r="K2319" i="1" s="1"/>
  <c r="F2319" i="1" a="1"/>
  <c r="F2319" i="1" s="1"/>
  <c r="K2316" i="1" a="1"/>
  <c r="K2316" i="1"/>
  <c r="L2316" i="1" a="1"/>
  <c r="L2316" i="1" s="1"/>
  <c r="O2317" i="1" a="1"/>
  <c r="O2317" i="1"/>
  <c r="G2317" i="1" a="1"/>
  <c r="G2317" i="1" s="1"/>
  <c r="I2314" i="1" a="1"/>
  <c r="I2314" i="1"/>
  <c r="J2320" i="1" a="1"/>
  <c r="J2320" i="1" s="1"/>
  <c r="J2319" i="1" s="1" a="1"/>
  <c r="J2319" i="1" s="1"/>
  <c r="I2320" i="1" a="1"/>
  <c r="I2320" i="1" s="1"/>
  <c r="I2319" i="1" s="1" a="1"/>
  <c r="I2319" i="1" s="1"/>
  <c r="H2320" i="1" a="1"/>
  <c r="H2320" i="1" s="1"/>
  <c r="H2319" i="1" s="1" a="1"/>
  <c r="H2319" i="1" s="1"/>
  <c r="N2316" i="1" a="1"/>
  <c r="N2316" i="1"/>
  <c r="J2316" i="1" a="1"/>
  <c r="J2316" i="1"/>
  <c r="K2314" i="1" a="1"/>
  <c r="K2314" i="1"/>
  <c r="J2317" i="1" a="1"/>
  <c r="J2317" i="1"/>
  <c r="H2316" i="1" a="1"/>
  <c r="H2316" i="1"/>
  <c r="G2316" i="1" a="1"/>
  <c r="G2316" i="1"/>
  <c r="P2317" i="1" a="1"/>
  <c r="P2317" i="1" s="1"/>
  <c r="Q2317" i="1" a="1"/>
  <c r="Q2317" i="1" s="1"/>
  <c r="M2317" i="1" a="1"/>
  <c r="M2317" i="1"/>
  <c r="Q19" i="1"/>
  <c r="Q18" i="1" s="1"/>
  <c r="P19" i="1"/>
  <c r="P18" i="1" s="1"/>
  <c r="O19" i="1"/>
  <c r="O18" i="1" s="1"/>
  <c r="N19" i="1"/>
  <c r="M19" i="1"/>
  <c r="L19" i="1"/>
  <c r="K19" i="1"/>
  <c r="J19" i="1"/>
  <c r="I19" i="1"/>
  <c r="H19" i="1"/>
  <c r="G19" i="1"/>
  <c r="F19" i="1"/>
  <c r="N18" i="1"/>
  <c r="M18" i="1"/>
  <c r="L18" i="1"/>
  <c r="K18" i="1"/>
  <c r="J18" i="1"/>
  <c r="I18" i="1"/>
  <c r="H18" i="1"/>
  <c r="G18" i="1"/>
  <c r="F18" i="1"/>
  <c r="L284" i="1" a="1"/>
  <c r="L284" i="1" s="1"/>
  <c r="O284" i="1" a="1"/>
  <c r="O284" i="1" s="1"/>
  <c r="K284" i="1" a="1"/>
  <c r="K284" i="1" s="1"/>
  <c r="J284" i="1" a="1"/>
  <c r="J284" i="1"/>
  <c r="J283" i="1" s="1"/>
  <c r="J382" i="1" s="1"/>
  <c r="J513" i="1" s="1"/>
  <c r="M284" i="1" a="1"/>
  <c r="M284" i="1" s="1"/>
  <c r="G284" i="1" a="1"/>
  <c r="G284" i="1" s="1"/>
  <c r="G283" i="1" s="1"/>
  <c r="Q284" i="1" a="1"/>
  <c r="Q284" i="1"/>
  <c r="P284" i="1" a="1"/>
  <c r="P284" i="1"/>
  <c r="N284" i="1" a="1"/>
  <c r="N284" i="1"/>
  <c r="H284" i="1" a="1"/>
  <c r="H284" i="1"/>
  <c r="H283" i="1" s="1"/>
  <c r="I284" i="1" a="1"/>
  <c r="I284" i="1"/>
  <c r="I283" i="1" s="1"/>
  <c r="J275" i="1" a="1"/>
  <c r="J275" i="1"/>
  <c r="J274" i="1" s="1"/>
  <c r="N275" i="1" a="1"/>
  <c r="N275" i="1"/>
  <c r="N274" i="1" s="1"/>
  <c r="N363" i="1" s="1"/>
  <c r="N504" i="1" s="1"/>
  <c r="F284" i="1" a="1"/>
  <c r="F284" i="1"/>
  <c r="F283" i="1" s="1"/>
  <c r="I275" i="1" a="1"/>
  <c r="I275" i="1" s="1"/>
  <c r="I274" i="1" s="1"/>
  <c r="Q275" i="1" a="1"/>
  <c r="Q275" i="1" s="1"/>
  <c r="Q274" i="1" s="1"/>
  <c r="P275" i="1" a="1"/>
  <c r="P275" i="1" s="1"/>
  <c r="P274" i="1" s="1"/>
  <c r="P363" i="1" s="1"/>
  <c r="P504" i="1" s="1"/>
  <c r="O275" i="1" a="1"/>
  <c r="O275" i="1" s="1"/>
  <c r="O274" i="1" s="1"/>
  <c r="M275" i="1" a="1"/>
  <c r="M275" i="1"/>
  <c r="M274" i="1" s="1"/>
  <c r="L275" i="1" a="1"/>
  <c r="L275" i="1"/>
  <c r="L274" i="1" s="1"/>
  <c r="K275" i="1" a="1"/>
  <c r="K275" i="1" s="1"/>
  <c r="K274" i="1" s="1"/>
  <c r="H275" i="1" a="1"/>
  <c r="H275" i="1" s="1"/>
  <c r="G275" i="1" a="1"/>
  <c r="G275" i="1" s="1"/>
  <c r="F275" i="1" a="1"/>
  <c r="F275" i="1" s="1"/>
  <c r="F364" i="1" s="1"/>
  <c r="L242" i="1" a="1"/>
  <c r="L242" i="1" s="1"/>
  <c r="L241" i="1" s="1"/>
  <c r="G242" i="1" a="1"/>
  <c r="G242" i="1" s="1"/>
  <c r="G241" i="1" s="1"/>
  <c r="M242" i="1" a="1"/>
  <c r="M242" i="1"/>
  <c r="M241" i="1" s="1"/>
  <c r="M316" i="1" s="1"/>
  <c r="M471" i="1" s="1"/>
  <c r="F242" i="1" a="1"/>
  <c r="F242" i="1" s="1"/>
  <c r="F317" i="1" s="1"/>
  <c r="F472" i="1" s="1"/>
  <c r="J242" i="1" a="1"/>
  <c r="J242" i="1" s="1"/>
  <c r="I242" i="1" a="1"/>
  <c r="I242" i="1"/>
  <c r="I317" i="1" s="1"/>
  <c r="H242" i="1" a="1"/>
  <c r="H242" i="1"/>
  <c r="H317" i="1" s="1"/>
  <c r="H472" i="1" s="1"/>
  <c r="Q242" i="1" a="1"/>
  <c r="Q242" i="1"/>
  <c r="Q241" i="1" s="1"/>
  <c r="Q316" i="1" s="1"/>
  <c r="Q471" i="1" s="1"/>
  <c r="P242" i="1" a="1"/>
  <c r="P242" i="1" s="1"/>
  <c r="P241" i="1" s="1"/>
  <c r="P316" i="1" s="1"/>
  <c r="P471" i="1" s="1"/>
  <c r="K242" i="1" a="1"/>
  <c r="K242" i="1" s="1"/>
  <c r="K241" i="1" s="1"/>
  <c r="K316" i="1" s="1"/>
  <c r="K471" i="1" s="1"/>
  <c r="O242" i="1" a="1"/>
  <c r="O242" i="1" s="1"/>
  <c r="O241" i="1" s="1"/>
  <c r="O316" i="1" s="1"/>
  <c r="O471" i="1" s="1"/>
  <c r="N242" i="1" a="1"/>
  <c r="N242" i="1"/>
  <c r="H199" i="1" a="1"/>
  <c r="H199" i="1"/>
  <c r="H198" i="1" s="1"/>
  <c r="H361" i="1" s="1"/>
  <c r="H428" i="1" s="1"/>
  <c r="Q199" i="1" a="1"/>
  <c r="Q199" i="1"/>
  <c r="P199" i="1" a="1"/>
  <c r="P199" i="1"/>
  <c r="P198" i="1" s="1"/>
  <c r="O199" i="1" a="1"/>
  <c r="O199" i="1"/>
  <c r="N199" i="1" a="1"/>
  <c r="N199" i="1" s="1"/>
  <c r="M199" i="1" a="1"/>
  <c r="M199" i="1" s="1"/>
  <c r="M198" i="1" s="1"/>
  <c r="M361" i="1" s="1"/>
  <c r="M428" i="1" s="1"/>
  <c r="L199" i="1" a="1"/>
  <c r="L199" i="1" s="1"/>
  <c r="K199" i="1" a="1"/>
  <c r="K199" i="1"/>
  <c r="J199" i="1" a="1"/>
  <c r="J199" i="1"/>
  <c r="J198" i="1" s="1"/>
  <c r="J361" i="1" s="1"/>
  <c r="J428" i="1" s="1"/>
  <c r="F199" i="1" a="1"/>
  <c r="F199" i="1"/>
  <c r="F198" i="1" s="1"/>
  <c r="I199" i="1" a="1"/>
  <c r="I199" i="1"/>
  <c r="I198" i="1" s="1"/>
  <c r="G199" i="1" a="1"/>
  <c r="G199" i="1" s="1"/>
  <c r="G198" i="1" s="1"/>
  <c r="Q140" i="1" a="1"/>
  <c r="Q140" i="1"/>
  <c r="F140" i="1" a="1"/>
  <c r="F140" i="1" s="1"/>
  <c r="N139" i="1" a="1"/>
  <c r="N139" i="1" s="1"/>
  <c r="M139" i="1" a="1"/>
  <c r="M139" i="1"/>
  <c r="H139" i="1" a="1"/>
  <c r="H139" i="1"/>
  <c r="M138" i="1" a="1"/>
  <c r="M138" i="1"/>
  <c r="H138" i="1" a="1"/>
  <c r="H138" i="1" s="1"/>
  <c r="I138" i="1" a="1"/>
  <c r="I138" i="1"/>
  <c r="H140" i="1" a="1"/>
  <c r="H140" i="1" s="1"/>
  <c r="F141" i="1" a="1"/>
  <c r="F141" i="1" s="1"/>
  <c r="M140" i="1" a="1"/>
  <c r="M140" i="1"/>
  <c r="J140" i="1" a="1"/>
  <c r="J140" i="1"/>
  <c r="Q141" i="1"/>
  <c r="P140" i="1" a="1"/>
  <c r="P140" i="1"/>
  <c r="O138" i="1" a="1"/>
  <c r="O138" i="1" s="1"/>
  <c r="Q139" i="1" a="1"/>
  <c r="Q139" i="1"/>
  <c r="K139" i="1" a="1"/>
  <c r="K139" i="1"/>
  <c r="K138" i="1" a="1"/>
  <c r="K138" i="1" s="1"/>
  <c r="P139" i="1" a="1"/>
  <c r="P139" i="1" s="1"/>
  <c r="N138" i="1" a="1"/>
  <c r="N138" i="1" s="1"/>
  <c r="O139" i="1" a="1"/>
  <c r="O139" i="1" s="1"/>
  <c r="J138" i="1" a="1"/>
  <c r="J138" i="1" s="1"/>
  <c r="L141" i="1" a="1"/>
  <c r="L141" i="1"/>
  <c r="K140" i="1" a="1"/>
  <c r="K140" i="1" s="1"/>
  <c r="O141" i="1" a="1"/>
  <c r="O141" i="1"/>
  <c r="L138" i="1" a="1"/>
  <c r="L138" i="1"/>
  <c r="I141" i="1" a="1"/>
  <c r="I141" i="1" s="1"/>
  <c r="L140" i="1" a="1"/>
  <c r="L140" i="1" s="1"/>
  <c r="N140" i="1" a="1"/>
  <c r="N140" i="1"/>
  <c r="O140" i="1"/>
  <c r="G140" i="1" a="1"/>
  <c r="G140" i="1"/>
  <c r="G138" i="1"/>
  <c r="F138" i="1"/>
  <c r="K60" i="1" a="1"/>
  <c r="K60" i="1"/>
  <c r="G59" i="1" a="1"/>
  <c r="G59" i="1"/>
  <c r="L62" i="1" a="1"/>
  <c r="L62" i="1" s="1"/>
  <c r="F60" i="1" a="1"/>
  <c r="F60" i="1" s="1"/>
  <c r="N62" i="1" a="1"/>
  <c r="N62" i="1" s="1"/>
  <c r="N59" i="1" a="1"/>
  <c r="N59" i="1" s="1"/>
  <c r="J62" i="1" a="1"/>
  <c r="J62" i="1" s="1"/>
  <c r="I62" i="1" a="1"/>
  <c r="I62" i="1"/>
  <c r="M59" i="1" a="1"/>
  <c r="M59" i="1"/>
  <c r="K62" i="1" a="1"/>
  <c r="K62" i="1" s="1"/>
  <c r="O59" i="1" a="1"/>
  <c r="O59" i="1"/>
  <c r="Q59" i="1" a="1"/>
  <c r="Q59" i="1" s="1"/>
  <c r="M62" i="1" a="1"/>
  <c r="M62" i="1" s="1"/>
  <c r="G62" i="1" a="1"/>
  <c r="G62" i="1" s="1"/>
  <c r="P59" i="1" a="1"/>
  <c r="P59" i="1" s="1"/>
  <c r="P61" i="1" a="1"/>
  <c r="P61" i="1" s="1"/>
  <c r="O61" i="1" a="1"/>
  <c r="O61" i="1" s="1"/>
  <c r="Q60" i="1" a="1"/>
  <c r="Q60" i="1" s="1"/>
  <c r="L60" i="1" a="1"/>
  <c r="L60" i="1" s="1"/>
  <c r="M61" i="1" a="1"/>
  <c r="M61" i="1"/>
  <c r="F61" i="1" a="1"/>
  <c r="F61" i="1"/>
  <c r="N60" i="1" a="1"/>
  <c r="N60" i="1" s="1"/>
  <c r="Q61" i="1" a="1"/>
  <c r="Q61" i="1"/>
  <c r="J60" i="1" a="1"/>
  <c r="J60" i="1"/>
  <c r="G61" i="1" a="1"/>
  <c r="G61" i="1"/>
  <c r="N61" i="1" a="1"/>
  <c r="N61" i="1" s="1"/>
  <c r="P62" i="1" a="1"/>
  <c r="P62" i="1"/>
  <c r="L59" i="1" a="1"/>
  <c r="L59" i="1"/>
  <c r="M60" i="1" a="1"/>
  <c r="M60" i="1"/>
  <c r="L61" i="1" a="1"/>
  <c r="L61" i="1"/>
  <c r="J61" i="1" a="1"/>
  <c r="J61" i="1" s="1"/>
  <c r="H62" i="1" a="1"/>
  <c r="H62" i="1"/>
  <c r="F62" i="1" a="1"/>
  <c r="F62" i="1" s="1"/>
  <c r="K61" i="1" a="1"/>
  <c r="K61" i="1" s="1"/>
  <c r="F59" i="1" a="1"/>
  <c r="F59" i="1" s="1"/>
  <c r="I61" i="1" a="1"/>
  <c r="I61" i="1"/>
  <c r="H61" i="1" a="1"/>
  <c r="H61" i="1" s="1"/>
  <c r="O60" i="1" a="1"/>
  <c r="O60" i="1" s="1"/>
  <c r="O62" i="1" a="1"/>
  <c r="O62" i="1" s="1"/>
  <c r="H60" i="1" a="1"/>
  <c r="H60" i="1"/>
  <c r="J59" i="1" a="1"/>
  <c r="J59" i="1" s="1"/>
  <c r="I59" i="1" a="1"/>
  <c r="I59" i="1" s="1"/>
  <c r="K59" i="1" a="1"/>
  <c r="K59" i="1" s="1"/>
  <c r="I60" i="1" a="1"/>
  <c r="I60" i="1" s="1"/>
  <c r="Q62" i="1" a="1"/>
  <c r="Q62" i="1" s="1"/>
  <c r="P60" i="1" a="1"/>
  <c r="P60" i="1"/>
  <c r="G60" i="1" a="1"/>
  <c r="G60" i="1" s="1"/>
  <c r="H59" i="1" a="1"/>
  <c r="H59" i="1" s="1"/>
  <c r="N54" i="1" a="1"/>
  <c r="N54" i="1"/>
  <c r="Q55" i="1" a="1"/>
  <c r="Q55" i="1" s="1"/>
  <c r="L55" i="1" a="1"/>
  <c r="L55" i="1" s="1"/>
  <c r="J54" i="1" a="1"/>
  <c r="J54" i="1" s="1"/>
  <c r="I55" i="1" a="1"/>
  <c r="I55" i="1"/>
  <c r="M54" i="1" a="1"/>
  <c r="M54" i="1" s="1"/>
  <c r="L54" i="1" a="1"/>
  <c r="L54" i="1"/>
  <c r="P54" i="1" a="1"/>
  <c r="P54" i="1"/>
  <c r="K55" i="1" a="1"/>
  <c r="K55" i="1"/>
  <c r="N55" i="1" a="1"/>
  <c r="N55" i="1"/>
  <c r="Q54" i="1" a="1"/>
  <c r="Q54" i="1" s="1"/>
  <c r="M55" i="1" a="1"/>
  <c r="M55" i="1" s="1"/>
  <c r="I54" i="1" a="1"/>
  <c r="I54" i="1" s="1"/>
  <c r="K54" i="1" a="1"/>
  <c r="K54" i="1" s="1"/>
  <c r="J55" i="1" a="1"/>
  <c r="J55" i="1" s="1"/>
  <c r="F55" i="1" a="1"/>
  <c r="F55" i="1" s="1"/>
  <c r="H55" i="1" a="1"/>
  <c r="H55" i="1" s="1"/>
  <c r="G55" i="1" a="1"/>
  <c r="G55" i="1" s="1"/>
  <c r="O54" i="1" a="1"/>
  <c r="O54" i="1" s="1"/>
  <c r="O55" i="1" a="1"/>
  <c r="O55" i="1"/>
  <c r="P55" i="1" a="1"/>
  <c r="P55" i="1" s="1"/>
  <c r="G54" i="1" a="1"/>
  <c r="G54" i="1" s="1"/>
  <c r="M53" i="1" a="1"/>
  <c r="M53" i="1" s="1"/>
  <c r="F54" i="1" a="1"/>
  <c r="F54" i="1" s="1"/>
  <c r="Q53" i="1" a="1"/>
  <c r="Q53" i="1" s="1"/>
  <c r="P53" i="1" a="1"/>
  <c r="P53" i="1"/>
  <c r="N53" i="1" a="1"/>
  <c r="N53" i="1"/>
  <c r="L53" i="1" a="1"/>
  <c r="L53" i="1" s="1"/>
  <c r="O53" i="1" a="1"/>
  <c r="O53" i="1"/>
  <c r="H54" i="1" a="1"/>
  <c r="H54" i="1" s="1"/>
  <c r="L52" i="1" a="1"/>
  <c r="L52" i="1" s="1"/>
  <c r="K52" i="1" a="1"/>
  <c r="K52" i="1" s="1"/>
  <c r="O52" i="1" a="1"/>
  <c r="O52" i="1" s="1"/>
  <c r="K53" i="1" a="1"/>
  <c r="K53" i="1" s="1"/>
  <c r="J53" i="1" a="1"/>
  <c r="J53" i="1" s="1"/>
  <c r="I53" i="1" a="1"/>
  <c r="I53" i="1" s="1"/>
  <c r="H53" i="1" a="1"/>
  <c r="H53" i="1"/>
  <c r="G53" i="1" a="1"/>
  <c r="G53" i="1"/>
  <c r="F53" i="1" a="1"/>
  <c r="F53" i="1" s="1"/>
  <c r="F52" i="1" a="1"/>
  <c r="F52" i="1" s="1"/>
  <c r="Q52" i="1" a="1"/>
  <c r="Q52" i="1" s="1"/>
  <c r="P52" i="1" a="1"/>
  <c r="P52" i="1"/>
  <c r="N52" i="1" a="1"/>
  <c r="N52" i="1" s="1"/>
  <c r="I52" i="1" a="1"/>
  <c r="I52" i="1"/>
  <c r="G52" i="1" a="1"/>
  <c r="G52" i="1"/>
  <c r="M52" i="1" a="1"/>
  <c r="M52" i="1" s="1"/>
  <c r="H52" i="1" a="1"/>
  <c r="H52" i="1"/>
  <c r="J52" i="1" a="1"/>
  <c r="J52" i="1"/>
  <c r="N15" i="1" a="1"/>
  <c r="N15" i="1" s="1"/>
  <c r="P15" i="1" a="1"/>
  <c r="P15" i="1" s="1"/>
  <c r="O15" i="1" a="1"/>
  <c r="O15" i="1" s="1"/>
  <c r="Q15" i="1" a="1"/>
  <c r="Q15" i="1" s="1"/>
  <c r="P14" i="1" a="1"/>
  <c r="P14" i="1" s="1"/>
  <c r="F13" i="1" a="1"/>
  <c r="F13" i="1"/>
  <c r="O13" i="1" a="1"/>
  <c r="O13" i="1"/>
  <c r="G13" i="1" a="1"/>
  <c r="G13" i="1" s="1"/>
  <c r="M13" i="1" a="1"/>
  <c r="M13" i="1" s="1"/>
  <c r="P13" i="1" a="1"/>
  <c r="P13" i="1"/>
  <c r="J14" i="1" a="1"/>
  <c r="J14" i="1"/>
  <c r="M15" i="1" a="1"/>
  <c r="M15" i="1"/>
  <c r="H15" i="1" a="1"/>
  <c r="H15" i="1"/>
  <c r="J15" i="1" a="1"/>
  <c r="J15" i="1"/>
  <c r="L15" i="1" a="1"/>
  <c r="L15" i="1" s="1"/>
  <c r="K15" i="1" a="1"/>
  <c r="K15" i="1" s="1"/>
  <c r="I15" i="1" a="1"/>
  <c r="I15" i="1" s="1"/>
  <c r="K13" i="1" a="1"/>
  <c r="K13" i="1"/>
  <c r="N14" i="1" a="1"/>
  <c r="N14" i="1" s="1"/>
  <c r="G15" i="1" a="1"/>
  <c r="G15" i="1" s="1"/>
  <c r="F15" i="1" a="1"/>
  <c r="F15" i="1" s="1"/>
  <c r="Q14" i="1" a="1"/>
  <c r="Q14" i="1" s="1"/>
  <c r="O14" i="1" a="1"/>
  <c r="O14" i="1"/>
  <c r="M14" i="1" a="1"/>
  <c r="M14" i="1" s="1"/>
  <c r="G14" i="1" a="1"/>
  <c r="G14" i="1"/>
  <c r="L14" i="1" a="1"/>
  <c r="L14" i="1" s="1"/>
  <c r="K14" i="1" a="1"/>
  <c r="K14" i="1"/>
  <c r="I14" i="1" a="1"/>
  <c r="I14" i="1" s="1"/>
  <c r="L13" i="1" a="1"/>
  <c r="L13" i="1"/>
  <c r="H14" i="1" a="1"/>
  <c r="H14" i="1"/>
  <c r="F14" i="1" a="1"/>
  <c r="F14" i="1"/>
  <c r="Q13" i="1" a="1"/>
  <c r="Q13" i="1" s="1"/>
  <c r="I13" i="1" a="1"/>
  <c r="I13" i="1" s="1"/>
  <c r="N13" i="1" a="1"/>
  <c r="N13" i="1"/>
  <c r="H13" i="1" a="1"/>
  <c r="H13" i="1"/>
  <c r="J13" i="1" a="1"/>
  <c r="J13" i="1"/>
  <c r="G56" i="1" a="1"/>
  <c r="G56" i="1" s="1"/>
  <c r="L56" i="1" a="1"/>
  <c r="L56" i="1" s="1"/>
  <c r="M56" i="1" a="1"/>
  <c r="M56" i="1" s="1"/>
  <c r="I56" i="1" a="1"/>
  <c r="I56" i="1"/>
  <c r="F56" i="1" a="1"/>
  <c r="F56" i="1" s="1"/>
  <c r="P56" i="1" a="1"/>
  <c r="P56" i="1"/>
  <c r="N56" i="1" a="1"/>
  <c r="N56" i="1"/>
  <c r="O56" i="1" a="1"/>
  <c r="O56" i="1"/>
  <c r="J56" i="1" a="1"/>
  <c r="J56" i="1"/>
  <c r="H56" i="1" a="1"/>
  <c r="H56" i="1"/>
  <c r="K56" i="1" a="1"/>
  <c r="K56" i="1" s="1"/>
  <c r="Q56" i="1" a="1"/>
  <c r="Q56" i="1" s="1"/>
  <c r="N50" i="1" a="1"/>
  <c r="N50" i="1" s="1"/>
  <c r="L50" i="1" a="1"/>
  <c r="L50" i="1"/>
  <c r="P50" i="1" a="1"/>
  <c r="P50" i="1" s="1"/>
  <c r="M50" i="1" a="1"/>
  <c r="M50" i="1"/>
  <c r="J50" i="1" a="1"/>
  <c r="J50" i="1"/>
  <c r="Q50" i="1" a="1"/>
  <c r="Q50" i="1"/>
  <c r="K50" i="1" a="1"/>
  <c r="K50" i="1"/>
  <c r="I50" i="1" a="1"/>
  <c r="I50" i="1"/>
  <c r="O50" i="1" a="1"/>
  <c r="O50" i="1"/>
  <c r="P44" i="1" a="1"/>
  <c r="P44" i="1" s="1"/>
  <c r="J45" i="1" a="1"/>
  <c r="J45" i="1"/>
  <c r="H50" i="1" a="1"/>
  <c r="H50" i="1"/>
  <c r="K44" i="1" a="1"/>
  <c r="K44" i="1" s="1"/>
  <c r="L45" i="1" a="1"/>
  <c r="L45" i="1"/>
  <c r="J44" i="1" a="1"/>
  <c r="J44" i="1"/>
  <c r="G44" i="1" a="1"/>
  <c r="G44" i="1"/>
  <c r="M44" i="1" a="1"/>
  <c r="M44" i="1"/>
  <c r="G50" i="1" a="1"/>
  <c r="G50" i="1" s="1"/>
  <c r="M45" i="1" a="1"/>
  <c r="M45" i="1" s="1"/>
  <c r="N44" i="1" a="1"/>
  <c r="N44" i="1" s="1"/>
  <c r="Q45" i="1" a="1"/>
  <c r="Q45" i="1" s="1"/>
  <c r="O43" i="1" a="1"/>
  <c r="O43" i="1"/>
  <c r="N45" i="1" a="1"/>
  <c r="N45" i="1" s="1"/>
  <c r="I45" i="1" a="1"/>
  <c r="I45" i="1"/>
  <c r="F45" i="1" a="1"/>
  <c r="F45" i="1"/>
  <c r="N43" i="1" a="1"/>
  <c r="N43" i="1"/>
  <c r="H44" i="1" a="1"/>
  <c r="H44" i="1" s="1"/>
  <c r="H45" i="1" a="1"/>
  <c r="H45" i="1" s="1"/>
  <c r="O44" i="1" a="1"/>
  <c r="O44" i="1" s="1"/>
  <c r="L44" i="1" a="1"/>
  <c r="L44" i="1" s="1"/>
  <c r="I44" i="1" a="1"/>
  <c r="I44" i="1"/>
  <c r="F50" i="1" a="1"/>
  <c r="F50" i="1"/>
  <c r="F44" i="1" a="1"/>
  <c r="F44" i="1" s="1"/>
  <c r="Q43" i="1" a="1"/>
  <c r="Q43" i="1"/>
  <c r="P43" i="1" a="1"/>
  <c r="P43" i="1"/>
  <c r="P45" i="1" a="1"/>
  <c r="P45" i="1"/>
  <c r="G45" i="1" a="1"/>
  <c r="G45" i="1" s="1"/>
  <c r="O45" i="1" a="1"/>
  <c r="O45" i="1"/>
  <c r="K45" i="1" a="1"/>
  <c r="K45" i="1" s="1"/>
  <c r="Q44" i="1" a="1"/>
  <c r="Q44" i="1"/>
  <c r="L43" i="1" a="1"/>
  <c r="L43" i="1" s="1"/>
  <c r="J43" i="1" a="1"/>
  <c r="J43" i="1" s="1"/>
  <c r="H43" i="1" a="1"/>
  <c r="H43" i="1"/>
  <c r="G43" i="1" a="1"/>
  <c r="G43" i="1"/>
  <c r="F43" i="1" a="1"/>
  <c r="F43" i="1"/>
  <c r="K43" i="1" a="1"/>
  <c r="K43" i="1"/>
  <c r="M43" i="1" a="1"/>
  <c r="M43" i="1"/>
  <c r="I43" i="1" a="1"/>
  <c r="I43" i="1"/>
  <c r="H28" i="1" a="1"/>
  <c r="H28" i="1" s="1"/>
  <c r="G28" i="1" a="1"/>
  <c r="G28" i="1"/>
  <c r="L28" i="1" a="1"/>
  <c r="L28" i="1"/>
  <c r="M28" i="1" a="1"/>
  <c r="M28" i="1"/>
  <c r="N28" i="1" a="1"/>
  <c r="N28" i="1"/>
  <c r="K28" i="1" a="1"/>
  <c r="K28" i="1"/>
  <c r="O28" i="1" a="1"/>
  <c r="O28" i="1" s="1"/>
  <c r="J28" i="1" a="1"/>
  <c r="J28" i="1"/>
  <c r="I28" i="1" a="1"/>
  <c r="I28" i="1" s="1"/>
  <c r="Q28" i="1" a="1"/>
  <c r="Q28" i="1" s="1"/>
  <c r="P28" i="1" a="1"/>
  <c r="P28" i="1" s="1"/>
  <c r="F28" i="1" a="1"/>
  <c r="F28" i="1"/>
  <c r="O27" i="1" a="1"/>
  <c r="O27" i="1"/>
  <c r="G27" i="1" a="1"/>
  <c r="G27" i="1"/>
  <c r="K26" i="1" a="1"/>
  <c r="K26" i="1"/>
  <c r="Q27" i="1" a="1"/>
  <c r="Q27" i="1"/>
  <c r="P27" i="1" a="1"/>
  <c r="P27" i="1" s="1"/>
  <c r="J27" i="1" a="1"/>
  <c r="J27" i="1" s="1"/>
  <c r="J26" i="1" a="1"/>
  <c r="J26" i="1"/>
  <c r="N26" i="1" a="1"/>
  <c r="N26" i="1"/>
  <c r="M26" i="1" a="1"/>
  <c r="M26" i="1" s="1"/>
  <c r="K27" i="1" a="1"/>
  <c r="K27" i="1" s="1"/>
  <c r="P26" i="1" a="1"/>
  <c r="P26" i="1"/>
  <c r="H27" i="1" a="1"/>
  <c r="H27" i="1"/>
  <c r="L26" i="1" a="1"/>
  <c r="L26" i="1"/>
  <c r="N27" i="1" a="1"/>
  <c r="N27" i="1"/>
  <c r="F27" i="1" a="1"/>
  <c r="F27" i="1" s="1"/>
  <c r="Q26" i="1" a="1"/>
  <c r="Q26" i="1"/>
  <c r="M27" i="1" a="1"/>
  <c r="M27" i="1"/>
  <c r="I27" i="1" a="1"/>
  <c r="I27" i="1"/>
  <c r="O26" i="1" a="1"/>
  <c r="O26" i="1"/>
  <c r="L27" i="1" a="1"/>
  <c r="L27" i="1" s="1"/>
  <c r="Q25" i="1" a="1"/>
  <c r="Q25" i="1"/>
  <c r="P25" i="1" a="1"/>
  <c r="P25" i="1" s="1"/>
  <c r="K24" i="1" a="1"/>
  <c r="K24" i="1" s="1"/>
  <c r="F26" i="1" a="1"/>
  <c r="F26" i="1"/>
  <c r="J25" i="1" a="1"/>
  <c r="J25" i="1"/>
  <c r="L24" i="1" a="1"/>
  <c r="L24" i="1" s="1"/>
  <c r="G25" i="1" a="1"/>
  <c r="G25" i="1" s="1"/>
  <c r="L25" i="1" a="1"/>
  <c r="L25" i="1" s="1"/>
  <c r="F25" i="1" a="1"/>
  <c r="F25" i="1"/>
  <c r="Q24" i="1" a="1"/>
  <c r="Q24" i="1"/>
  <c r="G24" i="1" a="1"/>
  <c r="G24" i="1"/>
  <c r="O24" i="1" a="1"/>
  <c r="O24" i="1"/>
  <c r="H24" i="1" a="1"/>
  <c r="H24" i="1"/>
  <c r="P24" i="1" a="1"/>
  <c r="P24" i="1"/>
  <c r="N24" i="1" a="1"/>
  <c r="N24" i="1"/>
  <c r="M25" i="1" a="1"/>
  <c r="M25" i="1"/>
  <c r="O25" i="1" a="1"/>
  <c r="O25" i="1" s="1"/>
  <c r="H25" i="1" a="1"/>
  <c r="H25" i="1"/>
  <c r="I26" i="1" a="1"/>
  <c r="I26" i="1"/>
  <c r="J24" i="1" a="1"/>
  <c r="J24" i="1"/>
  <c r="I24" i="1" a="1"/>
  <c r="I24" i="1"/>
  <c r="K25" i="1" a="1"/>
  <c r="K25" i="1"/>
  <c r="I25" i="1" a="1"/>
  <c r="I25" i="1"/>
  <c r="M24" i="1" a="1"/>
  <c r="M24" i="1" s="1"/>
  <c r="H26" i="1" a="1"/>
  <c r="H26" i="1" s="1"/>
  <c r="G26" i="1" a="1"/>
  <c r="G26" i="1" s="1"/>
  <c r="N25" i="1" a="1"/>
  <c r="N25" i="1"/>
  <c r="F24" i="1" a="1"/>
  <c r="F24" i="1"/>
  <c r="J16" i="1" a="1"/>
  <c r="J16" i="1"/>
  <c r="P17" i="1" a="1"/>
  <c r="P17" i="1"/>
  <c r="F17" i="1" a="1"/>
  <c r="F17" i="1" s="1"/>
  <c r="I16" i="1" a="1"/>
  <c r="I16" i="1"/>
  <c r="Q21" i="1" a="1"/>
  <c r="Q21" i="1" s="1"/>
  <c r="G17" i="1" a="1"/>
  <c r="G17" i="1"/>
  <c r="Q16" i="1" a="1"/>
  <c r="Q16" i="1" s="1"/>
  <c r="K16" i="1" a="1"/>
  <c r="K16" i="1" s="1"/>
  <c r="O17" i="1" a="1"/>
  <c r="O17" i="1" s="1"/>
  <c r="J21" i="1" a="1"/>
  <c r="J21" i="1" s="1"/>
  <c r="P21" i="1" a="1"/>
  <c r="P21" i="1"/>
  <c r="K21" i="1" a="1"/>
  <c r="K21" i="1" s="1"/>
  <c r="M17" i="1" a="1"/>
  <c r="M17" i="1"/>
  <c r="M21" i="1" a="1"/>
  <c r="M21" i="1"/>
  <c r="L16" i="1" a="1"/>
  <c r="L16" i="1"/>
  <c r="N17" i="1" a="1"/>
  <c r="N17" i="1"/>
  <c r="J17" i="1" a="1"/>
  <c r="J17" i="1" s="1"/>
  <c r="I21" i="1" a="1"/>
  <c r="I21" i="1"/>
  <c r="F21" i="1" a="1"/>
  <c r="F21" i="1" s="1"/>
  <c r="I17" i="1" a="1"/>
  <c r="I17" i="1"/>
  <c r="F16" i="1" a="1"/>
  <c r="F16" i="1" s="1"/>
  <c r="Q17" i="1" a="1"/>
  <c r="Q17" i="1"/>
  <c r="H16" i="1" a="1"/>
  <c r="H16" i="1"/>
  <c r="N16" i="1" a="1"/>
  <c r="N16" i="1"/>
  <c r="L21" i="1" a="1"/>
  <c r="L21" i="1" s="1"/>
  <c r="O16" i="1" a="1"/>
  <c r="O16" i="1"/>
  <c r="P16" i="1" a="1"/>
  <c r="P16" i="1"/>
  <c r="O21" i="1" a="1"/>
  <c r="O21" i="1"/>
  <c r="H21" i="1" a="1"/>
  <c r="H21" i="1"/>
  <c r="L17" i="1" a="1"/>
  <c r="L17" i="1"/>
  <c r="K17" i="1" a="1"/>
  <c r="K17" i="1" s="1"/>
  <c r="H17" i="1" a="1"/>
  <c r="H17" i="1"/>
  <c r="N21" i="1" a="1"/>
  <c r="N21" i="1"/>
  <c r="M16" i="1" a="1"/>
  <c r="M16" i="1"/>
  <c r="G21" i="1" a="1"/>
  <c r="G21" i="1"/>
  <c r="G16" i="1" a="1"/>
  <c r="G16" i="1" s="1"/>
  <c r="P10" i="1" a="1"/>
  <c r="P10" i="1" s="1"/>
  <c r="K11" i="1" a="1"/>
  <c r="K11" i="1" s="1"/>
  <c r="M10" i="1" a="1"/>
  <c r="M10" i="1" s="1"/>
  <c r="G11" i="1" a="1"/>
  <c r="G11" i="1" s="1"/>
  <c r="F11" i="1" a="1"/>
  <c r="F11" i="1"/>
  <c r="O11" i="1" a="1"/>
  <c r="O11" i="1"/>
  <c r="Q10" i="1" a="1"/>
  <c r="Q10" i="1"/>
  <c r="M11" i="1" a="1"/>
  <c r="M11" i="1" s="1"/>
  <c r="J11" i="1" a="1"/>
  <c r="J11" i="1" s="1"/>
  <c r="O10" i="1" a="1"/>
  <c r="O10" i="1"/>
  <c r="L11" i="1" a="1"/>
  <c r="L11" i="1"/>
  <c r="N11" i="1" a="1"/>
  <c r="N11" i="1"/>
  <c r="Q11" i="1" a="1"/>
  <c r="Q11" i="1"/>
  <c r="P11" i="1" a="1"/>
  <c r="P11" i="1"/>
  <c r="L10" i="1" a="1"/>
  <c r="L10" i="1"/>
  <c r="I11" i="1" a="1"/>
  <c r="I11" i="1"/>
  <c r="H11" i="1" a="1"/>
  <c r="H11" i="1"/>
  <c r="N10" i="1" a="1"/>
  <c r="N10" i="1"/>
  <c r="G10" i="1" a="1"/>
  <c r="G10" i="1" s="1"/>
  <c r="G6" i="1" a="1"/>
  <c r="G6" i="1" s="1"/>
  <c r="F10" i="1" a="1"/>
  <c r="F10" i="1"/>
  <c r="N9" i="1" a="1"/>
  <c r="N9" i="1"/>
  <c r="P9" i="1" a="1"/>
  <c r="P9" i="1" s="1"/>
  <c r="I5" i="1" a="1"/>
  <c r="I5" i="1" s="1"/>
  <c r="O9" i="1" a="1"/>
  <c r="O9" i="1"/>
  <c r="M9" i="1" a="1"/>
  <c r="M9" i="1"/>
  <c r="O6" i="1" a="1"/>
  <c r="O6" i="1"/>
  <c r="J6" i="1" a="1"/>
  <c r="J6" i="1"/>
  <c r="L9" i="1" a="1"/>
  <c r="L9" i="1" s="1"/>
  <c r="K9" i="1" a="1"/>
  <c r="K9" i="1" s="1"/>
  <c r="F7" i="1" a="1"/>
  <c r="F7" i="1" s="1"/>
  <c r="N5" i="1" a="1"/>
  <c r="N5" i="1"/>
  <c r="H6" i="1" a="1"/>
  <c r="H6" i="1"/>
  <c r="P4" i="1" a="1"/>
  <c r="P4" i="1"/>
  <c r="F9" i="1" a="1"/>
  <c r="F9" i="1" s="1"/>
  <c r="N7" i="1" a="1"/>
  <c r="N7" i="1" s="1"/>
  <c r="F6" i="1" a="1"/>
  <c r="F6" i="1" s="1"/>
  <c r="K7" i="1" a="1"/>
  <c r="K7" i="1"/>
  <c r="H5" i="1" a="1"/>
  <c r="H5" i="1" s="1"/>
  <c r="L7" i="1" a="1"/>
  <c r="L7" i="1" s="1"/>
  <c r="P6" i="1" a="1"/>
  <c r="P6" i="1"/>
  <c r="N6" i="1" a="1"/>
  <c r="N6" i="1"/>
  <c r="K6" i="1" a="1"/>
  <c r="K6" i="1"/>
  <c r="Q4" i="1" a="1"/>
  <c r="Q4" i="1"/>
  <c r="P5" i="1" a="1"/>
  <c r="P5" i="1"/>
  <c r="F5" i="1" a="1"/>
  <c r="F5" i="1"/>
  <c r="O5" i="1" a="1"/>
  <c r="O5" i="1"/>
  <c r="M6" i="1" a="1"/>
  <c r="M6" i="1" s="1"/>
  <c r="I6" i="1" a="1"/>
  <c r="I6" i="1"/>
  <c r="K5" i="1" a="1"/>
  <c r="K5" i="1" s="1"/>
  <c r="O7" i="1" a="1"/>
  <c r="O7" i="1" s="1"/>
  <c r="G9" i="1" a="1"/>
  <c r="G9" i="1"/>
  <c r="J5" i="1" a="1"/>
  <c r="J5" i="1"/>
  <c r="J7" i="1" a="1"/>
  <c r="J7" i="1" s="1"/>
  <c r="Q5" i="1" a="1"/>
  <c r="Q5" i="1" s="1"/>
  <c r="Q9" i="1" a="1"/>
  <c r="Q9" i="1"/>
  <c r="J9" i="1" a="1"/>
  <c r="J9" i="1"/>
  <c r="I9" i="1" a="1"/>
  <c r="I9" i="1" s="1"/>
  <c r="L5" i="1" a="1"/>
  <c r="L5" i="1" s="1"/>
  <c r="Q6" i="1" a="1"/>
  <c r="Q6" i="1" s="1"/>
  <c r="H9" i="1" a="1"/>
  <c r="H9" i="1"/>
  <c r="P7" i="1" a="1"/>
  <c r="P7" i="1" s="1"/>
  <c r="I7" i="1" a="1"/>
  <c r="I7" i="1"/>
  <c r="G5" i="1" a="1"/>
  <c r="G5" i="1" s="1"/>
  <c r="G7" i="1" a="1"/>
  <c r="G7" i="1" s="1"/>
  <c r="M5" i="1" a="1"/>
  <c r="M5" i="1"/>
  <c r="K10" i="1" a="1"/>
  <c r="K10" i="1"/>
  <c r="J10" i="1" a="1"/>
  <c r="J10" i="1"/>
  <c r="L6" i="1" a="1"/>
  <c r="L6" i="1"/>
  <c r="Q7" i="1" a="1"/>
  <c r="Q7" i="1"/>
  <c r="H7" i="1" a="1"/>
  <c r="H7" i="1" s="1"/>
  <c r="I10" i="1" a="1"/>
  <c r="I10" i="1" s="1"/>
  <c r="M7" i="1" a="1"/>
  <c r="M7" i="1"/>
  <c r="H10" i="1" a="1"/>
  <c r="H10" i="1"/>
  <c r="O4" i="1" a="1"/>
  <c r="O4" i="1"/>
  <c r="N4" i="1" a="1"/>
  <c r="N4" i="1"/>
  <c r="M4" i="1" a="1"/>
  <c r="M4" i="1"/>
  <c r="L4" i="1" a="1"/>
  <c r="L4" i="1"/>
  <c r="K4" i="1" a="1"/>
  <c r="K4" i="1" s="1"/>
  <c r="H4" i="1" a="1"/>
  <c r="H4" i="1"/>
  <c r="J4" i="1" a="1"/>
  <c r="J4" i="1"/>
  <c r="I4" i="1" a="1"/>
  <c r="I4" i="1" s="1"/>
  <c r="G4" i="1" a="1"/>
  <c r="G4" i="1" s="1"/>
  <c r="F4" i="1" a="1"/>
  <c r="F4" i="1"/>
  <c r="Q1688" i="1"/>
  <c r="M1688" i="1"/>
  <c r="L1283" i="1"/>
  <c r="K1283" i="1"/>
  <c r="L1282" i="1"/>
  <c r="N1203" i="1"/>
  <c r="L222" i="1"/>
  <c r="L221" i="1" s="1"/>
  <c r="G127" i="1"/>
  <c r="H127" i="1"/>
  <c r="I127" i="1"/>
  <c r="J127" i="1"/>
  <c r="K127" i="1"/>
  <c r="L127" i="1"/>
  <c r="M127" i="1"/>
  <c r="N127" i="1"/>
  <c r="O127" i="1"/>
  <c r="P127" i="1"/>
  <c r="Q127" i="1"/>
  <c r="O283" i="1" l="1"/>
  <c r="O382" i="1" s="1"/>
  <c r="O513" i="1" s="1"/>
  <c r="O383" i="1"/>
  <c r="O514" i="1" s="1"/>
  <c r="M119" i="1"/>
  <c r="M315" i="1"/>
  <c r="M420" i="1" s="1"/>
  <c r="Q121" i="1"/>
  <c r="Q317" i="1"/>
  <c r="Q472" i="1" s="1"/>
  <c r="I320" i="1"/>
  <c r="I475" i="1" s="1"/>
  <c r="I124" i="1"/>
  <c r="M126" i="1"/>
  <c r="M322" i="1"/>
  <c r="M477" i="1" s="1"/>
  <c r="Q324" i="1"/>
  <c r="Q479" i="1" s="1"/>
  <c r="Q128" i="1"/>
  <c r="Q364" i="1"/>
  <c r="M364" i="1"/>
  <c r="M362" i="1"/>
  <c r="M429" i="1" s="1"/>
  <c r="O121" i="1"/>
  <c r="O317" i="1"/>
  <c r="O472" i="1" s="1"/>
  <c r="K322" i="1"/>
  <c r="K477" i="1" s="1"/>
  <c r="K126" i="1"/>
  <c r="G139" i="1" a="1"/>
  <c r="G139" i="1" s="1"/>
  <c r="G130" i="1"/>
  <c r="G382" i="1"/>
  <c r="G513" i="1" s="1"/>
  <c r="Q742" i="1" a="1"/>
  <c r="Q742" i="1" s="1"/>
  <c r="Q744" i="1" s="1" a="1"/>
  <c r="Q744" i="1" s="1"/>
  <c r="Q726" i="1" a="1"/>
  <c r="Q726" i="1" s="1"/>
  <c r="Q728" i="1" s="1" a="1"/>
  <c r="Q728" i="1" s="1"/>
  <c r="H380" i="1"/>
  <c r="H437" i="1" s="1"/>
  <c r="I126" i="1"/>
  <c r="L383" i="1"/>
  <c r="L514" i="1" s="1"/>
  <c r="L283" i="1"/>
  <c r="L382" i="1" s="1"/>
  <c r="L513" i="1" s="1"/>
  <c r="K315" i="1"/>
  <c r="K420" i="1" s="1"/>
  <c r="K119" i="1"/>
  <c r="K114" i="1" s="1"/>
  <c r="G124" i="1"/>
  <c r="G320" i="1"/>
  <c r="G475" i="1" s="1"/>
  <c r="O324" i="1"/>
  <c r="O479" i="1" s="1"/>
  <c r="O128" i="1"/>
  <c r="O364" i="1"/>
  <c r="L726" i="1" a="1"/>
  <c r="L726" i="1" s="1"/>
  <c r="L728" i="1" s="1" a="1"/>
  <c r="L728" i="1" s="1"/>
  <c r="K283" i="1"/>
  <c r="K382" i="1" s="1"/>
  <c r="K513" i="1" s="1"/>
  <c r="K383" i="1"/>
  <c r="K514" i="1" s="1"/>
  <c r="N317" i="1"/>
  <c r="N472" i="1" s="1"/>
  <c r="N121" i="1"/>
  <c r="N114" i="1" s="1"/>
  <c r="F124" i="1"/>
  <c r="F320" i="1"/>
  <c r="F475" i="1" s="1"/>
  <c r="J322" i="1"/>
  <c r="J477" i="1" s="1"/>
  <c r="J126" i="1"/>
  <c r="N324" i="1"/>
  <c r="N479" i="1" s="1"/>
  <c r="N128" i="1"/>
  <c r="J362" i="1"/>
  <c r="J429" i="1" s="1"/>
  <c r="J141" i="1" a="1"/>
  <c r="J141" i="1" s="1"/>
  <c r="J130" i="1"/>
  <c r="N130" i="1"/>
  <c r="J380" i="1"/>
  <c r="J437" i="1" s="1"/>
  <c r="M383" i="1"/>
  <c r="M514" i="1" s="1"/>
  <c r="M283" i="1"/>
  <c r="M382" i="1" s="1"/>
  <c r="M513" i="1" s="1"/>
  <c r="P726" i="1" a="1"/>
  <c r="P726" i="1" s="1"/>
  <c r="P728" i="1" s="1" a="1"/>
  <c r="P728" i="1" s="1"/>
  <c r="P742" i="1" a="1"/>
  <c r="P742" i="1" s="1"/>
  <c r="P744" i="1" s="1" a="1"/>
  <c r="P744" i="1" s="1"/>
  <c r="M317" i="1"/>
  <c r="M472" i="1" s="1"/>
  <c r="M121" i="1"/>
  <c r="M114" i="1" s="1"/>
  <c r="Q123" i="1"/>
  <c r="Q319" i="1"/>
  <c r="Q474" i="1" s="1"/>
  <c r="M128" i="1"/>
  <c r="M324" i="1"/>
  <c r="M479" i="1" s="1"/>
  <c r="K141" i="1" a="1"/>
  <c r="K141" i="1" s="1"/>
  <c r="K362" i="1"/>
  <c r="K429" i="1" s="1"/>
  <c r="Q138" i="1" a="1"/>
  <c r="Q138" i="1" s="1"/>
  <c r="P362" i="1"/>
  <c r="P429" i="1" s="1"/>
  <c r="G362" i="1"/>
  <c r="G429" i="1" s="1"/>
  <c r="G141" i="1" a="1"/>
  <c r="G141" i="1" s="1"/>
  <c r="Q362" i="1"/>
  <c r="Q429" i="1" s="1"/>
  <c r="L324" i="1"/>
  <c r="L479" i="1" s="1"/>
  <c r="L128" i="1"/>
  <c r="N119" i="1"/>
  <c r="N315" i="1"/>
  <c r="N420" i="1" s="1"/>
  <c r="F122" i="1"/>
  <c r="F318" i="1"/>
  <c r="F473" i="1" s="1"/>
  <c r="N141" i="1" a="1"/>
  <c r="N141" i="1" s="1"/>
  <c r="N362" i="1"/>
  <c r="N429" i="1" s="1"/>
  <c r="N384" i="1"/>
  <c r="N515" i="1" s="1"/>
  <c r="G363" i="1"/>
  <c r="G504" i="1" s="1"/>
  <c r="K128" i="1"/>
  <c r="H325" i="1"/>
  <c r="H480" i="1" s="1"/>
  <c r="I361" i="1"/>
  <c r="I428" i="1" s="1"/>
  <c r="F786" i="1"/>
  <c r="F787" i="1" s="1"/>
  <c r="F783" i="1"/>
  <c r="J241" i="1"/>
  <c r="J316" i="1" s="1"/>
  <c r="J471" i="1" s="1"/>
  <c r="J317" i="1"/>
  <c r="J472" i="1" s="1"/>
  <c r="F742" i="1" a="1"/>
  <c r="F742" i="1" s="1"/>
  <c r="F744" i="1" s="1" a="1"/>
  <c r="F744" i="1" s="1"/>
  <c r="F726" i="1" a="1"/>
  <c r="F726" i="1" s="1"/>
  <c r="F728" i="1" s="1" a="1"/>
  <c r="F728" i="1" s="1"/>
  <c r="L114" i="1"/>
  <c r="J325" i="1"/>
  <c r="J480" i="1" s="1"/>
  <c r="G783" i="1"/>
  <c r="G786" i="1"/>
  <c r="G787" i="1" s="1"/>
  <c r="P130" i="1"/>
  <c r="M318" i="1"/>
  <c r="M473" i="1" s="1"/>
  <c r="Q325" i="1"/>
  <c r="Q480" i="1" s="1"/>
  <c r="I786" i="1"/>
  <c r="I787" i="1" s="1"/>
  <c r="I129" i="1"/>
  <c r="G317" i="1"/>
  <c r="G472" i="1" s="1"/>
  <c r="O361" i="1"/>
  <c r="O428" i="1" s="1"/>
  <c r="P119" i="1"/>
  <c r="P114" i="1" s="1"/>
  <c r="P315" i="1"/>
  <c r="P420" i="1" s="1"/>
  <c r="H122" i="1"/>
  <c r="H114" i="1" s="1"/>
  <c r="H318" i="1"/>
  <c r="H473" i="1" s="1"/>
  <c r="P126" i="1"/>
  <c r="P322" i="1"/>
  <c r="P477" i="1" s="1"/>
  <c r="Q119" i="1"/>
  <c r="Q103" i="1" s="1"/>
  <c r="Q315" i="1"/>
  <c r="Q420" i="1" s="1"/>
  <c r="I122" i="1"/>
  <c r="I114" i="1" s="1"/>
  <c r="I318" i="1"/>
  <c r="I473" i="1" s="1"/>
  <c r="M124" i="1"/>
  <c r="M320" i="1"/>
  <c r="M475" i="1" s="1"/>
  <c r="M130" i="1"/>
  <c r="I726" i="1" a="1"/>
  <c r="I726" i="1" s="1"/>
  <c r="I728" i="1" s="1" a="1"/>
  <c r="I728" i="1" s="1"/>
  <c r="I742" i="1" a="1"/>
  <c r="I742" i="1" s="1"/>
  <c r="I744" i="1" s="1" a="1"/>
  <c r="I744" i="1" s="1"/>
  <c r="M363" i="1"/>
  <c r="M504" i="1" s="1"/>
  <c r="I383" i="1"/>
  <c r="I514" i="1" s="1"/>
  <c r="Q398" i="1"/>
  <c r="Q439" i="1" s="1"/>
  <c r="F316" i="1"/>
  <c r="F471" i="1" s="1"/>
  <c r="F241" i="1"/>
  <c r="J122" i="1"/>
  <c r="J114" i="1" s="1"/>
  <c r="J318" i="1"/>
  <c r="J473" i="1" s="1"/>
  <c r="N124" i="1"/>
  <c r="N320" i="1"/>
  <c r="N475" i="1" s="1"/>
  <c r="F323" i="1"/>
  <c r="F478" i="1" s="1"/>
  <c r="F363" i="1"/>
  <c r="F504" i="1" s="1"/>
  <c r="L320" i="1"/>
  <c r="L475" i="1" s="1"/>
  <c r="L130" i="1"/>
  <c r="H130" i="1"/>
  <c r="J314" i="1"/>
  <c r="J419" i="1" s="1"/>
  <c r="F319" i="1"/>
  <c r="F474" i="1" s="1"/>
  <c r="N323" i="1"/>
  <c r="N478" i="1" s="1"/>
  <c r="K317" i="1"/>
  <c r="K472" i="1" s="1"/>
  <c r="O742" i="1" a="1"/>
  <c r="O742" i="1" s="1"/>
  <c r="O744" i="1" s="1" a="1"/>
  <c r="O744" i="1" s="1"/>
  <c r="O726" i="1" a="1"/>
  <c r="O726" i="1" s="1"/>
  <c r="O728" i="1" s="1" a="1"/>
  <c r="O728" i="1" s="1"/>
  <c r="K125" i="1"/>
  <c r="K321" i="1"/>
  <c r="K476" i="1" s="1"/>
  <c r="O363" i="1"/>
  <c r="O504" i="1" s="1"/>
  <c r="G399" i="1"/>
  <c r="G519" i="1" s="1"/>
  <c r="L317" i="1"/>
  <c r="L472" i="1" s="1"/>
  <c r="F362" i="1"/>
  <c r="F429" i="1" s="1"/>
  <c r="P385" i="1"/>
  <c r="P516" i="1" s="1"/>
  <c r="H362" i="1"/>
  <c r="H429" i="1" s="1"/>
  <c r="Q363" i="1"/>
  <c r="Q504" i="1" s="1"/>
  <c r="J726" i="1" a="1"/>
  <c r="J726" i="1" s="1"/>
  <c r="J728" i="1" s="1" a="1"/>
  <c r="J728" i="1" s="1"/>
  <c r="N726" i="1" a="1"/>
  <c r="N726" i="1" s="1"/>
  <c r="N728" i="1" s="1" a="1"/>
  <c r="N728" i="1" s="1"/>
  <c r="G726" i="1" a="1"/>
  <c r="G726" i="1" s="1"/>
  <c r="G728" i="1" s="1" a="1"/>
  <c r="G728" i="1" s="1"/>
  <c r="K130" i="1"/>
  <c r="L925" i="1"/>
  <c r="L924" i="1" s="1"/>
  <c r="L903" i="1"/>
  <c r="O902" i="1"/>
  <c r="O925" i="1"/>
  <c r="O924" i="1" s="1"/>
  <c r="O899" i="1"/>
  <c r="O903" i="1"/>
  <c r="Q925" i="1"/>
  <c r="Q924" i="1" s="1"/>
  <c r="Q903" i="1"/>
  <c r="Q899" i="1"/>
  <c r="M925" i="1"/>
  <c r="M924" i="1" s="1"/>
  <c r="M903" i="1"/>
  <c r="O301" i="1"/>
  <c r="O465" i="1" s="1"/>
  <c r="O119" i="1"/>
  <c r="O114" i="1" s="1"/>
  <c r="O315" i="1"/>
  <c r="O420" i="1" s="1"/>
  <c r="K124" i="1"/>
  <c r="K320" i="1"/>
  <c r="K475" i="1" s="1"/>
  <c r="G380" i="1"/>
  <c r="G437" i="1" s="1"/>
  <c r="G316" i="1"/>
  <c r="G471" i="1" s="1"/>
  <c r="G120" i="1"/>
  <c r="G114" i="1" s="1"/>
  <c r="K318" i="1"/>
  <c r="K473" i="1" s="1"/>
  <c r="O124" i="1"/>
  <c r="O320" i="1"/>
  <c r="O475" i="1" s="1"/>
  <c r="G323" i="1"/>
  <c r="G478" i="1" s="1"/>
  <c r="K325" i="1"/>
  <c r="K480" i="1" s="1"/>
  <c r="K380" i="1"/>
  <c r="K437" i="1" s="1"/>
  <c r="H241" i="1"/>
  <c r="H316" i="1" s="1"/>
  <c r="H471" i="1" s="1"/>
  <c r="L318" i="1"/>
  <c r="L473" i="1" s="1"/>
  <c r="P320" i="1"/>
  <c r="P475" i="1" s="1"/>
  <c r="H323" i="1"/>
  <c r="H478" i="1" s="1"/>
  <c r="L325" i="1"/>
  <c r="L480" i="1" s="1"/>
  <c r="H363" i="1"/>
  <c r="H504" i="1" s="1"/>
  <c r="P382" i="1"/>
  <c r="P513" i="1" s="1"/>
  <c r="J925" i="1"/>
  <c r="J924" i="1" s="1"/>
  <c r="J903" i="1"/>
  <c r="J902" i="1"/>
  <c r="I241" i="1"/>
  <c r="I316" i="1" s="1"/>
  <c r="I471" i="1" s="1"/>
  <c r="Q320" i="1"/>
  <c r="Q475" i="1" s="1"/>
  <c r="I323" i="1"/>
  <c r="I478" i="1" s="1"/>
  <c r="M325" i="1"/>
  <c r="M480" i="1" s="1"/>
  <c r="I363" i="1"/>
  <c r="I504" i="1" s="1"/>
  <c r="M380" i="1"/>
  <c r="M437" i="1" s="1"/>
  <c r="F361" i="1"/>
  <c r="F428" i="1" s="1"/>
  <c r="J363" i="1"/>
  <c r="J504" i="1" s="1"/>
  <c r="N380" i="1"/>
  <c r="N437" i="1" s="1"/>
  <c r="F383" i="1"/>
  <c r="F514" i="1" s="1"/>
  <c r="P124" i="1"/>
  <c r="G318" i="1"/>
  <c r="G473" i="1" s="1"/>
  <c r="K742" i="1" a="1"/>
  <c r="K742" i="1" s="1"/>
  <c r="K744" i="1" s="1" a="1"/>
  <c r="K744" i="1" s="1"/>
  <c r="O325" i="1"/>
  <c r="O480" i="1" s="1"/>
  <c r="O129" i="1"/>
  <c r="G361" i="1"/>
  <c r="G428" i="1" s="1"/>
  <c r="K363" i="1"/>
  <c r="K504" i="1" s="1"/>
  <c r="O380" i="1"/>
  <c r="O437" i="1" s="1"/>
  <c r="G383" i="1"/>
  <c r="G514" i="1" s="1"/>
  <c r="Q124" i="1"/>
  <c r="L363" i="1"/>
  <c r="L504" i="1" s="1"/>
  <c r="P380" i="1"/>
  <c r="P437" i="1" s="1"/>
  <c r="H383" i="1"/>
  <c r="H514" i="1" s="1"/>
  <c r="P398" i="1"/>
  <c r="P439" i="1" s="1"/>
  <c r="G903" i="1"/>
  <c r="G925" i="1"/>
  <c r="G924" i="1" s="1"/>
  <c r="I130" i="1"/>
  <c r="I399" i="1"/>
  <c r="I519" i="1" s="1"/>
  <c r="L122" i="1"/>
  <c r="K129" i="1"/>
  <c r="L315" i="1"/>
  <c r="L420" i="1" s="1"/>
  <c r="P317" i="1"/>
  <c r="P472" i="1" s="1"/>
  <c r="L362" i="1"/>
  <c r="L429" i="1" s="1"/>
  <c r="P364" i="1"/>
  <c r="H382" i="1"/>
  <c r="H513" i="1" s="1"/>
  <c r="L384" i="1"/>
  <c r="L515" i="1" s="1"/>
  <c r="P386" i="1"/>
  <c r="P517" i="1" s="1"/>
  <c r="H400" i="1"/>
  <c r="H520" i="1" s="1"/>
  <c r="F123" i="1"/>
  <c r="F925" i="1"/>
  <c r="F924" i="1" s="1"/>
  <c r="F895" i="1"/>
  <c r="F903" i="1" s="1"/>
  <c r="J383" i="1"/>
  <c r="J514" i="1" s="1"/>
  <c r="N385" i="1"/>
  <c r="N516" i="1" s="1"/>
  <c r="F399" i="1"/>
  <c r="F519" i="1" s="1"/>
  <c r="N925" i="1"/>
  <c r="N924" i="1" s="1"/>
  <c r="N903" i="1"/>
  <c r="K925" i="1"/>
  <c r="K924" i="1" s="1"/>
  <c r="K903" i="1"/>
  <c r="K902" i="1"/>
  <c r="G899" i="1"/>
  <c r="H903" i="1"/>
  <c r="J899" i="1"/>
  <c r="Q902" i="1"/>
  <c r="G902" i="1"/>
  <c r="H902" i="1"/>
  <c r="I902" i="1"/>
  <c r="K899" i="1"/>
  <c r="L899" i="1"/>
  <c r="L902" i="1"/>
  <c r="M899" i="1"/>
  <c r="M902" i="1"/>
  <c r="N902" i="1"/>
  <c r="N899" i="1"/>
  <c r="Q1744" i="1"/>
  <c r="Q1745" i="1"/>
  <c r="Q1746" i="1"/>
  <c r="Q1748" i="1"/>
  <c r="Q8" i="1"/>
  <c r="Q1747" i="1" s="1"/>
  <c r="Q1750" i="1"/>
  <c r="Q1753" i="1"/>
  <c r="Q1754" i="1"/>
  <c r="Q1755" i="1"/>
  <c r="Q1756" i="1"/>
  <c r="Q1757" i="1"/>
  <c r="Q1716" i="1"/>
  <c r="Q1719" i="1"/>
  <c r="Q1733" i="1"/>
  <c r="Q1739" i="1"/>
  <c r="Q1741" i="1"/>
  <c r="Q64" i="1"/>
  <c r="Q525" i="1"/>
  <c r="Q75" i="1"/>
  <c r="Q78" i="1"/>
  <c r="Q100" i="1"/>
  <c r="Q328" i="1" s="1"/>
  <c r="Q344" i="1" s="1"/>
  <c r="Q109" i="1"/>
  <c r="Q269" i="1"/>
  <c r="Q258" i="1" s="1"/>
  <c r="Q111" i="1"/>
  <c r="Q105" i="1"/>
  <c r="Q147" i="1"/>
  <c r="Q159" i="1"/>
  <c r="Q168" i="1"/>
  <c r="Q563" i="1" s="1"/>
  <c r="Q572" i="1"/>
  <c r="Q573" i="1"/>
  <c r="Q188" i="1"/>
  <c r="Q206" i="1"/>
  <c r="Q208" i="1"/>
  <c r="Q215" i="1"/>
  <c r="Q222" i="1"/>
  <c r="Q221" i="1" s="1"/>
  <c r="Q223" i="1"/>
  <c r="Q225" i="1"/>
  <c r="Q227" i="1"/>
  <c r="Q229" i="1"/>
  <c r="Q581" i="1"/>
  <c r="Q793" i="1"/>
  <c r="Q500" i="1"/>
  <c r="Q908" i="1"/>
  <c r="Q909" i="1"/>
  <c r="Q941" i="1" s="1"/>
  <c r="Q964" i="1" s="1"/>
  <c r="Q276" i="1"/>
  <c r="Q522" i="1"/>
  <c r="Q305" i="1"/>
  <c r="Q530" i="1"/>
  <c r="Q387" i="1"/>
  <c r="Q389" i="1"/>
  <c r="Q570" i="1"/>
  <c r="Q445" i="1"/>
  <c r="Q447" i="1"/>
  <c r="Q449" i="1"/>
  <c r="Q453" i="1"/>
  <c r="Q455" i="1"/>
  <c r="Q457" i="1"/>
  <c r="Q459" i="1"/>
  <c r="Q461" i="1"/>
  <c r="Q511" i="1"/>
  <c r="Q506" i="1"/>
  <c r="Q524" i="1"/>
  <c r="Q526" i="1"/>
  <c r="Q567" i="1"/>
  <c r="Q568" i="1"/>
  <c r="Q569" i="1"/>
  <c r="Q580" i="1"/>
  <c r="Q583" i="1"/>
  <c r="Q614" i="1"/>
  <c r="Q626" i="1"/>
  <c r="Q659" i="1"/>
  <c r="Q684" i="1"/>
  <c r="Q686" i="1"/>
  <c r="Q708" i="1"/>
  <c r="Q712" i="1"/>
  <c r="Q723" i="1"/>
  <c r="Q739" i="1"/>
  <c r="Q773" i="1"/>
  <c r="Q775" i="1"/>
  <c r="Q770" i="1" s="1"/>
  <c r="Q862" i="1" s="1"/>
  <c r="Q777" i="1"/>
  <c r="Q790" i="1"/>
  <c r="Q866" i="1" s="1"/>
  <c r="Q801" i="1"/>
  <c r="Q876" i="1"/>
  <c r="Q877" i="1"/>
  <c r="Q805" i="1"/>
  <c r="Q808" i="1"/>
  <c r="Q812" i="1"/>
  <c r="Q880" i="1" s="1"/>
  <c r="Q814" i="1"/>
  <c r="Q819" i="1"/>
  <c r="Q823" i="1"/>
  <c r="Q826" i="1"/>
  <c r="Q830" i="1"/>
  <c r="Q844" i="1"/>
  <c r="Q846" i="1"/>
  <c r="Q848" i="1"/>
  <c r="Q850" i="1"/>
  <c r="Q852" i="1"/>
  <c r="Q854" i="1"/>
  <c r="Q889" i="1"/>
  <c r="Q892" i="1"/>
  <c r="Q912" i="1"/>
  <c r="Q910" i="1"/>
  <c r="Q942" i="1" s="1"/>
  <c r="Q965" i="1" s="1"/>
  <c r="Q911" i="1"/>
  <c r="Q913" i="1"/>
  <c r="Q968" i="1" s="1"/>
  <c r="Q970" i="1"/>
  <c r="Q971" i="1"/>
  <c r="Q957" i="1"/>
  <c r="Q931" i="1"/>
  <c r="Q961" i="1"/>
  <c r="Q945" i="1"/>
  <c r="Q947" i="1"/>
  <c r="Q949" i="1"/>
  <c r="Q951" i="1"/>
  <c r="Q990" i="1"/>
  <c r="Q994" i="1"/>
  <c r="Q1016" i="1"/>
  <c r="Q1017" i="1" s="1"/>
  <c r="Q1031" i="1"/>
  <c r="Q1040" i="1"/>
  <c r="Q1044" i="1"/>
  <c r="Q1046" i="1"/>
  <c r="Q1086" i="1"/>
  <c r="Q1065" i="1"/>
  <c r="Q1073" i="1"/>
  <c r="Q1075" i="1"/>
  <c r="Q1103" i="1"/>
  <c r="Q1079" i="1"/>
  <c r="Q1099" i="1"/>
  <c r="Q1101" i="1"/>
  <c r="Q1286" i="1"/>
  <c r="Q1267" i="1"/>
  <c r="Q1278" i="1"/>
  <c r="Q1288" i="1"/>
  <c r="Q1295" i="1"/>
  <c r="Q1304" i="1"/>
  <c r="Q1306" i="1"/>
  <c r="Q1308" i="1"/>
  <c r="Q1381" i="1"/>
  <c r="Q1390" i="1"/>
  <c r="Q1394" i="1"/>
  <c r="Q1472" i="1"/>
  <c r="Q1479" i="1"/>
  <c r="Q1468" i="1"/>
  <c r="Q1470" i="1"/>
  <c r="Q1471" i="1"/>
  <c r="Q1473" i="1"/>
  <c r="Q1474" i="1"/>
  <c r="Q1475" i="1"/>
  <c r="Q1484" i="1"/>
  <c r="Q1483" i="1" s="1"/>
  <c r="Q1486" i="1"/>
  <c r="Q1491" i="1"/>
  <c r="Q1490" i="1" s="1"/>
  <c r="Q1493" i="1"/>
  <c r="Q1539" i="1"/>
  <c r="Q1550" i="1"/>
  <c r="Q1567" i="1"/>
  <c r="Q1584" i="1"/>
  <c r="Q1585" i="1"/>
  <c r="Q1587" i="1"/>
  <c r="Q1590" i="1"/>
  <c r="Q1591" i="1"/>
  <c r="Q1597" i="1"/>
  <c r="Q1614" i="1"/>
  <c r="Q1632" i="1"/>
  <c r="Q1633" i="1"/>
  <c r="Q1634" i="1"/>
  <c r="Q1637" i="1"/>
  <c r="Q1638" i="1"/>
  <c r="Q1649" i="1"/>
  <c r="Q1680" i="1"/>
  <c r="Q1682" i="1"/>
  <c r="Q1683" i="1"/>
  <c r="Q1684" i="1"/>
  <c r="Q1692" i="1"/>
  <c r="Q1710" i="1"/>
  <c r="Q1707" i="1"/>
  <c r="Q1717" i="1"/>
  <c r="Q1718" i="1"/>
  <c r="Q1732" i="1"/>
  <c r="Q1758" i="1"/>
  <c r="Q1760" i="1"/>
  <c r="Q1762" i="1"/>
  <c r="Q1766" i="1"/>
  <c r="Q1786" i="1"/>
  <c r="Q1801" i="1"/>
  <c r="Q1810" i="1"/>
  <c r="Q1828" i="1"/>
  <c r="Q1833" i="1"/>
  <c r="Q1835" i="1"/>
  <c r="Q1837" i="1"/>
  <c r="Q1839" i="1"/>
  <c r="Q1841" i="1"/>
  <c r="Q1844" i="1"/>
  <c r="Q1847" i="1"/>
  <c r="Q1852" i="1"/>
  <c r="Q1854" i="1"/>
  <c r="Q1856" i="1"/>
  <c r="Q1858" i="1"/>
  <c r="Q1860" i="1"/>
  <c r="Q1873" i="1"/>
  <c r="Q1875" i="1"/>
  <c r="Q1877" i="1"/>
  <c r="Q1879" i="1"/>
  <c r="Q1881" i="1"/>
  <c r="Q1883" i="1"/>
  <c r="Q1889" i="1"/>
  <c r="Q1895" i="1"/>
  <c r="Q1897" i="1"/>
  <c r="Q1899" i="1"/>
  <c r="Q1901" i="1"/>
  <c r="Q2027" i="1"/>
  <c r="Q2030" i="1"/>
  <c r="Q2051" i="1"/>
  <c r="Q2053" i="1"/>
  <c r="Q2077" i="1"/>
  <c r="Q2084" i="1"/>
  <c r="Q2092" i="1"/>
  <c r="Q2101" i="1"/>
  <c r="Q2102" i="1"/>
  <c r="Q2106" i="1"/>
  <c r="Q2238" i="1"/>
  <c r="Q2243" i="1"/>
  <c r="Q2245" i="1"/>
  <c r="Q2247" i="1"/>
  <c r="Q2249" i="1"/>
  <c r="Q2251" i="1"/>
  <c r="Q2257" i="1"/>
  <c r="Q2262" i="1"/>
  <c r="Q2264" i="1"/>
  <c r="Q2266" i="1"/>
  <c r="Q2268" i="1"/>
  <c r="Q2270" i="1"/>
  <c r="Q2283" i="1"/>
  <c r="Q2285" i="1"/>
  <c r="Q2287" i="1"/>
  <c r="Q2289" i="1"/>
  <c r="Q2291" i="1"/>
  <c r="Q2293" i="1"/>
  <c r="Q2299" i="1"/>
  <c r="Q2305" i="1"/>
  <c r="Q2307" i="1"/>
  <c r="Q2309" i="1"/>
  <c r="Q2311" i="1"/>
  <c r="Q2318" i="1"/>
  <c r="Q2321" i="1"/>
  <c r="M1743" i="1"/>
  <c r="N1743" i="1"/>
  <c r="O1743" i="1"/>
  <c r="M1744" i="1"/>
  <c r="N1744" i="1"/>
  <c r="M1745" i="1"/>
  <c r="P1748" i="1"/>
  <c r="L1750" i="1"/>
  <c r="P1750" i="1"/>
  <c r="L1752" i="1"/>
  <c r="M12" i="1"/>
  <c r="M1751" i="1" s="1"/>
  <c r="L1756" i="1"/>
  <c r="M1756" i="1"/>
  <c r="N1756" i="1"/>
  <c r="O1756" i="1"/>
  <c r="P1756" i="1"/>
  <c r="L1757" i="1"/>
  <c r="P1757" i="1"/>
  <c r="L1716" i="1"/>
  <c r="O1716" i="1"/>
  <c r="P1716" i="1"/>
  <c r="L1717" i="1"/>
  <c r="M1717" i="1"/>
  <c r="N1717" i="1"/>
  <c r="M1719" i="1"/>
  <c r="N1719" i="1"/>
  <c r="P1722" i="1"/>
  <c r="L1721" i="1"/>
  <c r="N1721" i="1"/>
  <c r="L1732" i="1"/>
  <c r="O1739" i="1"/>
  <c r="N1741" i="1"/>
  <c r="L64" i="1"/>
  <c r="M64" i="1"/>
  <c r="M524" i="1"/>
  <c r="N524" i="1"/>
  <c r="L525" i="1"/>
  <c r="N66" i="1"/>
  <c r="M526" i="1"/>
  <c r="O75" i="1"/>
  <c r="P304" i="1"/>
  <c r="M239" i="1"/>
  <c r="M237" i="1" s="1"/>
  <c r="M236" i="1" s="1"/>
  <c r="O239" i="1"/>
  <c r="L78" i="1"/>
  <c r="M78" i="1"/>
  <c r="N78" i="1"/>
  <c r="O78" i="1"/>
  <c r="P78" i="1"/>
  <c r="M100" i="1"/>
  <c r="O530" i="1"/>
  <c r="P530" i="1"/>
  <c r="L531" i="1"/>
  <c r="M101" i="1"/>
  <c r="O103" i="1"/>
  <c r="L104" i="1"/>
  <c r="P105" i="1"/>
  <c r="M106" i="1"/>
  <c r="M107" i="1"/>
  <c r="N109" i="1"/>
  <c r="P109" i="1"/>
  <c r="L110" i="1"/>
  <c r="P111" i="1"/>
  <c r="L100" i="1"/>
  <c r="L328" i="1" s="1"/>
  <c r="L344" i="1" s="1"/>
  <c r="N100" i="1"/>
  <c r="N328" i="1" s="1"/>
  <c r="M104" i="1"/>
  <c r="P106" i="1"/>
  <c r="O110" i="1"/>
  <c r="N112" i="1"/>
  <c r="L145" i="1"/>
  <c r="M145" i="1"/>
  <c r="N545" i="1"/>
  <c r="N147" i="1"/>
  <c r="L148" i="1"/>
  <c r="P148" i="1"/>
  <c r="L149" i="1"/>
  <c r="N149" i="1"/>
  <c r="O149" i="1"/>
  <c r="M150" i="1"/>
  <c r="P150" i="1"/>
  <c r="O147" i="1"/>
  <c r="L150" i="1"/>
  <c r="O150" i="1"/>
  <c r="L551" i="1"/>
  <c r="M551" i="1"/>
  <c r="P551" i="1"/>
  <c r="N159" i="1"/>
  <c r="L159" i="1"/>
  <c r="M159" i="1"/>
  <c r="O159" i="1"/>
  <c r="P159" i="1"/>
  <c r="P161" i="1"/>
  <c r="L168" i="1"/>
  <c r="L563" i="1" s="1"/>
  <c r="M168" i="1"/>
  <c r="N168" i="1"/>
  <c r="N563" i="1" s="1"/>
  <c r="O168" i="1"/>
  <c r="O563" i="1" s="1"/>
  <c r="P168" i="1"/>
  <c r="M169" i="1"/>
  <c r="N567" i="1"/>
  <c r="O567" i="1"/>
  <c r="P567" i="1"/>
  <c r="N568" i="1"/>
  <c r="P568" i="1"/>
  <c r="L569" i="1"/>
  <c r="O571" i="1"/>
  <c r="P571" i="1"/>
  <c r="L573" i="1"/>
  <c r="M573" i="1"/>
  <c r="N573" i="1"/>
  <c r="P184" i="1"/>
  <c r="M412" i="1"/>
  <c r="N201" i="1"/>
  <c r="L206" i="1"/>
  <c r="M206" i="1"/>
  <c r="N206" i="1"/>
  <c r="P206" i="1"/>
  <c r="L208" i="1"/>
  <c r="P208" i="1"/>
  <c r="N208" i="1"/>
  <c r="N215" i="1"/>
  <c r="P215" i="1"/>
  <c r="L211" i="1"/>
  <c r="O215" i="1"/>
  <c r="L217" i="1"/>
  <c r="M217" i="1"/>
  <c r="N217" i="1"/>
  <c r="O217" i="1"/>
  <c r="P217" i="1"/>
  <c r="M577" i="1"/>
  <c r="O222" i="1"/>
  <c r="O221" i="1" s="1"/>
  <c r="P219" i="1"/>
  <c r="L223" i="1"/>
  <c r="M223" i="1"/>
  <c r="N223" i="1"/>
  <c r="O223" i="1"/>
  <c r="P223" i="1"/>
  <c r="L225" i="1"/>
  <c r="M225" i="1"/>
  <c r="N225" i="1"/>
  <c r="O225" i="1"/>
  <c r="P225" i="1"/>
  <c r="M227" i="1"/>
  <c r="O227" i="1"/>
  <c r="P227" i="1"/>
  <c r="L229" i="1"/>
  <c r="M229" i="1"/>
  <c r="N229" i="1"/>
  <c r="O229" i="1"/>
  <c r="P229" i="1"/>
  <c r="N231" i="1"/>
  <c r="L231" i="1"/>
  <c r="O231" i="1"/>
  <c r="P231" i="1"/>
  <c r="L234" i="1"/>
  <c r="M234" i="1"/>
  <c r="N234" i="1"/>
  <c r="O234" i="1"/>
  <c r="P793" i="1"/>
  <c r="L795" i="1"/>
  <c r="P795" i="1"/>
  <c r="P796" i="1"/>
  <c r="L1044" i="1"/>
  <c r="M1044" i="1"/>
  <c r="O1044" i="1"/>
  <c r="P1044" i="1"/>
  <c r="L1045" i="1"/>
  <c r="M1045" i="1"/>
  <c r="N1045" i="1"/>
  <c r="P908" i="1"/>
  <c r="P940" i="1" s="1"/>
  <c r="P963" i="1" s="1"/>
  <c r="L280" i="1"/>
  <c r="M281" i="1"/>
  <c r="N280" i="1"/>
  <c r="L276" i="1"/>
  <c r="M276" i="1"/>
  <c r="N276" i="1"/>
  <c r="O276" i="1"/>
  <c r="P276" i="1"/>
  <c r="L281" i="1"/>
  <c r="N281" i="1"/>
  <c r="N799" i="1"/>
  <c r="P800" i="1"/>
  <c r="M1046" i="1"/>
  <c r="O1046" i="1"/>
  <c r="P1046" i="1"/>
  <c r="L288" i="1"/>
  <c r="M801" i="1"/>
  <c r="N801" i="1"/>
  <c r="O801" i="1"/>
  <c r="L292" i="1"/>
  <c r="N292" i="1"/>
  <c r="M292" i="1"/>
  <c r="O292" i="1"/>
  <c r="P292" i="1"/>
  <c r="L303" i="1"/>
  <c r="N303" i="1"/>
  <c r="O303" i="1"/>
  <c r="N304" i="1"/>
  <c r="M303" i="1"/>
  <c r="N544" i="1"/>
  <c r="P544" i="1"/>
  <c r="N510" i="1"/>
  <c r="L378" i="1"/>
  <c r="P555" i="1"/>
  <c r="L387" i="1"/>
  <c r="M387" i="1"/>
  <c r="N387" i="1"/>
  <c r="O387" i="1"/>
  <c r="P387" i="1"/>
  <c r="M569" i="1"/>
  <c r="N569" i="1"/>
  <c r="M570" i="1"/>
  <c r="N570" i="1"/>
  <c r="P570" i="1"/>
  <c r="N438" i="1"/>
  <c r="O438" i="1"/>
  <c r="L443" i="1"/>
  <c r="O443" i="1"/>
  <c r="L445" i="1"/>
  <c r="M445" i="1"/>
  <c r="N445" i="1"/>
  <c r="O445" i="1"/>
  <c r="P445" i="1"/>
  <c r="L447" i="1"/>
  <c r="M447" i="1"/>
  <c r="N447" i="1"/>
  <c r="O447" i="1"/>
  <c r="P447" i="1"/>
  <c r="N449" i="1"/>
  <c r="N452" i="1"/>
  <c r="N451" i="1" s="1"/>
  <c r="O449" i="1"/>
  <c r="L453" i="1"/>
  <c r="M453" i="1"/>
  <c r="N453" i="1"/>
  <c r="O453" i="1"/>
  <c r="P453" i="1"/>
  <c r="N455" i="1"/>
  <c r="M455" i="1"/>
  <c r="M457" i="1"/>
  <c r="O457" i="1"/>
  <c r="L457" i="1"/>
  <c r="N457" i="1"/>
  <c r="P457" i="1"/>
  <c r="L459" i="1"/>
  <c r="M459" i="1"/>
  <c r="O459" i="1"/>
  <c r="L461" i="1"/>
  <c r="M461" i="1"/>
  <c r="O461" i="1"/>
  <c r="P461" i="1"/>
  <c r="M511" i="1"/>
  <c r="O511" i="1"/>
  <c r="P511" i="1"/>
  <c r="L506" i="1"/>
  <c r="M506" i="1"/>
  <c r="N506" i="1"/>
  <c r="O506" i="1"/>
  <c r="P506" i="1"/>
  <c r="L511" i="1"/>
  <c r="N511" i="1"/>
  <c r="P523" i="1"/>
  <c r="N531" i="1"/>
  <c r="O544" i="1"/>
  <c r="M583" i="1"/>
  <c r="N583" i="1"/>
  <c r="O583" i="1"/>
  <c r="P583" i="1"/>
  <c r="L583" i="1"/>
  <c r="O599" i="1"/>
  <c r="M591" i="1"/>
  <c r="O594" i="1"/>
  <c r="P612" i="1"/>
  <c r="L605" i="1"/>
  <c r="N608" i="1"/>
  <c r="O608" i="1"/>
  <c r="L614" i="1"/>
  <c r="M631" i="1"/>
  <c r="N631" i="1"/>
  <c r="O641" i="1"/>
  <c r="L658" i="1"/>
  <c r="P651" i="1"/>
  <c r="N699" i="1"/>
  <c r="P699" i="1"/>
  <c r="L700" i="1"/>
  <c r="P671" i="1"/>
  <c r="N676" i="1"/>
  <c r="L680" i="1"/>
  <c r="O700" i="1"/>
  <c r="L684" i="1"/>
  <c r="M684" i="1"/>
  <c r="N684" i="1"/>
  <c r="O684" i="1"/>
  <c r="P684" i="1"/>
  <c r="M702" i="1"/>
  <c r="O704" i="1"/>
  <c r="P705" i="1"/>
  <c r="P710" i="1"/>
  <c r="L712" i="1"/>
  <c r="M712" i="1"/>
  <c r="N712" i="1"/>
  <c r="O712" i="1"/>
  <c r="N715" i="1"/>
  <c r="M715" i="1"/>
  <c r="O715" i="1"/>
  <c r="L723" i="1"/>
  <c r="O723" i="1"/>
  <c r="P723" i="1"/>
  <c r="P732" i="1"/>
  <c r="L739" i="1"/>
  <c r="M739" i="1"/>
  <c r="N739" i="1"/>
  <c r="O739" i="1"/>
  <c r="P739" i="1"/>
  <c r="P817" i="1"/>
  <c r="O773" i="1"/>
  <c r="M773" i="1"/>
  <c r="L775" i="1"/>
  <c r="L770" i="1" s="1"/>
  <c r="O775" i="1"/>
  <c r="O770" i="1" s="1"/>
  <c r="P775" i="1"/>
  <c r="P770" i="1" s="1"/>
  <c r="N775" i="1"/>
  <c r="N770" i="1" s="1"/>
  <c r="L777" i="1"/>
  <c r="M777" i="1"/>
  <c r="O777" i="1"/>
  <c r="P777" i="1"/>
  <c r="N777" i="1"/>
  <c r="N790" i="1"/>
  <c r="P790" i="1"/>
  <c r="L790" i="1"/>
  <c r="M790" i="1"/>
  <c r="O790" i="1"/>
  <c r="L793" i="1"/>
  <c r="M793" i="1"/>
  <c r="N793" i="1"/>
  <c r="O793" i="1"/>
  <c r="O794" i="1"/>
  <c r="L796" i="1"/>
  <c r="M796" i="1"/>
  <c r="N796" i="1"/>
  <c r="L797" i="1"/>
  <c r="M798" i="1"/>
  <c r="L803" i="1"/>
  <c r="M803" i="1"/>
  <c r="N803" i="1"/>
  <c r="O803" i="1"/>
  <c r="P803" i="1"/>
  <c r="L805" i="1"/>
  <c r="M805" i="1"/>
  <c r="N805" i="1"/>
  <c r="O805" i="1"/>
  <c r="P805" i="1"/>
  <c r="L808" i="1"/>
  <c r="L810" i="1" s="1"/>
  <c r="M808" i="1"/>
  <c r="N808" i="1"/>
  <c r="N810" i="1" s="1"/>
  <c r="O808" i="1"/>
  <c r="O810" i="1" s="1"/>
  <c r="P808" i="1"/>
  <c r="L812" i="1"/>
  <c r="O812" i="1"/>
  <c r="P812" i="1"/>
  <c r="M812" i="1"/>
  <c r="N812" i="1"/>
  <c r="L814" i="1"/>
  <c r="L881" i="1" s="1"/>
  <c r="M814" i="1"/>
  <c r="M881" i="1" s="1"/>
  <c r="N814" i="1"/>
  <c r="N881" i="1" s="1"/>
  <c r="P814" i="1"/>
  <c r="O814" i="1"/>
  <c r="N817" i="1"/>
  <c r="L819" i="1"/>
  <c r="N819" i="1"/>
  <c r="L830" i="1"/>
  <c r="M830" i="1"/>
  <c r="N830" i="1"/>
  <c r="O830" i="1"/>
  <c r="P830" i="1"/>
  <c r="L832" i="1"/>
  <c r="O832" i="1"/>
  <c r="P832" i="1"/>
  <c r="N844" i="1"/>
  <c r="L844" i="1"/>
  <c r="M844" i="1"/>
  <c r="O844" i="1"/>
  <c r="O846" i="1"/>
  <c r="L846" i="1"/>
  <c r="M878" i="1"/>
  <c r="N846" i="1"/>
  <c r="L848" i="1"/>
  <c r="M848" i="1"/>
  <c r="N848" i="1"/>
  <c r="O848" i="1"/>
  <c r="P848" i="1"/>
  <c r="M850" i="1"/>
  <c r="L850" i="1"/>
  <c r="O850" i="1"/>
  <c r="P850" i="1"/>
  <c r="L852" i="1"/>
  <c r="M852" i="1"/>
  <c r="N852" i="1"/>
  <c r="L854" i="1"/>
  <c r="M854" i="1"/>
  <c r="N854" i="1"/>
  <c r="O854" i="1"/>
  <c r="P854" i="1"/>
  <c r="M860" i="1"/>
  <c r="P860" i="1"/>
  <c r="M866" i="1"/>
  <c r="N866" i="1"/>
  <c r="N889" i="1"/>
  <c r="L891" i="1"/>
  <c r="P889" i="1"/>
  <c r="N891" i="1"/>
  <c r="L892" i="1"/>
  <c r="M892" i="1"/>
  <c r="N892" i="1"/>
  <c r="O892" i="1"/>
  <c r="P892" i="1"/>
  <c r="L960" i="1"/>
  <c r="L912" i="1"/>
  <c r="N912" i="1"/>
  <c r="N967" i="1" s="1"/>
  <c r="P912" i="1"/>
  <c r="L911" i="1"/>
  <c r="L913" i="1"/>
  <c r="M913" i="1"/>
  <c r="N913" i="1"/>
  <c r="O913" i="1"/>
  <c r="P913" i="1"/>
  <c r="P968" i="1" s="1"/>
  <c r="L915" i="1"/>
  <c r="M915" i="1"/>
  <c r="N915" i="1"/>
  <c r="O915" i="1"/>
  <c r="P915" i="1"/>
  <c r="M917" i="1"/>
  <c r="O917" i="1"/>
  <c r="P917" i="1"/>
  <c r="O921" i="1"/>
  <c r="L921" i="1"/>
  <c r="M921" i="1"/>
  <c r="N921" i="1"/>
  <c r="P921" i="1"/>
  <c r="P920" i="1" s="1"/>
  <c r="N927" i="1"/>
  <c r="O927" i="1"/>
  <c r="L956" i="1"/>
  <c r="N957" i="1"/>
  <c r="O957" i="1"/>
  <c r="N931" i="1"/>
  <c r="O931" i="1"/>
  <c r="L931" i="1"/>
  <c r="M931" i="1"/>
  <c r="P931" i="1"/>
  <c r="N960" i="1"/>
  <c r="O960" i="1"/>
  <c r="L937" i="1"/>
  <c r="N937" i="1"/>
  <c r="P937" i="1"/>
  <c r="L945" i="1"/>
  <c r="M945" i="1"/>
  <c r="N945" i="1"/>
  <c r="O945" i="1"/>
  <c r="P945" i="1"/>
  <c r="L947" i="1"/>
  <c r="M947" i="1"/>
  <c r="P947" i="1"/>
  <c r="L949" i="1"/>
  <c r="N949" i="1"/>
  <c r="L951" i="1"/>
  <c r="N951" i="1"/>
  <c r="O951" i="1"/>
  <c r="L971" i="1"/>
  <c r="M951" i="1"/>
  <c r="O971" i="1"/>
  <c r="P951" i="1"/>
  <c r="M957" i="1"/>
  <c r="P957" i="1"/>
  <c r="N961" i="1"/>
  <c r="N971" i="1"/>
  <c r="P971" i="1"/>
  <c r="L977" i="1"/>
  <c r="L1111" i="1"/>
  <c r="O990" i="1"/>
  <c r="P990" i="1"/>
  <c r="M994" i="1"/>
  <c r="M1014" i="1"/>
  <c r="L1016" i="1"/>
  <c r="L1017" i="1" s="1"/>
  <c r="M1016" i="1"/>
  <c r="M1017" i="1" s="1"/>
  <c r="M1114" i="1" s="1"/>
  <c r="N1016" i="1"/>
  <c r="N1017" i="1" s="1"/>
  <c r="N1114" i="1" s="1"/>
  <c r="O1016" i="1"/>
  <c r="O1017" i="1" s="1"/>
  <c r="O1114" i="1" s="1"/>
  <c r="P1016" i="1"/>
  <c r="P1017" i="1" s="1"/>
  <c r="N1023" i="1"/>
  <c r="P1023" i="1"/>
  <c r="M1026" i="1"/>
  <c r="O1026" i="1"/>
  <c r="P1026" i="1"/>
  <c r="L1028" i="1"/>
  <c r="M1028" i="1"/>
  <c r="N1028" i="1"/>
  <c r="O1028" i="1"/>
  <c r="P1028" i="1"/>
  <c r="L1031" i="1"/>
  <c r="M1031" i="1"/>
  <c r="N1031" i="1"/>
  <c r="O1031" i="1"/>
  <c r="P1031" i="1"/>
  <c r="L1038" i="1"/>
  <c r="M1038" i="1"/>
  <c r="N1038" i="1"/>
  <c r="O1038" i="1"/>
  <c r="P1038" i="1"/>
  <c r="L1040" i="1"/>
  <c r="M1040" i="1"/>
  <c r="N1040" i="1"/>
  <c r="O1040" i="1"/>
  <c r="P1040" i="1"/>
  <c r="N1044" i="1"/>
  <c r="P1045" i="1"/>
  <c r="P1057" i="1"/>
  <c r="O1124" i="1"/>
  <c r="L1060" i="1"/>
  <c r="M1086" i="1"/>
  <c r="P1062" i="1"/>
  <c r="L1112" i="1"/>
  <c r="M1062" i="1"/>
  <c r="M1065" i="1"/>
  <c r="N1065" i="1"/>
  <c r="O1065" i="1"/>
  <c r="O1072" i="1"/>
  <c r="O1098" i="1" s="1"/>
  <c r="O1073" i="1"/>
  <c r="L1073" i="1"/>
  <c r="P1073" i="1"/>
  <c r="O1075" i="1"/>
  <c r="M1075" i="1"/>
  <c r="N1075" i="1"/>
  <c r="O1101" i="1"/>
  <c r="P1075" i="1"/>
  <c r="L1077" i="1"/>
  <c r="M1103" i="1"/>
  <c r="N1077" i="1"/>
  <c r="P1077" i="1"/>
  <c r="L1105" i="1"/>
  <c r="P1079" i="1"/>
  <c r="M1127" i="1"/>
  <c r="P1103" i="1"/>
  <c r="M1112" i="1"/>
  <c r="M1120" i="1"/>
  <c r="P1122" i="1"/>
  <c r="M1125" i="1"/>
  <c r="O1127" i="1"/>
  <c r="P1127" i="1"/>
  <c r="O1268" i="1"/>
  <c r="M1269" i="1"/>
  <c r="L1273" i="1"/>
  <c r="O1274" i="1"/>
  <c r="O1285" i="1"/>
  <c r="M1288" i="1"/>
  <c r="L1303" i="1"/>
  <c r="N1303" i="1"/>
  <c r="N1265" i="1"/>
  <c r="M1267" i="1"/>
  <c r="N1267" i="1"/>
  <c r="O1267" i="1"/>
  <c r="M1268" i="1"/>
  <c r="N1270" i="1"/>
  <c r="M1271" i="1"/>
  <c r="N1271" i="1"/>
  <c r="O1271" i="1"/>
  <c r="P1271" i="1"/>
  <c r="M1272" i="1"/>
  <c r="L1275" i="1"/>
  <c r="N1275" i="1"/>
  <c r="L1277" i="1"/>
  <c r="P1278" i="1"/>
  <c r="O1279" i="1"/>
  <c r="P1280" i="1"/>
  <c r="M1283" i="1"/>
  <c r="N1283" i="1"/>
  <c r="O1284" i="1"/>
  <c r="P1284" i="1"/>
  <c r="L1285" i="1"/>
  <c r="M1285" i="1"/>
  <c r="N1285" i="1"/>
  <c r="P1285" i="1"/>
  <c r="L1286" i="1"/>
  <c r="O1286" i="1"/>
  <c r="O1287" i="1"/>
  <c r="P1288" i="1"/>
  <c r="L1289" i="1"/>
  <c r="M1289" i="1"/>
  <c r="M1291" i="1"/>
  <c r="P1292" i="1"/>
  <c r="L1293" i="1"/>
  <c r="M1293" i="1"/>
  <c r="M1294" i="1"/>
  <c r="O1294" i="1"/>
  <c r="P1294" i="1"/>
  <c r="P1297" i="1"/>
  <c r="L1300" i="1"/>
  <c r="M1300" i="1"/>
  <c r="N1300" i="1"/>
  <c r="N1302" i="1"/>
  <c r="P1302" i="1"/>
  <c r="L1304" i="1"/>
  <c r="M1304" i="1"/>
  <c r="N1304" i="1"/>
  <c r="O1304" i="1"/>
  <c r="N1307" i="1"/>
  <c r="N1308" i="1"/>
  <c r="P1308" i="1"/>
  <c r="O1309" i="1"/>
  <c r="O1311" i="1"/>
  <c r="L1312" i="1"/>
  <c r="O1312" i="1"/>
  <c r="P1312" i="1"/>
  <c r="L1313" i="1"/>
  <c r="M1313" i="1"/>
  <c r="O1313" i="1"/>
  <c r="N1295" i="1"/>
  <c r="L1298" i="1"/>
  <c r="N1298" i="1"/>
  <c r="N1301" i="1"/>
  <c r="M1379" i="1"/>
  <c r="L1384" i="1"/>
  <c r="O1384" i="1"/>
  <c r="M1390" i="1"/>
  <c r="N1376" i="1"/>
  <c r="O1377" i="1"/>
  <c r="O1378" i="1"/>
  <c r="L1380" i="1"/>
  <c r="P1380" i="1"/>
  <c r="P1381" i="1"/>
  <c r="P1382" i="1"/>
  <c r="L1383" i="1"/>
  <c r="N1383" i="1"/>
  <c r="M1386" i="1"/>
  <c r="N1386" i="1"/>
  <c r="N1390" i="1"/>
  <c r="O1390" i="1"/>
  <c r="P1390" i="1"/>
  <c r="M1391" i="1"/>
  <c r="L1392" i="1"/>
  <c r="N1392" i="1"/>
  <c r="L1393" i="1"/>
  <c r="L1396" i="1"/>
  <c r="M1397" i="1"/>
  <c r="N1397" i="1"/>
  <c r="O1397" i="1"/>
  <c r="P1397" i="1"/>
  <c r="P1398" i="1"/>
  <c r="P1475" i="1"/>
  <c r="N1481" i="1"/>
  <c r="M1461" i="1"/>
  <c r="N1461" i="1"/>
  <c r="O1461" i="1"/>
  <c r="N1462" i="1"/>
  <c r="O1465" i="1"/>
  <c r="L1466" i="1"/>
  <c r="P1466" i="1"/>
  <c r="M1467" i="1"/>
  <c r="P1469" i="1"/>
  <c r="M1470" i="1"/>
  <c r="O1470" i="1"/>
  <c r="O1471" i="1"/>
  <c r="N1473" i="1"/>
  <c r="L1474" i="1"/>
  <c r="O1474" i="1"/>
  <c r="M1475" i="1"/>
  <c r="N1475" i="1"/>
  <c r="M1476" i="1"/>
  <c r="N1476" i="1"/>
  <c r="O1476" i="1"/>
  <c r="P1476" i="1"/>
  <c r="P1478" i="1"/>
  <c r="M1479" i="1"/>
  <c r="P1479" i="1"/>
  <c r="N1480" i="1"/>
  <c r="P1480" i="1"/>
  <c r="P1481" i="1"/>
  <c r="L1482" i="1"/>
  <c r="N1463" i="1"/>
  <c r="O1479" i="1"/>
  <c r="L1484" i="1"/>
  <c r="L1483" i="1" s="1"/>
  <c r="M1484" i="1"/>
  <c r="M1483" i="1" s="1"/>
  <c r="N1484" i="1"/>
  <c r="N1483" i="1" s="1"/>
  <c r="O1484" i="1"/>
  <c r="O1483" i="1" s="1"/>
  <c r="P1484" i="1"/>
  <c r="P1483" i="1" s="1"/>
  <c r="L1486" i="1"/>
  <c r="N1486" i="1"/>
  <c r="P1486" i="1"/>
  <c r="L1491" i="1"/>
  <c r="L1490" i="1" s="1"/>
  <c r="M1491" i="1"/>
  <c r="M1490" i="1" s="1"/>
  <c r="N1491" i="1"/>
  <c r="N1490" i="1" s="1"/>
  <c r="O1491" i="1"/>
  <c r="O1490" i="1" s="1"/>
  <c r="L1493" i="1"/>
  <c r="P1493" i="1"/>
  <c r="P1537" i="1"/>
  <c r="L1538" i="1"/>
  <c r="N1539" i="1"/>
  <c r="M1508" i="1"/>
  <c r="N1543" i="1"/>
  <c r="L1535" i="1"/>
  <c r="O1536" i="1"/>
  <c r="O1538" i="1"/>
  <c r="L1540" i="1"/>
  <c r="N1540" i="1"/>
  <c r="O1540" i="1"/>
  <c r="P1540" i="1"/>
  <c r="O1543" i="1"/>
  <c r="M1544" i="1"/>
  <c r="O1544" i="1"/>
  <c r="O1545" i="1"/>
  <c r="P1545" i="1"/>
  <c r="L1550" i="1"/>
  <c r="M1550" i="1"/>
  <c r="O1550" i="1"/>
  <c r="P1550" i="1"/>
  <c r="L1567" i="1"/>
  <c r="M1567" i="1"/>
  <c r="O1567" i="1"/>
  <c r="P1567" i="1"/>
  <c r="M1585" i="1"/>
  <c r="O1585" i="1"/>
  <c r="P1585" i="1"/>
  <c r="O1588" i="1"/>
  <c r="M1589" i="1"/>
  <c r="P1592" i="1"/>
  <c r="L1594" i="1"/>
  <c r="N1594" i="1"/>
  <c r="N1597" i="1"/>
  <c r="L1597" i="1"/>
  <c r="O1597" i="1"/>
  <c r="P1597" i="1"/>
  <c r="L1614" i="1"/>
  <c r="M1614" i="1"/>
  <c r="N1614" i="1"/>
  <c r="O1614" i="1"/>
  <c r="P1631" i="1"/>
  <c r="L1634" i="1"/>
  <c r="M1634" i="1"/>
  <c r="L1635" i="1"/>
  <c r="N1635" i="1"/>
  <c r="P1635" i="1"/>
  <c r="O1636" i="1"/>
  <c r="M1637" i="1"/>
  <c r="O1637" i="1"/>
  <c r="P1637" i="1"/>
  <c r="O1638" i="1"/>
  <c r="N1682" i="1"/>
  <c r="M1649" i="1"/>
  <c r="N1649" i="1"/>
  <c r="O1649" i="1"/>
  <c r="P1649" i="1"/>
  <c r="L1687" i="1"/>
  <c r="L1679" i="1"/>
  <c r="N1679" i="1"/>
  <c r="L1680" i="1"/>
  <c r="O1680" i="1"/>
  <c r="P1680" i="1"/>
  <c r="M1681" i="1"/>
  <c r="L1683" i="1"/>
  <c r="M1683" i="1"/>
  <c r="N1683" i="1"/>
  <c r="O1683" i="1"/>
  <c r="P1683" i="1"/>
  <c r="O1684" i="1"/>
  <c r="L1685" i="1"/>
  <c r="P1685" i="1"/>
  <c r="M1687" i="1"/>
  <c r="M1710" i="1"/>
  <c r="O1710" i="1"/>
  <c r="L1702" i="1"/>
  <c r="N1707" i="1"/>
  <c r="L1712" i="1"/>
  <c r="M1712" i="1"/>
  <c r="N1712" i="1"/>
  <c r="O1712" i="1"/>
  <c r="P1712" i="1"/>
  <c r="L1715" i="1"/>
  <c r="M1715" i="1"/>
  <c r="N1715" i="1"/>
  <c r="O1715" i="1"/>
  <c r="P1715" i="1"/>
  <c r="M1716" i="1"/>
  <c r="N1716" i="1"/>
  <c r="O1717" i="1"/>
  <c r="P1717" i="1"/>
  <c r="L1718" i="1"/>
  <c r="M1718" i="1"/>
  <c r="N1718" i="1"/>
  <c r="O1718" i="1"/>
  <c r="P1718" i="1"/>
  <c r="L1719" i="1"/>
  <c r="O1719" i="1"/>
  <c r="P1719" i="1"/>
  <c r="M1721" i="1"/>
  <c r="O1721" i="1"/>
  <c r="L1722" i="1"/>
  <c r="M1722" i="1"/>
  <c r="N1722" i="1"/>
  <c r="O172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9" i="1"/>
  <c r="M1739" i="1"/>
  <c r="N1739" i="1"/>
  <c r="P1739" i="1"/>
  <c r="L1741" i="1"/>
  <c r="M1741" i="1"/>
  <c r="O1741" i="1"/>
  <c r="P1741" i="1"/>
  <c r="L1743" i="1"/>
  <c r="P1743" i="1"/>
  <c r="L1744" i="1"/>
  <c r="O1744" i="1"/>
  <c r="P1744" i="1"/>
  <c r="L1745" i="1"/>
  <c r="N1745" i="1"/>
  <c r="O1745" i="1"/>
  <c r="P1745" i="1"/>
  <c r="L1746" i="1"/>
  <c r="M1746" i="1"/>
  <c r="N1746" i="1"/>
  <c r="O1746" i="1"/>
  <c r="P1746" i="1"/>
  <c r="L1748" i="1"/>
  <c r="M1748" i="1"/>
  <c r="N1748" i="1"/>
  <c r="O1748" i="1"/>
  <c r="L1749" i="1"/>
  <c r="M1749" i="1"/>
  <c r="N1749" i="1"/>
  <c r="O1749" i="1"/>
  <c r="P1749" i="1"/>
  <c r="M1750" i="1"/>
  <c r="N1750" i="1"/>
  <c r="O1750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M1757" i="1"/>
  <c r="N1757" i="1"/>
  <c r="O1757" i="1"/>
  <c r="L1758" i="1"/>
  <c r="M1758" i="1"/>
  <c r="N1758" i="1"/>
  <c r="O1758" i="1"/>
  <c r="P1758" i="1"/>
  <c r="L1760" i="1"/>
  <c r="M1760" i="1"/>
  <c r="N1760" i="1"/>
  <c r="O1760" i="1"/>
  <c r="P1760" i="1"/>
  <c r="L1762" i="1"/>
  <c r="N1762" i="1"/>
  <c r="P1762" i="1"/>
  <c r="P1766" i="1"/>
  <c r="P1770" i="1"/>
  <c r="M1801" i="1"/>
  <c r="P1801" i="1"/>
  <c r="L1801" i="1"/>
  <c r="N1801" i="1"/>
  <c r="O1801" i="1"/>
  <c r="L1810" i="1"/>
  <c r="M1810" i="1"/>
  <c r="O1810" i="1"/>
  <c r="P1810" i="1"/>
  <c r="N1810" i="1"/>
  <c r="L1828" i="1"/>
  <c r="M1828" i="1"/>
  <c r="N1828" i="1"/>
  <c r="O1828" i="1"/>
  <c r="P1828" i="1"/>
  <c r="L1830" i="1"/>
  <c r="L1833" i="1"/>
  <c r="M1833" i="1"/>
  <c r="N1833" i="1"/>
  <c r="O1833" i="1"/>
  <c r="P1833" i="1"/>
  <c r="L1835" i="1"/>
  <c r="M1835" i="1"/>
  <c r="N1835" i="1"/>
  <c r="O1835" i="1"/>
  <c r="P1835" i="1"/>
  <c r="L1837" i="1"/>
  <c r="M1837" i="1"/>
  <c r="N1837" i="1"/>
  <c r="O1837" i="1"/>
  <c r="P1837" i="1"/>
  <c r="L1839" i="1"/>
  <c r="M1839" i="1"/>
  <c r="N1839" i="1"/>
  <c r="O1839" i="1"/>
  <c r="P1839" i="1"/>
  <c r="L1841" i="1"/>
  <c r="M1841" i="1"/>
  <c r="N1841" i="1"/>
  <c r="O1841" i="1"/>
  <c r="P1841" i="1"/>
  <c r="L1847" i="1"/>
  <c r="M1847" i="1"/>
  <c r="N1847" i="1"/>
  <c r="O1847" i="1"/>
  <c r="P1847" i="1"/>
  <c r="P1849" i="1"/>
  <c r="L1852" i="1"/>
  <c r="M1852" i="1"/>
  <c r="N1852" i="1"/>
  <c r="O1852" i="1"/>
  <c r="P1852" i="1"/>
  <c r="L1854" i="1"/>
  <c r="M1854" i="1"/>
  <c r="N1854" i="1"/>
  <c r="O1854" i="1"/>
  <c r="P1854" i="1"/>
  <c r="L1856" i="1"/>
  <c r="M1856" i="1"/>
  <c r="N1856" i="1"/>
  <c r="O1856" i="1"/>
  <c r="P1856" i="1"/>
  <c r="L1858" i="1"/>
  <c r="M1858" i="1"/>
  <c r="N1858" i="1"/>
  <c r="O1858" i="1"/>
  <c r="P1858" i="1"/>
  <c r="L1860" i="1"/>
  <c r="M1860" i="1"/>
  <c r="N1860" i="1"/>
  <c r="O1860" i="1"/>
  <c r="P1860" i="1"/>
  <c r="M1863" i="1"/>
  <c r="N1863" i="1"/>
  <c r="M1866" i="1"/>
  <c r="O1869" i="1"/>
  <c r="P1869" i="1"/>
  <c r="L1873" i="1"/>
  <c r="M1873" i="1"/>
  <c r="N1873" i="1"/>
  <c r="O1873" i="1"/>
  <c r="P1873" i="1"/>
  <c r="L1875" i="1"/>
  <c r="M1875" i="1"/>
  <c r="N1875" i="1"/>
  <c r="O1875" i="1"/>
  <c r="P1875" i="1"/>
  <c r="L1877" i="1"/>
  <c r="M1877" i="1"/>
  <c r="N1877" i="1"/>
  <c r="O1877" i="1"/>
  <c r="P1877" i="1"/>
  <c r="L1879" i="1"/>
  <c r="M1879" i="1"/>
  <c r="N1879" i="1"/>
  <c r="O1879" i="1"/>
  <c r="P1879" i="1"/>
  <c r="L1881" i="1"/>
  <c r="M1881" i="1"/>
  <c r="N1881" i="1"/>
  <c r="O1881" i="1"/>
  <c r="P1881" i="1"/>
  <c r="L1883" i="1"/>
  <c r="M1883" i="1"/>
  <c r="N1883" i="1"/>
  <c r="O1883" i="1"/>
  <c r="P1883" i="1"/>
  <c r="M1886" i="1"/>
  <c r="L1889" i="1"/>
  <c r="M1889" i="1"/>
  <c r="N1889" i="1"/>
  <c r="O1889" i="1"/>
  <c r="P1889" i="1"/>
  <c r="P1891" i="1"/>
  <c r="L1895" i="1"/>
  <c r="M1895" i="1"/>
  <c r="N1895" i="1"/>
  <c r="O1895" i="1"/>
  <c r="P1895" i="1"/>
  <c r="L1897" i="1"/>
  <c r="M1897" i="1"/>
  <c r="N1897" i="1"/>
  <c r="O1897" i="1"/>
  <c r="P1897" i="1"/>
  <c r="L1899" i="1"/>
  <c r="M1899" i="1"/>
  <c r="N1899" i="1"/>
  <c r="O1899" i="1"/>
  <c r="P1899" i="1"/>
  <c r="L1901" i="1"/>
  <c r="M1901" i="1"/>
  <c r="N1901" i="1"/>
  <c r="O1901" i="1"/>
  <c r="P1901" i="1"/>
  <c r="L2027" i="1"/>
  <c r="M2027" i="1"/>
  <c r="N2027" i="1"/>
  <c r="O2027" i="1"/>
  <c r="P2027" i="1"/>
  <c r="L2030" i="1"/>
  <c r="M2030" i="1"/>
  <c r="N2030" i="1"/>
  <c r="O2030" i="1"/>
  <c r="P2030" i="1"/>
  <c r="L2051" i="1"/>
  <c r="M2051" i="1"/>
  <c r="N2051" i="1"/>
  <c r="O2051" i="1"/>
  <c r="P2051" i="1"/>
  <c r="L2092" i="1"/>
  <c r="M2092" i="1"/>
  <c r="N2092" i="1"/>
  <c r="O2092" i="1"/>
  <c r="P2092" i="1"/>
  <c r="L2101" i="1"/>
  <c r="M2101" i="1"/>
  <c r="N2101" i="1"/>
  <c r="O2101" i="1"/>
  <c r="P2101" i="1"/>
  <c r="O2102" i="1"/>
  <c r="N2102" i="1"/>
  <c r="L2238" i="1"/>
  <c r="M2238" i="1"/>
  <c r="N2238" i="1"/>
  <c r="O2238" i="1"/>
  <c r="P2238" i="1"/>
  <c r="L2240" i="1"/>
  <c r="M2240" i="1"/>
  <c r="N2240" i="1"/>
  <c r="O2240" i="1"/>
  <c r="L2243" i="1"/>
  <c r="M2243" i="1"/>
  <c r="N2243" i="1"/>
  <c r="O2243" i="1"/>
  <c r="P2243" i="1"/>
  <c r="L2245" i="1"/>
  <c r="M2245" i="1"/>
  <c r="N2245" i="1"/>
  <c r="O2245" i="1"/>
  <c r="P2245" i="1"/>
  <c r="L2247" i="1"/>
  <c r="M2247" i="1"/>
  <c r="N2247" i="1"/>
  <c r="O2247" i="1"/>
  <c r="P2247" i="1"/>
  <c r="L2249" i="1"/>
  <c r="M2249" i="1"/>
  <c r="N2249" i="1"/>
  <c r="O2249" i="1"/>
  <c r="P2249" i="1"/>
  <c r="L2251" i="1"/>
  <c r="M2251" i="1"/>
  <c r="N2251" i="1"/>
  <c r="O2251" i="1"/>
  <c r="P2251" i="1"/>
  <c r="L2257" i="1"/>
  <c r="M2257" i="1"/>
  <c r="N2257" i="1"/>
  <c r="O2257" i="1"/>
  <c r="P2257" i="1"/>
  <c r="L2259" i="1"/>
  <c r="N2262" i="1"/>
  <c r="L2262" i="1"/>
  <c r="M2262" i="1"/>
  <c r="O2262" i="1"/>
  <c r="P2262" i="1"/>
  <c r="L2264" i="1"/>
  <c r="M2264" i="1"/>
  <c r="N2264" i="1"/>
  <c r="O2264" i="1"/>
  <c r="P2264" i="1"/>
  <c r="P2266" i="1"/>
  <c r="L2266" i="1"/>
  <c r="M2266" i="1"/>
  <c r="N2266" i="1"/>
  <c r="O2266" i="1"/>
  <c r="L2268" i="1"/>
  <c r="M2268" i="1"/>
  <c r="N2268" i="1"/>
  <c r="O2268" i="1"/>
  <c r="P2268" i="1"/>
  <c r="L2270" i="1"/>
  <c r="M2270" i="1"/>
  <c r="N2270" i="1"/>
  <c r="O2270" i="1"/>
  <c r="P2270" i="1"/>
  <c r="M2273" i="1"/>
  <c r="L2283" i="1"/>
  <c r="M2283" i="1"/>
  <c r="N2283" i="1"/>
  <c r="O2283" i="1"/>
  <c r="P2283" i="1"/>
  <c r="L2285" i="1"/>
  <c r="M2285" i="1"/>
  <c r="N2285" i="1"/>
  <c r="O2285" i="1"/>
  <c r="P2285" i="1"/>
  <c r="L2287" i="1"/>
  <c r="M2287" i="1"/>
  <c r="N2287" i="1"/>
  <c r="O2287" i="1"/>
  <c r="P2287" i="1"/>
  <c r="L2289" i="1"/>
  <c r="M2289" i="1"/>
  <c r="N2289" i="1"/>
  <c r="O2289" i="1"/>
  <c r="P2289" i="1"/>
  <c r="L2291" i="1"/>
  <c r="M2291" i="1"/>
  <c r="N2291" i="1"/>
  <c r="O2291" i="1"/>
  <c r="P2291" i="1"/>
  <c r="L2293" i="1"/>
  <c r="M2293" i="1"/>
  <c r="N2293" i="1"/>
  <c r="O2293" i="1"/>
  <c r="P2293" i="1"/>
  <c r="P2296" i="1"/>
  <c r="L2299" i="1"/>
  <c r="M2299" i="1"/>
  <c r="N2299" i="1"/>
  <c r="O2299" i="1"/>
  <c r="P2299" i="1"/>
  <c r="L2305" i="1"/>
  <c r="M2305" i="1"/>
  <c r="N2305" i="1"/>
  <c r="O2305" i="1"/>
  <c r="P2305" i="1"/>
  <c r="L2307" i="1"/>
  <c r="M2307" i="1"/>
  <c r="N2307" i="1"/>
  <c r="O2307" i="1"/>
  <c r="P2307" i="1"/>
  <c r="L2309" i="1"/>
  <c r="M2309" i="1"/>
  <c r="N2309" i="1"/>
  <c r="O2309" i="1"/>
  <c r="P2309" i="1"/>
  <c r="L2311" i="1"/>
  <c r="M2311" i="1"/>
  <c r="N2311" i="1"/>
  <c r="O2311" i="1"/>
  <c r="P2311" i="1"/>
  <c r="L2318" i="1"/>
  <c r="M2318" i="1"/>
  <c r="N2318" i="1"/>
  <c r="O2318" i="1"/>
  <c r="P2318" i="1"/>
  <c r="L2321" i="1"/>
  <c r="M2321" i="1"/>
  <c r="N2321" i="1"/>
  <c r="O2321" i="1"/>
  <c r="P2321" i="1"/>
  <c r="O47" i="1"/>
  <c r="Q114" i="1" l="1"/>
  <c r="F899" i="1"/>
  <c r="F902" i="1"/>
  <c r="M769" i="1"/>
  <c r="M861" i="1" s="1"/>
  <c r="P538" i="1"/>
  <c r="M2061" i="1"/>
  <c r="I104" i="1"/>
  <c r="G109" i="1"/>
  <c r="N2235" i="1"/>
  <c r="L1633" i="1"/>
  <c r="G100" i="1"/>
  <c r="I109" i="1"/>
  <c r="Q987" i="1"/>
  <c r="Q986" i="1" s="1"/>
  <c r="H100" i="1"/>
  <c r="P2276" i="1"/>
  <c r="L2235" i="1"/>
  <c r="G104" i="1"/>
  <c r="I100" i="1"/>
  <c r="G105" i="1"/>
  <c r="H109" i="1"/>
  <c r="Q587" i="1"/>
  <c r="Q586" i="1" s="1"/>
  <c r="H105" i="1"/>
  <c r="I105" i="1"/>
  <c r="G110" i="1"/>
  <c r="P1678" i="1"/>
  <c r="I99" i="1"/>
  <c r="Q977" i="1"/>
  <c r="Q1052" i="1"/>
  <c r="Q1049" i="1" s="1"/>
  <c r="Q1050" i="1" s="1"/>
  <c r="Q598" i="1"/>
  <c r="G101" i="1"/>
  <c r="I110" i="1"/>
  <c r="P2273" i="1"/>
  <c r="H103" i="1"/>
  <c r="H101" i="1"/>
  <c r="Q1866" i="1"/>
  <c r="Q700" i="1"/>
  <c r="I101" i="1"/>
  <c r="Q281" i="1"/>
  <c r="Q907" i="1"/>
  <c r="Q939" i="1" s="1"/>
  <c r="Q962" i="1" s="1"/>
  <c r="Q940" i="1"/>
  <c r="Q963" i="1" s="1"/>
  <c r="H99" i="1"/>
  <c r="H113" i="1"/>
  <c r="G102" i="1"/>
  <c r="H102" i="1"/>
  <c r="Q1038" i="1"/>
  <c r="Q1037" i="1" s="1"/>
  <c r="Q1122" i="1"/>
  <c r="H104" i="1"/>
  <c r="N2094" i="1"/>
  <c r="H107" i="1"/>
  <c r="N2296" i="1"/>
  <c r="O2273" i="1"/>
  <c r="Q1466" i="1"/>
  <c r="Q339" i="1"/>
  <c r="I106" i="1"/>
  <c r="Q1028" i="1"/>
  <c r="Q1133" i="1"/>
  <c r="L2102" i="1"/>
  <c r="G108" i="1"/>
  <c r="L2315" i="1"/>
  <c r="G99" i="1"/>
  <c r="L1291" i="1"/>
  <c r="O1281" i="1"/>
  <c r="Q1476" i="1"/>
  <c r="Q1460" i="1"/>
  <c r="Q1289" i="1"/>
  <c r="M1770" i="1"/>
  <c r="O1685" i="1"/>
  <c r="L1681" i="1"/>
  <c r="L1637" i="1"/>
  <c r="M1088" i="1"/>
  <c r="Q1886" i="1"/>
  <c r="Q1310" i="1"/>
  <c r="Q1266" i="1"/>
  <c r="Q1300" i="1"/>
  <c r="Q196" i="1"/>
  <c r="Q193" i="1" s="1"/>
  <c r="Q551" i="1"/>
  <c r="P1461" i="1"/>
  <c r="L1388" i="1"/>
  <c r="L1322" i="1"/>
  <c r="O1290" i="1"/>
  <c r="N900" i="1"/>
  <c r="L536" i="1"/>
  <c r="Q937" i="1"/>
  <c r="Q860" i="1"/>
  <c r="N1466" i="1"/>
  <c r="N1290" i="1"/>
  <c r="N1276" i="1"/>
  <c r="L1288" i="1"/>
  <c r="N1033" i="1"/>
  <c r="N1034" i="1" s="1"/>
  <c r="M605" i="1"/>
  <c r="P367" i="1"/>
  <c r="M184" i="1"/>
  <c r="Q1384" i="1"/>
  <c r="Q1287" i="1"/>
  <c r="Q900" i="1"/>
  <c r="L1815" i="1"/>
  <c r="L1632" i="1"/>
  <c r="M1471" i="1"/>
  <c r="O1387" i="1"/>
  <c r="P1377" i="1"/>
  <c r="O1322" i="1"/>
  <c r="L1295" i="1"/>
  <c r="M1290" i="1"/>
  <c r="M1152" i="1"/>
  <c r="O1265" i="1"/>
  <c r="L1075" i="1"/>
  <c r="N1127" i="1"/>
  <c r="L717" i="1"/>
  <c r="M676" i="1"/>
  <c r="L909" i="1"/>
  <c r="L941" i="1" s="1"/>
  <c r="L964" i="1" s="1"/>
  <c r="O219" i="1"/>
  <c r="Q1849" i="1"/>
  <c r="Q1843" i="1" s="1"/>
  <c r="Q1541" i="1"/>
  <c r="Q1464" i="1"/>
  <c r="Q1383" i="1"/>
  <c r="Q960" i="1"/>
  <c r="Q705" i="1"/>
  <c r="Q442" i="1"/>
  <c r="Q441" i="1" s="1"/>
  <c r="Q183" i="1"/>
  <c r="M1702" i="1"/>
  <c r="M1636" i="1"/>
  <c r="P1535" i="1"/>
  <c r="M1307" i="1"/>
  <c r="M708" i="1"/>
  <c r="P601" i="1"/>
  <c r="L530" i="1"/>
  <c r="Q2240" i="1"/>
  <c r="Q1180" i="1"/>
  <c r="Q959" i="1"/>
  <c r="Q676" i="1"/>
  <c r="Q662" i="1" s="1"/>
  <c r="Q579" i="1"/>
  <c r="Q443" i="1"/>
  <c r="Q184" i="1"/>
  <c r="P2102" i="1"/>
  <c r="M1793" i="1"/>
  <c r="P1465" i="1"/>
  <c r="N1377" i="1"/>
  <c r="O1308" i="1"/>
  <c r="P1275" i="1"/>
  <c r="N1266" i="1"/>
  <c r="P676" i="1"/>
  <c r="P662" i="1" s="1"/>
  <c r="O613" i="1"/>
  <c r="L599" i="1"/>
  <c r="O526" i="1"/>
  <c r="M579" i="1"/>
  <c r="O305" i="1"/>
  <c r="P334" i="1"/>
  <c r="P350" i="1" s="1"/>
  <c r="Q1811" i="1"/>
  <c r="Q1540" i="1"/>
  <c r="Q1534" i="1"/>
  <c r="Q1382" i="1"/>
  <c r="Q1285" i="1"/>
  <c r="Q636" i="1"/>
  <c r="M1830" i="1"/>
  <c r="P1786" i="1"/>
  <c r="P1688" i="1"/>
  <c r="L1636" i="1"/>
  <c r="L1589" i="1"/>
  <c r="N1382" i="1"/>
  <c r="O1327" i="1"/>
  <c r="P1112" i="1"/>
  <c r="N1052" i="1"/>
  <c r="N1049" i="1" s="1"/>
  <c r="M571" i="1"/>
  <c r="Q1635" i="1"/>
  <c r="Q1305" i="1"/>
  <c r="Q1284" i="1"/>
  <c r="Q1157" i="1"/>
  <c r="L1863" i="1"/>
  <c r="N1396" i="1"/>
  <c r="P1298" i="1"/>
  <c r="N1289" i="1"/>
  <c r="P1270" i="1"/>
  <c r="P1291" i="1"/>
  <c r="O1112" i="1"/>
  <c r="L522" i="1"/>
  <c r="Q1679" i="1"/>
  <c r="Q1586" i="1"/>
  <c r="Q1283" i="1"/>
  <c r="Q992" i="1"/>
  <c r="Q993" i="1" s="1"/>
  <c r="Q956" i="1"/>
  <c r="Q608" i="1"/>
  <c r="O1679" i="1"/>
  <c r="M1474" i="1"/>
  <c r="L1381" i="1"/>
  <c r="M1308" i="1"/>
  <c r="O1298" i="1"/>
  <c r="N104" i="1"/>
  <c r="Q631" i="1"/>
  <c r="Q624" i="1" s="1"/>
  <c r="Q271" i="1"/>
  <c r="Q260" i="1" s="1"/>
  <c r="M1465" i="1"/>
  <c r="O1037" i="1"/>
  <c r="O877" i="1"/>
  <c r="L730" i="1"/>
  <c r="Q2273" i="1"/>
  <c r="Q1379" i="1"/>
  <c r="Q1303" i="1"/>
  <c r="Q1279" i="1"/>
  <c r="Q531" i="1"/>
  <c r="M1588" i="1"/>
  <c r="O1534" i="1"/>
  <c r="N1391" i="1"/>
  <c r="M1072" i="1"/>
  <c r="M1098" i="1" s="1"/>
  <c r="M1093" i="1" s="1"/>
  <c r="O968" i="1"/>
  <c r="O500" i="1"/>
  <c r="N572" i="1"/>
  <c r="O109" i="1"/>
  <c r="L70" i="1"/>
  <c r="Q1702" i="1"/>
  <c r="Q1489" i="1"/>
  <c r="Q1280" i="1"/>
  <c r="Q1203" i="1"/>
  <c r="Q571" i="1"/>
  <c r="M1552" i="1"/>
  <c r="P1464" i="1"/>
  <c r="N1425" i="1"/>
  <c r="L1386" i="1"/>
  <c r="O1293" i="1"/>
  <c r="P1274" i="1"/>
  <c r="L366" i="1"/>
  <c r="L373" i="1" s="1"/>
  <c r="Q1537" i="1"/>
  <c r="Q921" i="1"/>
  <c r="Q920" i="1" s="1"/>
  <c r="N1544" i="1"/>
  <c r="N1474" i="1"/>
  <c r="M1376" i="1"/>
  <c r="N1312" i="1"/>
  <c r="O1120" i="1"/>
  <c r="P1111" i="1"/>
  <c r="L866" i="1"/>
  <c r="N860" i="1"/>
  <c r="M730" i="1"/>
  <c r="L695" i="1"/>
  <c r="P703" i="1"/>
  <c r="L641" i="1"/>
  <c r="M500" i="1"/>
  <c r="O525" i="1"/>
  <c r="Q2301" i="1"/>
  <c r="Q1803" i="1"/>
  <c r="Q1398" i="1"/>
  <c r="Q1377" i="1"/>
  <c r="Q1301" i="1"/>
  <c r="Q298" i="1"/>
  <c r="Q302" i="1" s="1"/>
  <c r="Q231" i="1"/>
  <c r="Q518" i="1"/>
  <c r="Q108" i="1"/>
  <c r="Q336" i="1" s="1"/>
  <c r="P1707" i="1"/>
  <c r="M1539" i="1"/>
  <c r="L1534" i="1"/>
  <c r="N1498" i="1"/>
  <c r="N1479" i="1"/>
  <c r="L1460" i="1"/>
  <c r="M1381" i="1"/>
  <c r="N1288" i="1"/>
  <c r="O866" i="1"/>
  <c r="O703" i="1"/>
  <c r="P288" i="1"/>
  <c r="Q2094" i="1"/>
  <c r="Q1770" i="1"/>
  <c r="Q803" i="1"/>
  <c r="Q187" i="1"/>
  <c r="Q186" i="1" s="1"/>
  <c r="M1592" i="1"/>
  <c r="P959" i="1"/>
  <c r="N598" i="1"/>
  <c r="Q1322" i="1"/>
  <c r="Q401" i="1"/>
  <c r="Q169" i="1"/>
  <c r="Q104" i="1"/>
  <c r="Q74" i="1"/>
  <c r="O1811" i="1"/>
  <c r="N1634" i="1"/>
  <c r="L1498" i="1"/>
  <c r="M1464" i="1"/>
  <c r="P1311" i="1"/>
  <c r="O1283" i="1"/>
  <c r="L1274" i="1"/>
  <c r="N968" i="1"/>
  <c r="O8" i="1"/>
  <c r="O1747" i="1" s="1"/>
  <c r="Q1396" i="1"/>
  <c r="Q1299" i="1"/>
  <c r="Q1293" i="1"/>
  <c r="Q974" i="1"/>
  <c r="Q917" i="1"/>
  <c r="Q661" i="1"/>
  <c r="Q294" i="1"/>
  <c r="M1766" i="1"/>
  <c r="L1587" i="1"/>
  <c r="L1469" i="1"/>
  <c r="M1385" i="1"/>
  <c r="N1297" i="1"/>
  <c r="L1279" i="1"/>
  <c r="N1122" i="1"/>
  <c r="L889" i="1"/>
  <c r="N876" i="1"/>
  <c r="P66" i="1"/>
  <c r="Q1467" i="1"/>
  <c r="Q1395" i="1"/>
  <c r="Q1380" i="1"/>
  <c r="Q464" i="1"/>
  <c r="Q102" i="1"/>
  <c r="P2077" i="1"/>
  <c r="L1766" i="1"/>
  <c r="M1752" i="1"/>
  <c r="P1638" i="1"/>
  <c r="M1599" i="1"/>
  <c r="O1591" i="1"/>
  <c r="P1586" i="1"/>
  <c r="P1394" i="1"/>
  <c r="L1385" i="1"/>
  <c r="N1311" i="1"/>
  <c r="M1302" i="1"/>
  <c r="O1093" i="1"/>
  <c r="M704" i="1"/>
  <c r="L215" i="1"/>
  <c r="Q591" i="1"/>
  <c r="Q292" i="1"/>
  <c r="Q101" i="1"/>
  <c r="Q329" i="1" s="1"/>
  <c r="Q345" i="1" s="1"/>
  <c r="Q70" i="1"/>
  <c r="M2053" i="1"/>
  <c r="P1682" i="1"/>
  <c r="O1586" i="1"/>
  <c r="M1538" i="1"/>
  <c r="O1473" i="1"/>
  <c r="O1468" i="1"/>
  <c r="M1380" i="1"/>
  <c r="L1302" i="1"/>
  <c r="N1292" i="1"/>
  <c r="N1287" i="1"/>
  <c r="N1280" i="1"/>
  <c r="P877" i="1"/>
  <c r="L876" i="1"/>
  <c r="O288" i="1"/>
  <c r="P554" i="1"/>
  <c r="Q1606" i="1"/>
  <c r="Q1588" i="1"/>
  <c r="Q1482" i="1"/>
  <c r="Q1307" i="1"/>
  <c r="L1869" i="1"/>
  <c r="N1844" i="1"/>
  <c r="N1843" i="1" s="1"/>
  <c r="P1686" i="1"/>
  <c r="O1508" i="1"/>
  <c r="L1503" i="1"/>
  <c r="L1497" i="1" s="1"/>
  <c r="L1297" i="1"/>
  <c r="O1278" i="1"/>
  <c r="L1269" i="1"/>
  <c r="N1124" i="1"/>
  <c r="O911" i="1"/>
  <c r="O943" i="1" s="1"/>
  <c r="O966" i="1" s="1"/>
  <c r="O880" i="1"/>
  <c r="O554" i="1"/>
  <c r="O148" i="1"/>
  <c r="Q2296" i="1"/>
  <c r="Q1863" i="1"/>
  <c r="Q1552" i="1"/>
  <c r="Q1481" i="1"/>
  <c r="Q1393" i="1"/>
  <c r="Q1378" i="1"/>
  <c r="Q1272" i="1"/>
  <c r="Q943" i="1"/>
  <c r="Q966" i="1" s="1"/>
  <c r="Q288" i="1"/>
  <c r="Q576" i="1"/>
  <c r="P2084" i="1"/>
  <c r="P2053" i="1"/>
  <c r="O2024" i="1"/>
  <c r="M1844" i="1"/>
  <c r="P1825" i="1"/>
  <c r="P1824" i="1" s="1"/>
  <c r="L1678" i="1"/>
  <c r="M1591" i="1"/>
  <c r="P1542" i="1"/>
  <c r="M1496" i="1"/>
  <c r="M1478" i="1"/>
  <c r="M1473" i="1"/>
  <c r="O1389" i="1"/>
  <c r="L1292" i="1"/>
  <c r="M1124" i="1"/>
  <c r="P994" i="1"/>
  <c r="P1004" i="1" s="1"/>
  <c r="P1001" i="1" s="1"/>
  <c r="L961" i="1"/>
  <c r="M531" i="1"/>
  <c r="O524" i="1"/>
  <c r="L524" i="1"/>
  <c r="Q2061" i="1"/>
  <c r="Q1793" i="1"/>
  <c r="Q1294" i="1"/>
  <c r="Q1273" i="1"/>
  <c r="Q1072" i="1"/>
  <c r="Q695" i="1"/>
  <c r="Q658" i="1"/>
  <c r="Q217" i="1"/>
  <c r="Q66" i="1"/>
  <c r="L1844" i="1"/>
  <c r="N1692" i="1"/>
  <c r="M1638" i="1"/>
  <c r="N1633" i="1"/>
  <c r="O1537" i="1"/>
  <c r="P1482" i="1"/>
  <c r="L1478" i="1"/>
  <c r="L1473" i="1"/>
  <c r="L1468" i="1"/>
  <c r="L1472" i="1"/>
  <c r="M1463" i="1"/>
  <c r="O1379" i="1"/>
  <c r="L1287" i="1"/>
  <c r="N1133" i="1"/>
  <c r="P974" i="1"/>
  <c r="O819" i="1"/>
  <c r="O657" i="1"/>
  <c r="N188" i="1"/>
  <c r="O58" i="1"/>
  <c r="O57" i="1" s="1"/>
  <c r="Q1645" i="1"/>
  <c r="Q1114" i="1"/>
  <c r="Q832" i="1"/>
  <c r="Q161" i="1"/>
  <c r="N2053" i="1"/>
  <c r="N1825" i="1"/>
  <c r="L1591" i="1"/>
  <c r="M1586" i="1"/>
  <c r="N1542" i="1"/>
  <c r="P1467" i="1"/>
  <c r="P1471" i="1"/>
  <c r="L1394" i="1"/>
  <c r="L1306" i="1"/>
  <c r="M1301" i="1"/>
  <c r="N1282" i="1"/>
  <c r="L1278" i="1"/>
  <c r="N1313" i="1"/>
  <c r="O1299" i="1"/>
  <c r="P1279" i="1"/>
  <c r="M1101" i="1"/>
  <c r="M920" i="1"/>
  <c r="P956" i="1"/>
  <c r="L801" i="1"/>
  <c r="O862" i="1"/>
  <c r="N146" i="1"/>
  <c r="Q1599" i="1"/>
  <c r="N2273" i="1"/>
  <c r="O2077" i="1"/>
  <c r="O1815" i="1"/>
  <c r="L1682" i="1"/>
  <c r="L1586" i="1"/>
  <c r="M1542" i="1"/>
  <c r="M1536" i="1"/>
  <c r="N1482" i="1"/>
  <c r="O1472" i="1"/>
  <c r="O1398" i="1"/>
  <c r="N1387" i="1"/>
  <c r="P1305" i="1"/>
  <c r="O1291" i="1"/>
  <c r="M1282" i="1"/>
  <c r="L1294" i="1"/>
  <c r="P1132" i="1"/>
  <c r="P844" i="1"/>
  <c r="M819" i="1"/>
  <c r="N800" i="1"/>
  <c r="L713" i="1"/>
  <c r="O614" i="1"/>
  <c r="O1570" i="1" s="1"/>
  <c r="P587" i="1"/>
  <c r="P586" i="1" s="1"/>
  <c r="N551" i="1"/>
  <c r="M75" i="1"/>
  <c r="M74" i="1" s="1"/>
  <c r="Q2057" i="1"/>
  <c r="Q2050" i="1" s="1"/>
  <c r="Q1825" i="1"/>
  <c r="Q1463" i="1"/>
  <c r="Q1292" i="1"/>
  <c r="Q1271" i="1"/>
  <c r="Q1113" i="1"/>
  <c r="O2106" i="1"/>
  <c r="P1702" i="1"/>
  <c r="L1692" i="1"/>
  <c r="P1681" i="1"/>
  <c r="O1590" i="1"/>
  <c r="L1547" i="1"/>
  <c r="L1542" i="1"/>
  <c r="M1537" i="1"/>
  <c r="L1536" i="1"/>
  <c r="N1472" i="1"/>
  <c r="N1398" i="1"/>
  <c r="O1393" i="1"/>
  <c r="L1389" i="1"/>
  <c r="O1305" i="1"/>
  <c r="P1300" i="1"/>
  <c r="O1277" i="1"/>
  <c r="L1099" i="1"/>
  <c r="N909" i="1"/>
  <c r="N941" i="1" s="1"/>
  <c r="N964" i="1" s="1"/>
  <c r="O826" i="1"/>
  <c r="M732" i="1"/>
  <c r="N680" i="1"/>
  <c r="N614" i="1"/>
  <c r="N530" i="1"/>
  <c r="O569" i="1"/>
  <c r="Q1815" i="1"/>
  <c r="Q1759" i="1" s="1"/>
  <c r="Q1462" i="1"/>
  <c r="Q864" i="1"/>
  <c r="Q555" i="1"/>
  <c r="M2296" i="1"/>
  <c r="M1815" i="1"/>
  <c r="O1762" i="1"/>
  <c r="O1702" i="1"/>
  <c r="P1632" i="1"/>
  <c r="N1590" i="1"/>
  <c r="L1537" i="1"/>
  <c r="N1477" i="1"/>
  <c r="M1398" i="1"/>
  <c r="L1310" i="1"/>
  <c r="N1286" i="1"/>
  <c r="L1268" i="1"/>
  <c r="L1109" i="1"/>
  <c r="P876" i="1"/>
  <c r="L732" i="1"/>
  <c r="O708" i="1"/>
  <c r="N548" i="1"/>
  <c r="L279" i="1"/>
  <c r="O1045" i="1"/>
  <c r="O1043" i="1" s="1"/>
  <c r="M271" i="1"/>
  <c r="M260" i="1" s="1"/>
  <c r="P36" i="1"/>
  <c r="Q1687" i="1"/>
  <c r="Q1641" i="1"/>
  <c r="Q1640" i="1" s="1"/>
  <c r="Q1461" i="1"/>
  <c r="Q1389" i="1"/>
  <c r="Q1392" i="1"/>
  <c r="Q1313" i="1"/>
  <c r="Q1269" i="1"/>
  <c r="Q1302" i="1"/>
  <c r="Q1111" i="1"/>
  <c r="Q452" i="1"/>
  <c r="Q451" i="1" s="1"/>
  <c r="Q112" i="1"/>
  <c r="Q340" i="1" s="1"/>
  <c r="O1770" i="1"/>
  <c r="N1637" i="1"/>
  <c r="P1536" i="1"/>
  <c r="L1398" i="1"/>
  <c r="P1383" i="1"/>
  <c r="M1305" i="1"/>
  <c r="O1300" i="1"/>
  <c r="M1286" i="1"/>
  <c r="P1281" i="1"/>
  <c r="P1267" i="1"/>
  <c r="P1283" i="1"/>
  <c r="M1275" i="1"/>
  <c r="L1046" i="1"/>
  <c r="N708" i="1"/>
  <c r="L577" i="1"/>
  <c r="M371" i="1"/>
  <c r="M280" i="1"/>
  <c r="M279" i="1" s="1"/>
  <c r="P563" i="1"/>
  <c r="L271" i="1"/>
  <c r="L260" i="1" s="1"/>
  <c r="N12" i="1"/>
  <c r="N1751" i="1" s="1"/>
  <c r="Q1686" i="1"/>
  <c r="Q1592" i="1"/>
  <c r="Q1477" i="1"/>
  <c r="Q1388" i="1"/>
  <c r="Q1014" i="1"/>
  <c r="Q1011" i="1" s="1"/>
  <c r="Q771" i="1"/>
  <c r="Q768" i="1" s="1"/>
  <c r="Q1400" i="1"/>
  <c r="Q1152" i="1"/>
  <c r="Q732" i="1"/>
  <c r="Q605" i="1"/>
  <c r="Q604" i="1" s="1"/>
  <c r="Q612" i="1"/>
  <c r="Q99" i="1"/>
  <c r="Q327" i="1" s="1"/>
  <c r="Q343" i="1" s="1"/>
  <c r="Q1620" i="1"/>
  <c r="Q717" i="1"/>
  <c r="Q601" i="1"/>
  <c r="Q613" i="1"/>
  <c r="Q1722" i="1"/>
  <c r="Q35" i="1"/>
  <c r="Q1725" i="1" s="1"/>
  <c r="Q1869" i="1"/>
  <c r="Q1536" i="1"/>
  <c r="Q1105" i="1"/>
  <c r="Q1135" i="1"/>
  <c r="Q730" i="1"/>
  <c r="Q715" i="1"/>
  <c r="Q1903" i="1"/>
  <c r="Q1535" i="1"/>
  <c r="Q1351" i="1"/>
  <c r="Q1277" i="1"/>
  <c r="Q1033" i="1"/>
  <c r="Q1034" i="1" s="1"/>
  <c r="Q1276" i="1"/>
  <c r="Q710" i="1"/>
  <c r="Q713" i="1"/>
  <c r="Q2279" i="1"/>
  <c r="Q2223" i="1"/>
  <c r="Q1298" i="1"/>
  <c r="Q1274" i="1"/>
  <c r="Q969" i="1"/>
  <c r="Q915" i="1"/>
  <c r="Q651" i="1"/>
  <c r="Q594" i="1"/>
  <c r="Q1559" i="1"/>
  <c r="Q1589" i="1"/>
  <c r="Q1518" i="1"/>
  <c r="Q1397" i="1"/>
  <c r="Q1341" i="1"/>
  <c r="Q1297" i="1"/>
  <c r="Q1275" i="1"/>
  <c r="Q1026" i="1"/>
  <c r="Q1120" i="1"/>
  <c r="Q2002" i="1"/>
  <c r="Q1830" i="1"/>
  <c r="Q1296" i="1"/>
  <c r="Q1132" i="1"/>
  <c r="Q1023" i="1"/>
  <c r="Q23" i="1"/>
  <c r="Q1715" i="1"/>
  <c r="Q1978" i="1"/>
  <c r="Q1712" i="1"/>
  <c r="Q2259" i="1"/>
  <c r="Q1480" i="1"/>
  <c r="Q781" i="1"/>
  <c r="Q865" i="1" s="1"/>
  <c r="Q784" i="1"/>
  <c r="Q657" i="1"/>
  <c r="Q646" i="1"/>
  <c r="Q211" i="1"/>
  <c r="Q210" i="1" s="1"/>
  <c r="Q214" i="1"/>
  <c r="Q213" i="1" s="1"/>
  <c r="Q1391" i="1"/>
  <c r="Q1316" i="1"/>
  <c r="Q1376" i="1"/>
  <c r="Q656" i="1"/>
  <c r="Q2254" i="1"/>
  <c r="Q1891" i="1"/>
  <c r="Q1885" i="1" s="1"/>
  <c r="Q1547" i="1"/>
  <c r="Q1508" i="1"/>
  <c r="Q1411" i="1"/>
  <c r="Q1005" i="1"/>
  <c r="Q1002" i="1" s="1"/>
  <c r="Q800" i="1"/>
  <c r="Q438" i="1"/>
  <c r="Q564" i="1"/>
  <c r="Q2022" i="1"/>
  <c r="Q1954" i="1"/>
  <c r="Q1545" i="1"/>
  <c r="Q1478" i="1"/>
  <c r="Q1291" i="1"/>
  <c r="Q1270" i="1"/>
  <c r="Q1112" i="1"/>
  <c r="Q655" i="1"/>
  <c r="Q1631" i="1"/>
  <c r="Q1594" i="1"/>
  <c r="Q1544" i="1"/>
  <c r="Q1290" i="1"/>
  <c r="Q1004" i="1"/>
  <c r="Q997" i="1"/>
  <c r="Q554" i="1"/>
  <c r="Q1639" i="1"/>
  <c r="Q1312" i="1"/>
  <c r="Q1268" i="1"/>
  <c r="Q1110" i="1"/>
  <c r="Q599" i="1"/>
  <c r="Q197" i="1"/>
  <c r="Q201" i="1"/>
  <c r="Q358" i="1"/>
  <c r="Q58" i="1"/>
  <c r="Q12" i="1"/>
  <c r="Q1751" i="1" s="1"/>
  <c r="Q1752" i="1"/>
  <c r="Q2213" i="1"/>
  <c r="Q2114" i="1"/>
  <c r="Q2024" i="1"/>
  <c r="Q1685" i="1"/>
  <c r="Q1543" i="1"/>
  <c r="Q1387" i="1"/>
  <c r="Q1311" i="1"/>
  <c r="Q1109" i="1"/>
  <c r="Q1007" i="1"/>
  <c r="Q967" i="1"/>
  <c r="Q769" i="1"/>
  <c r="Q861" i="1" s="1"/>
  <c r="Q660" i="1"/>
  <c r="Q641" i="1"/>
  <c r="Q634" i="1" s="1"/>
  <c r="Q1386" i="1"/>
  <c r="Q1265" i="1"/>
  <c r="Q1137" i="1"/>
  <c r="Q367" i="1"/>
  <c r="Q2189" i="1"/>
  <c r="Q1542" i="1"/>
  <c r="Q1503" i="1"/>
  <c r="Q1385" i="1"/>
  <c r="Q1309" i="1"/>
  <c r="Q1213" i="1"/>
  <c r="Q923" i="1"/>
  <c r="Q366" i="1"/>
  <c r="Q1406" i="1"/>
  <c r="Q1465" i="1"/>
  <c r="Q817" i="1"/>
  <c r="Q859" i="1"/>
  <c r="Q699" i="1"/>
  <c r="Q680" i="1"/>
  <c r="Q679" i="1" s="1"/>
  <c r="Q440" i="1"/>
  <c r="Q1681" i="1"/>
  <c r="Q51" i="1"/>
  <c r="Q2315" i="1"/>
  <c r="Q2313" i="1"/>
  <c r="Q2276" i="1"/>
  <c r="Q1498" i="1"/>
  <c r="Q1533" i="1"/>
  <c r="Q693" i="1"/>
  <c r="Q1734" i="1"/>
  <c r="Q47" i="1"/>
  <c r="Q46" i="1" s="1"/>
  <c r="Q145" i="1"/>
  <c r="Q137" i="1"/>
  <c r="Q2235" i="1"/>
  <c r="Q2234" i="1" s="1"/>
  <c r="Q1678" i="1"/>
  <c r="Q1282" i="1"/>
  <c r="Q927" i="1"/>
  <c r="Q955" i="1"/>
  <c r="Q701" i="1"/>
  <c r="Q42" i="1"/>
  <c r="Q2012" i="1"/>
  <c r="Q1425" i="1"/>
  <c r="Q1327" i="1"/>
  <c r="Q2165" i="1"/>
  <c r="Q1538" i="1"/>
  <c r="Q1281" i="1"/>
  <c r="Q879" i="1"/>
  <c r="Q810" i="1"/>
  <c r="Q795" i="1"/>
  <c r="Q264" i="1"/>
  <c r="Q253" i="1" s="1"/>
  <c r="Q3" i="1"/>
  <c r="Q1743" i="1"/>
  <c r="Q671" i="1"/>
  <c r="Q537" i="1"/>
  <c r="Q549" i="1"/>
  <c r="Q894" i="1"/>
  <c r="Q303" i="1"/>
  <c r="Q219" i="1"/>
  <c r="Q110" i="1"/>
  <c r="Q82" i="1"/>
  <c r="Q63" i="1" s="1"/>
  <c r="Q36" i="1"/>
  <c r="Q1664" i="1" s="1"/>
  <c r="Q1045" i="1"/>
  <c r="Q1043" i="1" s="1"/>
  <c r="Q1096" i="1" s="1"/>
  <c r="Q1636" i="1"/>
  <c r="Q891" i="1"/>
  <c r="Q888" i="1" s="1"/>
  <c r="Q1496" i="1"/>
  <c r="Q863" i="1"/>
  <c r="Q565" i="1"/>
  <c r="Q270" i="1"/>
  <c r="Q259" i="1" s="1"/>
  <c r="Q1573" i="1"/>
  <c r="Q1469" i="1"/>
  <c r="Q1435" i="1"/>
  <c r="Q529" i="1"/>
  <c r="Q356" i="1"/>
  <c r="Q501" i="1" s="1"/>
  <c r="Q490" i="1" s="1"/>
  <c r="Q268" i="1"/>
  <c r="Q257" i="1" s="1"/>
  <c r="Q355" i="1"/>
  <c r="Q267" i="1"/>
  <c r="Q256" i="1" s="1"/>
  <c r="Q1749" i="1"/>
  <c r="Q1126" i="1"/>
  <c r="Q1127" i="1"/>
  <c r="Q1062" i="1"/>
  <c r="Q239" i="1"/>
  <c r="Q272" i="1"/>
  <c r="Q261" i="1" s="1"/>
  <c r="Q1125" i="1"/>
  <c r="Q1060" i="1"/>
  <c r="Q933" i="1"/>
  <c r="Q523" i="1"/>
  <c r="Q151" i="1"/>
  <c r="Q1124" i="1"/>
  <c r="Q1057" i="1"/>
  <c r="Q234" i="1"/>
  <c r="Q150" i="1"/>
  <c r="Q881" i="1"/>
  <c r="Q704" i="1"/>
  <c r="Q149" i="1"/>
  <c r="Q107" i="1"/>
  <c r="Q335" i="1" s="1"/>
  <c r="Q351" i="1" s="1"/>
  <c r="Q496" i="1" s="1"/>
  <c r="Q798" i="1"/>
  <c r="Q703" i="1"/>
  <c r="Q148" i="1"/>
  <c r="Q797" i="1"/>
  <c r="Q702" i="1"/>
  <c r="Q202" i="1"/>
  <c r="Q205" i="1" s="1"/>
  <c r="Q878" i="1"/>
  <c r="Q796" i="1"/>
  <c r="Q146" i="1"/>
  <c r="Q545" i="1"/>
  <c r="Q173" i="1"/>
  <c r="Q544" i="1"/>
  <c r="Q331" i="1"/>
  <c r="Q578" i="1"/>
  <c r="Q543" i="1"/>
  <c r="Q1077" i="1"/>
  <c r="Q577" i="1"/>
  <c r="Q542" i="1"/>
  <c r="Q765" i="1"/>
  <c r="Q858" i="1" s="1"/>
  <c r="Q694" i="1"/>
  <c r="Q691" i="1" s="1"/>
  <c r="Q541" i="1"/>
  <c r="O46" i="1"/>
  <c r="O1735" i="1" s="1"/>
  <c r="O1736" i="1"/>
  <c r="N47" i="1"/>
  <c r="N46" i="1" s="1"/>
  <c r="N1735" i="1" s="1"/>
  <c r="H108" i="1"/>
  <c r="N34" i="1"/>
  <c r="N36" i="1"/>
  <c r="L34" i="1"/>
  <c r="O36" i="1"/>
  <c r="O40" i="1" s="1"/>
  <c r="G107" i="1"/>
  <c r="I108" i="1"/>
  <c r="G103" i="1"/>
  <c r="O2259" i="1"/>
  <c r="N2279" i="1"/>
  <c r="P2061" i="1"/>
  <c r="P1508" i="1"/>
  <c r="M2279" i="1"/>
  <c r="N2077" i="1"/>
  <c r="L2279" i="1"/>
  <c r="O2053" i="1"/>
  <c r="P1272" i="1"/>
  <c r="M2315" i="1"/>
  <c r="P1590" i="1"/>
  <c r="N1296" i="1"/>
  <c r="M1310" i="1"/>
  <c r="P2235" i="1"/>
  <c r="P1388" i="1"/>
  <c r="P2240" i="1"/>
  <c r="P2234" i="1" s="1"/>
  <c r="O2235" i="1"/>
  <c r="O2234" i="1" s="1"/>
  <c r="M2235" i="1"/>
  <c r="M2234" i="1" s="1"/>
  <c r="M2213" i="1"/>
  <c r="P2254" i="1"/>
  <c r="L2276" i="1"/>
  <c r="P1470" i="1"/>
  <c r="L1382" i="1"/>
  <c r="P2315" i="1"/>
  <c r="P1639" i="1"/>
  <c r="M1518" i="1"/>
  <c r="M1534" i="1"/>
  <c r="L1786" i="1"/>
  <c r="M1680" i="1"/>
  <c r="N1606" i="1"/>
  <c r="O1594" i="1"/>
  <c r="O1385" i="1"/>
  <c r="O1381" i="1"/>
  <c r="O1109" i="1"/>
  <c r="P2094" i="1"/>
  <c r="M2057" i="1"/>
  <c r="L1803" i="1"/>
  <c r="O1639" i="1"/>
  <c r="M1635" i="1"/>
  <c r="L1552" i="1"/>
  <c r="P1541" i="1"/>
  <c r="N1537" i="1"/>
  <c r="M1480" i="1"/>
  <c r="N1381" i="1"/>
  <c r="O1306" i="1"/>
  <c r="O1302" i="1"/>
  <c r="M1298" i="1"/>
  <c r="L1290" i="1"/>
  <c r="M1203" i="1"/>
  <c r="N1057" i="1"/>
  <c r="M927" i="1"/>
  <c r="M955" i="1"/>
  <c r="O660" i="1"/>
  <c r="O651" i="1"/>
  <c r="O113" i="1"/>
  <c r="N8" i="1"/>
  <c r="N1747" i="1" s="1"/>
  <c r="N1811" i="1"/>
  <c r="O1692" i="1"/>
  <c r="M1594" i="1"/>
  <c r="O1541" i="1"/>
  <c r="N1534" i="1"/>
  <c r="L1480" i="1"/>
  <c r="O1466" i="1"/>
  <c r="O1376" i="1"/>
  <c r="P1378" i="1"/>
  <c r="P1289" i="1"/>
  <c r="P1268" i="1"/>
  <c r="L1125" i="1"/>
  <c r="L1086" i="1"/>
  <c r="M1057" i="1"/>
  <c r="M1123" i="1"/>
  <c r="L927" i="1"/>
  <c r="L955" i="1"/>
  <c r="O587" i="1"/>
  <c r="O586" i="1" s="1"/>
  <c r="P268" i="1"/>
  <c r="P257" i="1" s="1"/>
  <c r="N211" i="1"/>
  <c r="N214" i="1"/>
  <c r="N213" i="1" s="1"/>
  <c r="P2057" i="1"/>
  <c r="O1863" i="1"/>
  <c r="O1862" i="1" s="1"/>
  <c r="M1811" i="1"/>
  <c r="O1687" i="1"/>
  <c r="P1679" i="1"/>
  <c r="N1639" i="1"/>
  <c r="P1634" i="1"/>
  <c r="L1606" i="1"/>
  <c r="N1306" i="1"/>
  <c r="O1289" i="1"/>
  <c r="P1301" i="1"/>
  <c r="L1057" i="1"/>
  <c r="L1123" i="1"/>
  <c r="P992" i="1"/>
  <c r="O974" i="1"/>
  <c r="O1110" i="1"/>
  <c r="P449" i="1"/>
  <c r="P452" i="1"/>
  <c r="P451" i="1" s="1"/>
  <c r="L1811" i="1"/>
  <c r="O1766" i="1"/>
  <c r="N1687" i="1"/>
  <c r="M1639" i="1"/>
  <c r="O1634" i="1"/>
  <c r="P1594" i="1"/>
  <c r="O1394" i="1"/>
  <c r="M1281" i="1"/>
  <c r="P1276" i="1"/>
  <c r="N1268" i="1"/>
  <c r="P1152" i="1"/>
  <c r="P1113" i="1"/>
  <c r="M701" i="1"/>
  <c r="L660" i="1"/>
  <c r="L651" i="1"/>
  <c r="N2057" i="1"/>
  <c r="O1891" i="1"/>
  <c r="M1803" i="1"/>
  <c r="N1766" i="1"/>
  <c r="L1639" i="1"/>
  <c r="M1541" i="1"/>
  <c r="P1498" i="1"/>
  <c r="L1475" i="1"/>
  <c r="M1462" i="1"/>
  <c r="O1464" i="1"/>
  <c r="P1389" i="1"/>
  <c r="O1380" i="1"/>
  <c r="M1382" i="1"/>
  <c r="M1306" i="1"/>
  <c r="N1113" i="1"/>
  <c r="O1057" i="1"/>
  <c r="N959" i="1"/>
  <c r="N655" i="1"/>
  <c r="M626" i="1"/>
  <c r="O564" i="1"/>
  <c r="N564" i="1"/>
  <c r="M2102" i="1"/>
  <c r="M2024" i="1"/>
  <c r="N1869" i="1"/>
  <c r="O1498" i="1"/>
  <c r="P1474" i="1"/>
  <c r="L1462" i="1"/>
  <c r="M1394" i="1"/>
  <c r="P1384" i="1"/>
  <c r="P1327" i="1"/>
  <c r="L1281" i="1"/>
  <c r="N1152" i="1"/>
  <c r="L1113" i="1"/>
  <c r="O859" i="1"/>
  <c r="O817" i="1"/>
  <c r="M42" i="1"/>
  <c r="M41" i="1" s="1"/>
  <c r="M1730" i="1" s="1"/>
  <c r="L2057" i="1"/>
  <c r="P1886" i="1"/>
  <c r="P1803" i="1"/>
  <c r="M1679" i="1"/>
  <c r="M1590" i="1"/>
  <c r="N1470" i="1"/>
  <c r="O1411" i="1"/>
  <c r="P1309" i="1"/>
  <c r="M1309" i="1"/>
  <c r="L2077" i="1"/>
  <c r="O1886" i="1"/>
  <c r="O1803" i="1"/>
  <c r="N1638" i="1"/>
  <c r="N1503" i="1"/>
  <c r="P1393" i="1"/>
  <c r="N1384" i="1"/>
  <c r="M1276" i="1"/>
  <c r="L1152" i="1"/>
  <c r="N1849" i="1"/>
  <c r="L1825" i="1"/>
  <c r="L1824" i="1" s="1"/>
  <c r="N1803" i="1"/>
  <c r="P1692" i="1"/>
  <c r="P1559" i="1"/>
  <c r="L1479" i="1"/>
  <c r="N1468" i="1"/>
  <c r="N1309" i="1"/>
  <c r="N1305" i="1"/>
  <c r="L1276" i="1"/>
  <c r="M1277" i="1"/>
  <c r="L1157" i="1"/>
  <c r="P967" i="1"/>
  <c r="M700" i="1"/>
  <c r="M231" i="1"/>
  <c r="M581" i="1"/>
  <c r="N358" i="1"/>
  <c r="N150" i="1"/>
  <c r="L2061" i="1"/>
  <c r="M1849" i="1"/>
  <c r="P1815" i="1"/>
  <c r="P1599" i="1"/>
  <c r="N1585" i="1"/>
  <c r="M1400" i="1"/>
  <c r="P1313" i="1"/>
  <c r="O1288" i="1"/>
  <c r="M334" i="1"/>
  <c r="M350" i="1" s="1"/>
  <c r="M495" i="1" s="1"/>
  <c r="M484" i="1" s="1"/>
  <c r="O522" i="1"/>
  <c r="O64" i="1"/>
  <c r="P2106" i="1"/>
  <c r="L1886" i="1"/>
  <c r="L1849" i="1"/>
  <c r="L1843" i="1" s="1"/>
  <c r="L1823" i="1" s="1"/>
  <c r="O1682" i="1"/>
  <c r="L1638" i="1"/>
  <c r="N1545" i="1"/>
  <c r="M1540" i="1"/>
  <c r="N1465" i="1"/>
  <c r="L1400" i="1"/>
  <c r="M1110" i="1"/>
  <c r="M1033" i="1"/>
  <c r="M1034" i="1" s="1"/>
  <c r="P866" i="1"/>
  <c r="M723" i="1"/>
  <c r="O543" i="1"/>
  <c r="O272" i="1"/>
  <c r="O261" i="1" s="1"/>
  <c r="L2301" i="1"/>
  <c r="M2077" i="1"/>
  <c r="O2061" i="1"/>
  <c r="N1770" i="1"/>
  <c r="M1692" i="1"/>
  <c r="N1686" i="1"/>
  <c r="O1678" i="1"/>
  <c r="O1686" i="1"/>
  <c r="N1599" i="1"/>
  <c r="O1589" i="1"/>
  <c r="L1585" i="1"/>
  <c r="M1545" i="1"/>
  <c r="L1508" i="1"/>
  <c r="O1478" i="1"/>
  <c r="O1469" i="1"/>
  <c r="O1388" i="1"/>
  <c r="N1379" i="1"/>
  <c r="L1309" i="1"/>
  <c r="O1292" i="1"/>
  <c r="O1275" i="1"/>
  <c r="P1109" i="1"/>
  <c r="P923" i="1"/>
  <c r="M657" i="1"/>
  <c r="P1043" i="1"/>
  <c r="P1069" i="1" s="1"/>
  <c r="N111" i="1"/>
  <c r="N339" i="1" s="1"/>
  <c r="N355" i="1" s="1"/>
  <c r="N500" i="1"/>
  <c r="P2279" i="1"/>
  <c r="M2276" i="1"/>
  <c r="N2106" i="1"/>
  <c r="P1710" i="1"/>
  <c r="N1702" i="1"/>
  <c r="O1633" i="1"/>
  <c r="N1589" i="1"/>
  <c r="M1559" i="1"/>
  <c r="O1482" i="1"/>
  <c r="N1478" i="1"/>
  <c r="M1377" i="1"/>
  <c r="P1304" i="1"/>
  <c r="P1296" i="1"/>
  <c r="L1271" i="1"/>
  <c r="M1109" i="1"/>
  <c r="N1062" i="1"/>
  <c r="O658" i="1"/>
  <c r="N641" i="1"/>
  <c r="M909" i="1"/>
  <c r="M941" i="1" s="1"/>
  <c r="M964" i="1" s="1"/>
  <c r="N1815" i="1"/>
  <c r="M1686" i="1"/>
  <c r="M1682" i="1"/>
  <c r="N1469" i="1"/>
  <c r="M1388" i="1"/>
  <c r="O1296" i="1"/>
  <c r="P1287" i="1"/>
  <c r="M1266" i="1"/>
  <c r="L967" i="1"/>
  <c r="L2106" i="1"/>
  <c r="L1686" i="1"/>
  <c r="O1535" i="1"/>
  <c r="M1469" i="1"/>
  <c r="N389" i="1"/>
  <c r="O573" i="1"/>
  <c r="L568" i="1"/>
  <c r="L266" i="1"/>
  <c r="L255" i="1" s="1"/>
  <c r="N1830" i="1"/>
  <c r="M1678" i="1"/>
  <c r="P1641" i="1"/>
  <c r="P1640" i="1" s="1"/>
  <c r="M1482" i="1"/>
  <c r="L1397" i="1"/>
  <c r="P1392" i="1"/>
  <c r="N1279" i="1"/>
  <c r="M1295" i="1"/>
  <c r="O1033" i="1"/>
  <c r="O1034" i="1" s="1"/>
  <c r="M908" i="1"/>
  <c r="M910" i="1"/>
  <c r="M942" i="1" s="1"/>
  <c r="M965" i="1" s="1"/>
  <c r="N672" i="1"/>
  <c r="M1891" i="1"/>
  <c r="M1885" i="1" s="1"/>
  <c r="O1793" i="1"/>
  <c r="M1786" i="1"/>
  <c r="O1707" i="1"/>
  <c r="P1477" i="1"/>
  <c r="P1468" i="1"/>
  <c r="L1463" i="1"/>
  <c r="P1396" i="1"/>
  <c r="P1387" i="1"/>
  <c r="M1296" i="1"/>
  <c r="O1270" i="1"/>
  <c r="P1137" i="1"/>
  <c r="P1060" i="1"/>
  <c r="O937" i="1"/>
  <c r="L943" i="1"/>
  <c r="L966" i="1" s="1"/>
  <c r="N656" i="1"/>
  <c r="N2061" i="1"/>
  <c r="O1688" i="1"/>
  <c r="O1641" i="1"/>
  <c r="O1640" i="1" s="1"/>
  <c r="P1539" i="1"/>
  <c r="L1496" i="1"/>
  <c r="O1477" i="1"/>
  <c r="P1400" i="1"/>
  <c r="M1287" i="1"/>
  <c r="O1111" i="1"/>
  <c r="O1060" i="1"/>
  <c r="N1050" i="1"/>
  <c r="O732" i="1"/>
  <c r="O265" i="1"/>
  <c r="O254" i="1" s="1"/>
  <c r="O536" i="1"/>
  <c r="O796" i="1"/>
  <c r="M2106" i="1"/>
  <c r="N2084" i="1"/>
  <c r="P1866" i="1"/>
  <c r="L1770" i="1"/>
  <c r="N1688" i="1"/>
  <c r="N1685" i="1"/>
  <c r="P1636" i="1"/>
  <c r="O1632" i="1"/>
  <c r="N1588" i="1"/>
  <c r="P1543" i="1"/>
  <c r="P1534" i="1"/>
  <c r="N1378" i="1"/>
  <c r="N1291" i="1"/>
  <c r="L1266" i="1"/>
  <c r="N1111" i="1"/>
  <c r="N1060" i="1"/>
  <c r="O1052" i="1"/>
  <c r="O1049" i="1" s="1"/>
  <c r="O1050" i="1" s="1"/>
  <c r="M863" i="1"/>
  <c r="M771" i="1"/>
  <c r="M768" i="1" s="1"/>
  <c r="M763" i="1" s="1"/>
  <c r="M775" i="1"/>
  <c r="M770" i="1" s="1"/>
  <c r="M862" i="1" s="1"/>
  <c r="N662" i="1"/>
  <c r="O591" i="1"/>
  <c r="O590" i="1" s="1"/>
  <c r="N579" i="1"/>
  <c r="P173" i="1"/>
  <c r="M173" i="1"/>
  <c r="M567" i="1"/>
  <c r="O1866" i="1"/>
  <c r="M1641" i="1"/>
  <c r="N1547" i="1"/>
  <c r="P1282" i="1"/>
  <c r="N1079" i="1"/>
  <c r="N1105" i="1"/>
  <c r="L2084" i="1"/>
  <c r="N1866" i="1"/>
  <c r="N1862" i="1" s="1"/>
  <c r="N1793" i="1"/>
  <c r="P1793" i="1"/>
  <c r="N1786" i="1"/>
  <c r="L1688" i="1"/>
  <c r="N1636" i="1"/>
  <c r="N1632" i="1"/>
  <c r="L1588" i="1"/>
  <c r="M1547" i="1"/>
  <c r="M1546" i="1" s="1"/>
  <c r="L1539" i="1"/>
  <c r="O1481" i="1"/>
  <c r="L1464" i="1"/>
  <c r="M1396" i="1"/>
  <c r="O1382" i="1"/>
  <c r="M1312" i="1"/>
  <c r="L1308" i="1"/>
  <c r="P1286" i="1"/>
  <c r="M1274" i="1"/>
  <c r="M1280" i="1"/>
  <c r="N1101" i="1"/>
  <c r="M912" i="1"/>
  <c r="M967" i="1" s="1"/>
  <c r="M710" i="1"/>
  <c r="M713" i="1"/>
  <c r="N693" i="1"/>
  <c r="N690" i="1" s="1"/>
  <c r="L579" i="1"/>
  <c r="L227" i="1"/>
  <c r="L2053" i="1"/>
  <c r="P1645" i="1"/>
  <c r="M1543" i="1"/>
  <c r="L1477" i="1"/>
  <c r="P1463" i="1"/>
  <c r="O1303" i="1"/>
  <c r="M911" i="1"/>
  <c r="M943" i="1" s="1"/>
  <c r="M966" i="1" s="1"/>
  <c r="O2279" i="1"/>
  <c r="O2254" i="1"/>
  <c r="L2094" i="1"/>
  <c r="O2084" i="1"/>
  <c r="L1866" i="1"/>
  <c r="P1811" i="1"/>
  <c r="M1762" i="1"/>
  <c r="M1685" i="1"/>
  <c r="L1592" i="1"/>
  <c r="O1587" i="1"/>
  <c r="P1552" i="1"/>
  <c r="L1543" i="1"/>
  <c r="M1481" i="1"/>
  <c r="O1463" i="1"/>
  <c r="O1391" i="1"/>
  <c r="O1386" i="1"/>
  <c r="O1307" i="1"/>
  <c r="P1290" i="1"/>
  <c r="L1135" i="1"/>
  <c r="P771" i="1"/>
  <c r="P768" i="1" s="1"/>
  <c r="P773" i="1"/>
  <c r="P1844" i="1"/>
  <c r="P1843" i="1" s="1"/>
  <c r="M1606" i="1"/>
  <c r="P1591" i="1"/>
  <c r="N1538" i="1"/>
  <c r="L1481" i="1"/>
  <c r="L1425" i="1"/>
  <c r="M1406" i="1"/>
  <c r="L1299" i="1"/>
  <c r="O1273" i="1"/>
  <c r="L1079" i="1"/>
  <c r="M971" i="1"/>
  <c r="M961" i="1"/>
  <c r="N832" i="1"/>
  <c r="O661" i="1"/>
  <c r="N576" i="1"/>
  <c r="M211" i="1"/>
  <c r="M214" i="1"/>
  <c r="M213" i="1" s="1"/>
  <c r="L546" i="1"/>
  <c r="L202" i="1"/>
  <c r="L205" i="1" s="1"/>
  <c r="O2094" i="1"/>
  <c r="O2050" i="1" s="1"/>
  <c r="M2084" i="1"/>
  <c r="L1793" i="1"/>
  <c r="O1786" i="1"/>
  <c r="N1684" i="1"/>
  <c r="P1633" i="1"/>
  <c r="M1587" i="1"/>
  <c r="O1542" i="1"/>
  <c r="N1322" i="1"/>
  <c r="M1265" i="1"/>
  <c r="N773" i="1"/>
  <c r="N771" i="1"/>
  <c r="N768" i="1" s="1"/>
  <c r="M1684" i="1"/>
  <c r="P1606" i="1"/>
  <c r="L1411" i="1"/>
  <c r="L1341" i="1"/>
  <c r="O1103" i="1"/>
  <c r="O1077" i="1"/>
  <c r="L1110" i="1"/>
  <c r="L1124" i="1"/>
  <c r="P1025" i="1"/>
  <c r="P1022" i="1" s="1"/>
  <c r="M717" i="1"/>
  <c r="M555" i="1"/>
  <c r="M2094" i="1"/>
  <c r="O2057" i="1"/>
  <c r="M1869" i="1"/>
  <c r="M1862" i="1" s="1"/>
  <c r="N1680" i="1"/>
  <c r="O1635" i="1"/>
  <c r="L1467" i="1"/>
  <c r="P1395" i="1"/>
  <c r="L1311" i="1"/>
  <c r="N1294" i="1"/>
  <c r="P1123" i="1"/>
  <c r="M1498" i="1"/>
  <c r="O1383" i="1"/>
  <c r="N1316" i="1"/>
  <c r="M1311" i="1"/>
  <c r="P1299" i="1"/>
  <c r="M1292" i="1"/>
  <c r="P1293" i="1"/>
  <c r="M846" i="1"/>
  <c r="P708" i="1"/>
  <c r="O676" i="1"/>
  <c r="O662" i="1" s="1"/>
  <c r="N701" i="1"/>
  <c r="P657" i="1"/>
  <c r="L401" i="1"/>
  <c r="N227" i="1"/>
  <c r="O208" i="1"/>
  <c r="O271" i="1"/>
  <c r="O260" i="1" s="1"/>
  <c r="P100" i="1"/>
  <c r="P328" i="1" s="1"/>
  <c r="P344" i="1" s="1"/>
  <c r="M8" i="1"/>
  <c r="M1747" i="1" s="1"/>
  <c r="P1269" i="1"/>
  <c r="P1265" i="1"/>
  <c r="L1301" i="1"/>
  <c r="P1135" i="1"/>
  <c r="L860" i="1"/>
  <c r="N798" i="1"/>
  <c r="L715" i="1"/>
  <c r="L714" i="1" s="1"/>
  <c r="N704" i="1"/>
  <c r="O442" i="1"/>
  <c r="O441" i="1" s="1"/>
  <c r="O570" i="1"/>
  <c r="L436" i="1"/>
  <c r="O100" i="1"/>
  <c r="O328" i="1" s="1"/>
  <c r="O344" i="1" s="1"/>
  <c r="P529" i="1"/>
  <c r="P42" i="1"/>
  <c r="P41" i="1" s="1"/>
  <c r="P1730" i="1" s="1"/>
  <c r="N1394" i="1"/>
  <c r="M1303" i="1"/>
  <c r="N1299" i="1"/>
  <c r="P1295" i="1"/>
  <c r="O1269" i="1"/>
  <c r="O1297" i="1"/>
  <c r="N1274" i="1"/>
  <c r="L1072" i="1"/>
  <c r="L1098" i="1" s="1"/>
  <c r="N955" i="1"/>
  <c r="P859" i="1"/>
  <c r="L661" i="1"/>
  <c r="P594" i="1"/>
  <c r="P524" i="1"/>
  <c r="N279" i="1"/>
  <c r="L151" i="1"/>
  <c r="O42" i="1"/>
  <c r="O41" i="1" s="1"/>
  <c r="O1730" i="1" s="1"/>
  <c r="L1544" i="1"/>
  <c r="N1535" i="1"/>
  <c r="L1476" i="1"/>
  <c r="N1471" i="1"/>
  <c r="O1467" i="1"/>
  <c r="M1383" i="1"/>
  <c r="P1310" i="1"/>
  <c r="L1307" i="1"/>
  <c r="M1299" i="1"/>
  <c r="O1295" i="1"/>
  <c r="P1277" i="1"/>
  <c r="L957" i="1"/>
  <c r="P911" i="1"/>
  <c r="P943" i="1" s="1"/>
  <c r="P966" i="1" s="1"/>
  <c r="L798" i="1"/>
  <c r="L676" i="1"/>
  <c r="L662" i="1" s="1"/>
  <c r="N657" i="1"/>
  <c r="P660" i="1"/>
  <c r="L578" i="1"/>
  <c r="N571" i="1"/>
  <c r="P294" i="1"/>
  <c r="N82" i="1"/>
  <c r="N42" i="1"/>
  <c r="N41" i="1" s="1"/>
  <c r="N1730" i="1" s="1"/>
  <c r="M1535" i="1"/>
  <c r="N1467" i="1"/>
  <c r="M1395" i="1"/>
  <c r="L1391" i="1"/>
  <c r="L1387" i="1"/>
  <c r="L1379" i="1"/>
  <c r="O1310" i="1"/>
  <c r="M1284" i="1"/>
  <c r="O1280" i="1"/>
  <c r="N1269" i="1"/>
  <c r="P1110" i="1"/>
  <c r="M997" i="1"/>
  <c r="O961" i="1"/>
  <c r="N859" i="1"/>
  <c r="N797" i="1"/>
  <c r="N732" i="1"/>
  <c r="L708" i="1"/>
  <c r="P700" i="1"/>
  <c r="N613" i="1"/>
  <c r="P389" i="1"/>
  <c r="M436" i="1"/>
  <c r="L570" i="1"/>
  <c r="P112" i="1"/>
  <c r="O1475" i="1"/>
  <c r="L1395" i="1"/>
  <c r="P1386" i="1"/>
  <c r="N1310" i="1"/>
  <c r="L1284" i="1"/>
  <c r="M1297" i="1"/>
  <c r="N1103" i="1"/>
  <c r="N888" i="1"/>
  <c r="N887" i="1" s="1"/>
  <c r="M705" i="1"/>
  <c r="O631" i="1"/>
  <c r="O389" i="1"/>
  <c r="M304" i="1"/>
  <c r="P569" i="1"/>
  <c r="N169" i="1"/>
  <c r="N340" i="1"/>
  <c r="N356" i="1" s="1"/>
  <c r="O1272" i="1"/>
  <c r="L703" i="1"/>
  <c r="P646" i="1"/>
  <c r="P644" i="1" s="1"/>
  <c r="L657" i="1"/>
  <c r="L580" i="1"/>
  <c r="L442" i="1"/>
  <c r="L575" i="1" s="1"/>
  <c r="M578" i="1"/>
  <c r="P1721" i="1"/>
  <c r="P636" i="1"/>
  <c r="L608" i="1"/>
  <c r="M613" i="1"/>
  <c r="P579" i="1"/>
  <c r="M522" i="1"/>
  <c r="O464" i="1"/>
  <c r="M389" i="1"/>
  <c r="L371" i="1"/>
  <c r="N273" i="1"/>
  <c r="M70" i="1"/>
  <c r="L878" i="1"/>
  <c r="M864" i="1"/>
  <c r="P693" i="1"/>
  <c r="P690" i="1" s="1"/>
  <c r="P608" i="1"/>
  <c r="M594" i="1"/>
  <c r="M590" i="1" s="1"/>
  <c r="O579" i="1"/>
  <c r="L1267" i="1"/>
  <c r="N987" i="1"/>
  <c r="N986" i="1" s="1"/>
  <c r="O876" i="1"/>
  <c r="L826" i="1"/>
  <c r="L631" i="1"/>
  <c r="N587" i="1"/>
  <c r="N586" i="1" s="1"/>
  <c r="M187" i="1"/>
  <c r="M186" i="1" s="1"/>
  <c r="N161" i="1"/>
  <c r="M656" i="1"/>
  <c r="O577" i="1"/>
  <c r="O101" i="1"/>
  <c r="O329" i="1" s="1"/>
  <c r="O795" i="1"/>
  <c r="O699" i="1"/>
  <c r="M608" i="1"/>
  <c r="O452" i="1"/>
  <c r="O451" i="1" s="1"/>
  <c r="M215" i="1"/>
  <c r="L161" i="1"/>
  <c r="M525" i="1"/>
  <c r="L699" i="1"/>
  <c r="N599" i="1"/>
  <c r="M545" i="1"/>
  <c r="M832" i="1"/>
  <c r="O769" i="1"/>
  <c r="O861" i="1" s="1"/>
  <c r="P680" i="1"/>
  <c r="O545" i="1"/>
  <c r="M58" i="1"/>
  <c r="M57" i="1" s="1"/>
  <c r="O680" i="1"/>
  <c r="M659" i="1"/>
  <c r="O568" i="1"/>
  <c r="N282" i="1"/>
  <c r="L1377" i="1"/>
  <c r="N1278" i="1"/>
  <c r="O994" i="1"/>
  <c r="O1007" i="1" s="1"/>
  <c r="O1006" i="1" s="1"/>
  <c r="O992" i="1"/>
  <c r="O993" i="1" s="1"/>
  <c r="N974" i="1"/>
  <c r="M876" i="1"/>
  <c r="O771" i="1"/>
  <c r="O768" i="1" s="1"/>
  <c r="P591" i="1"/>
  <c r="L572" i="1"/>
  <c r="P573" i="1"/>
  <c r="M298" i="1"/>
  <c r="M302" i="1" s="1"/>
  <c r="L282" i="1"/>
  <c r="O572" i="1"/>
  <c r="L974" i="1"/>
  <c r="P658" i="1"/>
  <c r="L655" i="1"/>
  <c r="O598" i="1"/>
  <c r="O151" i="1"/>
  <c r="M1477" i="1"/>
  <c r="P1472" i="1"/>
  <c r="L1465" i="1"/>
  <c r="O1396" i="1"/>
  <c r="O1392" i="1"/>
  <c r="N1388" i="1"/>
  <c r="N1380" i="1"/>
  <c r="M1384" i="1"/>
  <c r="P1266" i="1"/>
  <c r="L1272" i="1"/>
  <c r="N1046" i="1"/>
  <c r="N1043" i="1" s="1"/>
  <c r="L994" i="1"/>
  <c r="L1014" i="1" s="1"/>
  <c r="L1011" i="1" s="1"/>
  <c r="M970" i="1"/>
  <c r="P305" i="1"/>
  <c r="L23" i="1"/>
  <c r="L1714" i="1" s="1"/>
  <c r="M781" i="1"/>
  <c r="M865" i="1" s="1"/>
  <c r="O705" i="1"/>
  <c r="M614" i="1"/>
  <c r="P605" i="1"/>
  <c r="N525" i="1"/>
  <c r="M36" i="1"/>
  <c r="M658" i="1"/>
  <c r="L591" i="1"/>
  <c r="M401" i="1"/>
  <c r="L112" i="1"/>
  <c r="L340" i="1" s="1"/>
  <c r="L356" i="1" s="1"/>
  <c r="L501" i="1" s="1"/>
  <c r="L490" i="1" s="1"/>
  <c r="L36" i="1"/>
  <c r="M662" i="1"/>
  <c r="P661" i="1"/>
  <c r="N658" i="1"/>
  <c r="M530" i="1"/>
  <c r="P1684" i="1"/>
  <c r="L1645" i="1"/>
  <c r="L1641" i="1"/>
  <c r="O1592" i="1"/>
  <c r="P1588" i="1"/>
  <c r="L1545" i="1"/>
  <c r="N1508" i="1"/>
  <c r="O1480" i="1"/>
  <c r="M1472" i="1"/>
  <c r="N1464" i="1"/>
  <c r="N1460" i="1"/>
  <c r="P1307" i="1"/>
  <c r="P1303" i="1"/>
  <c r="N1281" i="1"/>
  <c r="P1273" i="1"/>
  <c r="M1270" i="1"/>
  <c r="L1305" i="1"/>
  <c r="P969" i="1"/>
  <c r="M937" i="1"/>
  <c r="L968" i="1"/>
  <c r="O860" i="1"/>
  <c r="O800" i="1"/>
  <c r="M695" i="1"/>
  <c r="L705" i="1"/>
  <c r="P701" i="1"/>
  <c r="N605" i="1"/>
  <c r="N604" i="1" s="1"/>
  <c r="L389" i="1"/>
  <c r="L397" i="1"/>
  <c r="M556" i="1"/>
  <c r="L106" i="1"/>
  <c r="L334" i="1" s="1"/>
  <c r="L350" i="1" s="1"/>
  <c r="L495" i="1" s="1"/>
  <c r="L484" i="1" s="1"/>
  <c r="O1025" i="1"/>
  <c r="O1022" i="1" s="1"/>
  <c r="O1021" i="1" s="1"/>
  <c r="P1114" i="1"/>
  <c r="L1114" i="1"/>
  <c r="P1099" i="1"/>
  <c r="L920" i="1"/>
  <c r="L1043" i="1"/>
  <c r="L1096" i="1" s="1"/>
  <c r="O920" i="1"/>
  <c r="N2234" i="1"/>
  <c r="N1731" i="1"/>
  <c r="P1047" i="1"/>
  <c r="M1731" i="1"/>
  <c r="M1043" i="1"/>
  <c r="M1069" i="1" s="1"/>
  <c r="M880" i="1"/>
  <c r="M563" i="1"/>
  <c r="N879" i="1"/>
  <c r="O1036" i="1"/>
  <c r="M1036" i="1"/>
  <c r="P270" i="1"/>
  <c r="P259" i="1" s="1"/>
  <c r="P1105" i="1"/>
  <c r="P1052" i="1"/>
  <c r="P1049" i="1" s="1"/>
  <c r="P1050" i="1" s="1"/>
  <c r="O2165" i="1"/>
  <c r="N2213" i="1"/>
  <c r="O2012" i="1"/>
  <c r="N2254" i="1"/>
  <c r="O2189" i="1"/>
  <c r="N2012" i="1"/>
  <c r="M2254" i="1"/>
  <c r="P2012" i="1"/>
  <c r="P2301" i="1"/>
  <c r="P2295" i="1" s="1"/>
  <c r="L2254" i="1"/>
  <c r="L2253" i="1" s="1"/>
  <c r="M2012" i="1"/>
  <c r="L2012" i="1"/>
  <c r="P1978" i="1"/>
  <c r="L2050" i="1"/>
  <c r="O1978" i="1"/>
  <c r="L1954" i="1"/>
  <c r="L2223" i="1"/>
  <c r="N1978" i="1"/>
  <c r="M1978" i="1"/>
  <c r="O2301" i="1"/>
  <c r="L1978" i="1"/>
  <c r="L2296" i="1"/>
  <c r="M2259" i="1"/>
  <c r="N2189" i="1"/>
  <c r="O2114" i="1"/>
  <c r="P1954" i="1"/>
  <c r="M2114" i="1"/>
  <c r="M2301" i="1"/>
  <c r="M2295" i="1" s="1"/>
  <c r="O2276" i="1"/>
  <c r="P2189" i="1"/>
  <c r="N2301" i="1"/>
  <c r="N2295" i="1" s="1"/>
  <c r="O2022" i="1"/>
  <c r="N2276" i="1"/>
  <c r="N2165" i="1"/>
  <c r="L2114" i="1"/>
  <c r="N2024" i="1"/>
  <c r="L2234" i="1"/>
  <c r="M2022" i="1"/>
  <c r="P2272" i="1"/>
  <c r="O2223" i="1"/>
  <c r="N1954" i="1"/>
  <c r="O2296" i="1"/>
  <c r="L2273" i="1"/>
  <c r="L2272" i="1" s="1"/>
  <c r="P2259" i="1"/>
  <c r="N2259" i="1"/>
  <c r="P2114" i="1"/>
  <c r="L2024" i="1"/>
  <c r="P2165" i="1"/>
  <c r="N2114" i="1"/>
  <c r="P2024" i="1"/>
  <c r="P2313" i="1"/>
  <c r="P2223" i="1"/>
  <c r="L2213" i="1"/>
  <c r="M2165" i="1"/>
  <c r="O2313" i="1"/>
  <c r="O2315" i="1"/>
  <c r="N2223" i="1"/>
  <c r="M2189" i="1"/>
  <c r="L2165" i="1"/>
  <c r="N2315" i="1"/>
  <c r="N2313" i="1"/>
  <c r="L2189" i="1"/>
  <c r="M2313" i="1"/>
  <c r="L2002" i="1"/>
  <c r="N1552" i="1"/>
  <c r="N1587" i="1"/>
  <c r="M2223" i="1"/>
  <c r="P2022" i="1"/>
  <c r="N2022" i="1"/>
  <c r="L1649" i="1"/>
  <c r="L1684" i="1"/>
  <c r="P1533" i="1"/>
  <c r="P1518" i="1"/>
  <c r="P2002" i="1"/>
  <c r="P1491" i="1"/>
  <c r="P1490" i="1" s="1"/>
  <c r="P1496" i="1"/>
  <c r="P2213" i="1"/>
  <c r="L2022" i="1"/>
  <c r="O1844" i="1"/>
  <c r="N1518" i="1"/>
  <c r="N1533" i="1"/>
  <c r="O2002" i="1"/>
  <c r="P1903" i="1"/>
  <c r="L2313" i="1"/>
  <c r="O2213" i="1"/>
  <c r="M1843" i="1"/>
  <c r="O1599" i="1"/>
  <c r="N1541" i="1"/>
  <c r="L1518" i="1"/>
  <c r="L1533" i="1"/>
  <c r="N2002" i="1"/>
  <c r="L1590" i="1"/>
  <c r="L1559" i="1"/>
  <c r="N1550" i="1"/>
  <c r="N1586" i="1"/>
  <c r="P1863" i="1"/>
  <c r="P1862" i="1" s="1"/>
  <c r="M2002" i="1"/>
  <c r="N1903" i="1"/>
  <c r="O1559" i="1"/>
  <c r="L1541" i="1"/>
  <c r="M1903" i="1"/>
  <c r="L1903" i="1"/>
  <c r="L1599" i="1"/>
  <c r="P1573" i="1"/>
  <c r="L1435" i="1"/>
  <c r="L1461" i="1"/>
  <c r="O1825" i="1"/>
  <c r="N1678" i="1"/>
  <c r="N1641" i="1"/>
  <c r="P1435" i="1"/>
  <c r="P1460" i="1"/>
  <c r="P1885" i="1"/>
  <c r="O1573" i="1"/>
  <c r="O1849" i="1"/>
  <c r="M1825" i="1"/>
  <c r="M1824" i="1" s="1"/>
  <c r="N1584" i="1"/>
  <c r="N1573" i="1"/>
  <c r="N1886" i="1"/>
  <c r="M1707" i="1"/>
  <c r="M1584" i="1"/>
  <c r="M1573" i="1"/>
  <c r="O1645" i="1"/>
  <c r="O1681" i="1"/>
  <c r="M1632" i="1"/>
  <c r="L1584" i="1"/>
  <c r="L1573" i="1"/>
  <c r="M1486" i="1"/>
  <c r="M1489" i="1"/>
  <c r="L1707" i="1"/>
  <c r="N1645" i="1"/>
  <c r="N1681" i="1"/>
  <c r="M1633" i="1"/>
  <c r="M1597" i="1"/>
  <c r="O1954" i="1"/>
  <c r="O1903" i="1"/>
  <c r="M1645" i="1"/>
  <c r="P1584" i="1"/>
  <c r="P1547" i="1"/>
  <c r="P1587" i="1"/>
  <c r="O1547" i="1"/>
  <c r="O1584" i="1"/>
  <c r="P1425" i="1"/>
  <c r="P1830" i="1"/>
  <c r="P1687" i="1"/>
  <c r="N1592" i="1"/>
  <c r="N1567" i="1"/>
  <c r="N1891" i="1"/>
  <c r="O1830" i="1"/>
  <c r="O1631" i="1"/>
  <c r="O1620" i="1"/>
  <c r="O1606" i="1"/>
  <c r="M1954" i="1"/>
  <c r="N1631" i="1"/>
  <c r="N1620" i="1"/>
  <c r="M1631" i="1"/>
  <c r="M1620" i="1"/>
  <c r="L1891" i="1"/>
  <c r="L1620" i="1"/>
  <c r="L1631" i="1"/>
  <c r="N1591" i="1"/>
  <c r="P1589" i="1"/>
  <c r="P1489" i="1"/>
  <c r="P1620" i="1"/>
  <c r="P1538" i="1"/>
  <c r="P1503" i="1"/>
  <c r="O1496" i="1"/>
  <c r="N1489" i="1"/>
  <c r="M1047" i="1"/>
  <c r="M1071" i="1"/>
  <c r="M1466" i="1"/>
  <c r="M1279" i="1"/>
  <c r="O1503" i="1"/>
  <c r="O1497" i="1" s="1"/>
  <c r="N1493" i="1"/>
  <c r="N1496" i="1"/>
  <c r="L1489" i="1"/>
  <c r="M1425" i="1"/>
  <c r="M1322" i="1"/>
  <c r="N1180" i="1"/>
  <c r="M1468" i="1"/>
  <c r="L1390" i="1"/>
  <c r="P1385" i="1"/>
  <c r="N1559" i="1"/>
  <c r="O1489" i="1"/>
  <c r="O1400" i="1"/>
  <c r="M1378" i="1"/>
  <c r="O1301" i="1"/>
  <c r="L1203" i="1"/>
  <c r="M1180" i="1"/>
  <c r="P1614" i="1"/>
  <c r="P1411" i="1"/>
  <c r="L1378" i="1"/>
  <c r="M1503" i="1"/>
  <c r="M1497" i="1" s="1"/>
  <c r="N1400" i="1"/>
  <c r="N1389" i="1"/>
  <c r="N1385" i="1"/>
  <c r="L1180" i="1"/>
  <c r="L1296" i="1"/>
  <c r="P1544" i="1"/>
  <c r="L1471" i="1"/>
  <c r="N1411" i="1"/>
  <c r="N1393" i="1"/>
  <c r="M1389" i="1"/>
  <c r="P1341" i="1"/>
  <c r="N1293" i="1"/>
  <c r="M1213" i="1"/>
  <c r="O1157" i="1"/>
  <c r="O1282" i="1"/>
  <c r="M1097" i="1"/>
  <c r="N1710" i="1"/>
  <c r="O1493" i="1"/>
  <c r="M1278" i="1"/>
  <c r="N1157" i="1"/>
  <c r="M1493" i="1"/>
  <c r="M1411" i="1"/>
  <c r="M1393" i="1"/>
  <c r="P1157" i="1"/>
  <c r="M1157" i="1"/>
  <c r="N1137" i="1"/>
  <c r="L1710" i="1"/>
  <c r="M1099" i="1"/>
  <c r="M1132" i="1"/>
  <c r="O1486" i="1"/>
  <c r="P1462" i="1"/>
  <c r="O1266" i="1"/>
  <c r="O1213" i="1"/>
  <c r="P1473" i="1"/>
  <c r="P1316" i="1"/>
  <c r="L1137" i="1"/>
  <c r="L1136" i="1" s="1"/>
  <c r="O1435" i="1"/>
  <c r="P1351" i="1"/>
  <c r="O1316" i="1"/>
  <c r="N1277" i="1"/>
  <c r="O1552" i="1"/>
  <c r="O1533" i="1"/>
  <c r="M1460" i="1"/>
  <c r="M1392" i="1"/>
  <c r="L1270" i="1"/>
  <c r="L1470" i="1"/>
  <c r="M1316" i="1"/>
  <c r="N1273" i="1"/>
  <c r="P1406" i="1"/>
  <c r="M1351" i="1"/>
  <c r="N1327" i="1"/>
  <c r="N1036" i="1"/>
  <c r="N1037" i="1"/>
  <c r="M1533" i="1"/>
  <c r="O1406" i="1"/>
  <c r="P1391" i="1"/>
  <c r="M1327" i="1"/>
  <c r="L1316" i="1"/>
  <c r="N1406" i="1"/>
  <c r="P1379" i="1"/>
  <c r="L1351" i="1"/>
  <c r="L1376" i="1"/>
  <c r="N1536" i="1"/>
  <c r="O1460" i="1"/>
  <c r="N1435" i="1"/>
  <c r="L1327" i="1"/>
  <c r="N1213" i="1"/>
  <c r="O1539" i="1"/>
  <c r="O1395" i="1"/>
  <c r="O1351" i="1"/>
  <c r="O1276" i="1"/>
  <c r="N1314" i="1"/>
  <c r="L1036" i="1"/>
  <c r="L1037" i="1"/>
  <c r="O1518" i="1"/>
  <c r="L1406" i="1"/>
  <c r="N1395" i="1"/>
  <c r="M1387" i="1"/>
  <c r="O1462" i="1"/>
  <c r="O1341" i="1"/>
  <c r="N1272" i="1"/>
  <c r="N1341" i="1"/>
  <c r="L1280" i="1"/>
  <c r="L1213" i="1"/>
  <c r="P1376" i="1"/>
  <c r="M1341" i="1"/>
  <c r="P1322" i="1"/>
  <c r="P1203" i="1"/>
  <c r="N1120" i="1"/>
  <c r="N1026" i="1"/>
  <c r="N1025" i="1" s="1"/>
  <c r="N1022" i="1" s="1"/>
  <c r="O1425" i="1"/>
  <c r="O1428" i="1" s="1"/>
  <c r="P1213" i="1"/>
  <c r="O1203" i="1"/>
  <c r="O1206" i="1" s="1"/>
  <c r="P1180" i="1"/>
  <c r="P997" i="1"/>
  <c r="P961" i="1"/>
  <c r="P933" i="1"/>
  <c r="L1265" i="1"/>
  <c r="N1112" i="1"/>
  <c r="L1062" i="1"/>
  <c r="O997" i="1"/>
  <c r="N997" i="1"/>
  <c r="N1351" i="1"/>
  <c r="L1103" i="1"/>
  <c r="M1070" i="1"/>
  <c r="O1062" i="1"/>
  <c r="M1025" i="1"/>
  <c r="M1022" i="1" s="1"/>
  <c r="L1088" i="1"/>
  <c r="M987" i="1"/>
  <c r="M986" i="1" s="1"/>
  <c r="L1120" i="1"/>
  <c r="L1026" i="1"/>
  <c r="L1025" i="1" s="1"/>
  <c r="L1022" i="1" s="1"/>
  <c r="L987" i="1"/>
  <c r="L986" i="1" s="1"/>
  <c r="P977" i="1"/>
  <c r="P927" i="1"/>
  <c r="P955" i="1"/>
  <c r="M1435" i="1"/>
  <c r="N1135" i="1"/>
  <c r="M1111" i="1"/>
  <c r="N1073" i="1"/>
  <c r="O977" i="1"/>
  <c r="O1079" i="1"/>
  <c r="O1122" i="1"/>
  <c r="N994" i="1"/>
  <c r="N1007" i="1" s="1"/>
  <c r="M1079" i="1"/>
  <c r="P1037" i="1"/>
  <c r="O1023" i="1"/>
  <c r="M977" i="1"/>
  <c r="M1273" i="1"/>
  <c r="O1133" i="1"/>
  <c r="M1122" i="1"/>
  <c r="L1101" i="1"/>
  <c r="L1133" i="1"/>
  <c r="M1073" i="1"/>
  <c r="L1122" i="1"/>
  <c r="P1072" i="1"/>
  <c r="P1098" i="1" s="1"/>
  <c r="M1011" i="1"/>
  <c r="M1052" i="1"/>
  <c r="M1049" i="1" s="1"/>
  <c r="M1050" i="1" s="1"/>
  <c r="P1120" i="1"/>
  <c r="N1109" i="1"/>
  <c r="M1060" i="1"/>
  <c r="P1033" i="1"/>
  <c r="P1034" i="1" s="1"/>
  <c r="L1093" i="1"/>
  <c r="N1072" i="1"/>
  <c r="N1098" i="1" s="1"/>
  <c r="L1052" i="1"/>
  <c r="L1049" i="1" s="1"/>
  <c r="L1050" i="1" s="1"/>
  <c r="N1284" i="1"/>
  <c r="P1065" i="1"/>
  <c r="M1037" i="1"/>
  <c r="L1132" i="1"/>
  <c r="N1110" i="1"/>
  <c r="L1033" i="1"/>
  <c r="L1034" i="1" s="1"/>
  <c r="M1007" i="1"/>
  <c r="L992" i="1"/>
  <c r="L993" i="1" s="1"/>
  <c r="M1023" i="1"/>
  <c r="O1137" i="1"/>
  <c r="L1065" i="1"/>
  <c r="L1023" i="1"/>
  <c r="P1036" i="1"/>
  <c r="M974" i="1"/>
  <c r="M1137" i="1"/>
  <c r="L1127" i="1"/>
  <c r="N990" i="1"/>
  <c r="P1306" i="1"/>
  <c r="O1180" i="1"/>
  <c r="M1077" i="1"/>
  <c r="M990" i="1"/>
  <c r="M1113" i="1"/>
  <c r="M1005" i="1"/>
  <c r="M1002" i="1" s="1"/>
  <c r="L990" i="1"/>
  <c r="O1152" i="1"/>
  <c r="O1113" i="1"/>
  <c r="N956" i="1"/>
  <c r="M823" i="1"/>
  <c r="O781" i="1"/>
  <c r="O865" i="1" s="1"/>
  <c r="O864" i="1"/>
  <c r="P769" i="1"/>
  <c r="P861" i="1" s="1"/>
  <c r="M765" i="1"/>
  <c r="M858" i="1" s="1"/>
  <c r="M956" i="1"/>
  <c r="O900" i="1"/>
  <c r="O923" i="1"/>
  <c r="O894" i="1"/>
  <c r="L862" i="1"/>
  <c r="L823" i="1"/>
  <c r="N863" i="1"/>
  <c r="N781" i="1"/>
  <c r="N865" i="1" s="1"/>
  <c r="N661" i="1"/>
  <c r="M661" i="1"/>
  <c r="M641" i="1"/>
  <c r="L604" i="1"/>
  <c r="M949" i="1"/>
  <c r="N923" i="1"/>
  <c r="N894" i="1"/>
  <c r="P823" i="1"/>
  <c r="M784" i="1"/>
  <c r="N877" i="1"/>
  <c r="M810" i="1"/>
  <c r="M879" i="1"/>
  <c r="P713" i="1"/>
  <c r="P712" i="1"/>
  <c r="M900" i="1"/>
  <c r="M923" i="1"/>
  <c r="L863" i="1"/>
  <c r="L781" i="1"/>
  <c r="L865" i="1" s="1"/>
  <c r="L784" i="1"/>
  <c r="N703" i="1"/>
  <c r="O947" i="1"/>
  <c r="O969" i="1"/>
  <c r="O959" i="1"/>
  <c r="O933" i="1"/>
  <c r="P810" i="1"/>
  <c r="P879" i="1"/>
  <c r="N769" i="1"/>
  <c r="N861" i="1" s="1"/>
  <c r="P281" i="1"/>
  <c r="P798" i="1"/>
  <c r="O955" i="1"/>
  <c r="N947" i="1"/>
  <c r="N969" i="1"/>
  <c r="L894" i="1"/>
  <c r="L900" i="1"/>
  <c r="L923" i="1"/>
  <c r="L701" i="1"/>
  <c r="N694" i="1"/>
  <c r="N691" i="1" s="1"/>
  <c r="N700" i="1"/>
  <c r="O626" i="1"/>
  <c r="M959" i="1"/>
  <c r="M933" i="1"/>
  <c r="N850" i="1"/>
  <c r="N880" i="1"/>
  <c r="L771" i="1"/>
  <c r="L768" i="1" s="1"/>
  <c r="L763" i="1" s="1"/>
  <c r="L773" i="1"/>
  <c r="L769" i="1" s="1"/>
  <c r="L861" i="1" s="1"/>
  <c r="P741" i="1"/>
  <c r="P735" i="1" s="1"/>
  <c r="L672" i="1"/>
  <c r="L694" i="1"/>
  <c r="L691" i="1" s="1"/>
  <c r="L959" i="1"/>
  <c r="L933" i="1"/>
  <c r="P894" i="1"/>
  <c r="P900" i="1"/>
  <c r="N660" i="1"/>
  <c r="N651" i="1"/>
  <c r="N795" i="1"/>
  <c r="M103" i="1"/>
  <c r="M196" i="1"/>
  <c r="M193" i="1" s="1"/>
  <c r="N977" i="1"/>
  <c r="O717" i="1"/>
  <c r="O714" i="1" s="1"/>
  <c r="O731" i="1"/>
  <c r="M673" i="1"/>
  <c r="M670" i="1" s="1"/>
  <c r="M671" i="1"/>
  <c r="M693" i="1"/>
  <c r="M660" i="1"/>
  <c r="M651" i="1"/>
  <c r="O646" i="1"/>
  <c r="O644" i="1" s="1"/>
  <c r="O656" i="1"/>
  <c r="M795" i="1"/>
  <c r="N933" i="1"/>
  <c r="N920" i="1"/>
  <c r="M817" i="1"/>
  <c r="O269" i="1"/>
  <c r="O258" i="1" s="1"/>
  <c r="M1004" i="1"/>
  <c r="P993" i="1"/>
  <c r="L864" i="1"/>
  <c r="M538" i="1"/>
  <c r="N992" i="1"/>
  <c r="N993" i="1" s="1"/>
  <c r="L626" i="1"/>
  <c r="L537" i="1"/>
  <c r="M992" i="1"/>
  <c r="M993" i="1" s="1"/>
  <c r="M968" i="1"/>
  <c r="N723" i="1"/>
  <c r="N730" i="1"/>
  <c r="O713" i="1"/>
  <c r="O710" i="1"/>
  <c r="N601" i="1"/>
  <c r="N612" i="1"/>
  <c r="N713" i="1"/>
  <c r="N710" i="1"/>
  <c r="M672" i="1"/>
  <c r="M694" i="1"/>
  <c r="M691" i="1" s="1"/>
  <c r="N970" i="1"/>
  <c r="N917" i="1"/>
  <c r="P864" i="1"/>
  <c r="M859" i="1"/>
  <c r="M612" i="1"/>
  <c r="M601" i="1"/>
  <c r="L879" i="1"/>
  <c r="O659" i="1"/>
  <c r="O655" i="1"/>
  <c r="P599" i="1"/>
  <c r="L554" i="1"/>
  <c r="L917" i="1"/>
  <c r="L970" i="1"/>
  <c r="N864" i="1"/>
  <c r="N826" i="1"/>
  <c r="P730" i="1"/>
  <c r="P715" i="1"/>
  <c r="N624" i="1"/>
  <c r="P695" i="1"/>
  <c r="P704" i="1"/>
  <c r="P987" i="1"/>
  <c r="L888" i="1"/>
  <c r="L441" i="1"/>
  <c r="O282" i="1"/>
  <c r="O799" i="1"/>
  <c r="N70" i="1"/>
  <c r="N75" i="1"/>
  <c r="N74" i="1" s="1"/>
  <c r="N526" i="1"/>
  <c r="P717" i="1"/>
  <c r="L671" i="1"/>
  <c r="L702" i="1"/>
  <c r="O987" i="1"/>
  <c r="P960" i="1"/>
  <c r="P910" i="1"/>
  <c r="P942" i="1" s="1"/>
  <c r="P965" i="1" s="1"/>
  <c r="P909" i="1"/>
  <c r="P941" i="1" s="1"/>
  <c r="P964" i="1" s="1"/>
  <c r="O889" i="1"/>
  <c r="O891" i="1"/>
  <c r="O888" i="1" s="1"/>
  <c r="O887" i="1" s="1"/>
  <c r="P846" i="1"/>
  <c r="P878" i="1"/>
  <c r="N695" i="1"/>
  <c r="N911" i="1"/>
  <c r="N943" i="1" s="1"/>
  <c r="N966" i="1" s="1"/>
  <c r="N518" i="1"/>
  <c r="O910" i="1"/>
  <c r="O942" i="1" s="1"/>
  <c r="O965" i="1" s="1"/>
  <c r="O908" i="1"/>
  <c r="O940" i="1" s="1"/>
  <c r="O963" i="1" s="1"/>
  <c r="O909" i="1"/>
  <c r="O941" i="1" s="1"/>
  <c r="O964" i="1" s="1"/>
  <c r="P598" i="1"/>
  <c r="N442" i="1"/>
  <c r="N443" i="1"/>
  <c r="M566" i="1"/>
  <c r="M800" i="1"/>
  <c r="L997" i="1"/>
  <c r="N908" i="1"/>
  <c r="N940" i="1" s="1"/>
  <c r="N963" i="1" s="1"/>
  <c r="N910" i="1"/>
  <c r="N942" i="1" s="1"/>
  <c r="N965" i="1" s="1"/>
  <c r="M889" i="1"/>
  <c r="M891" i="1"/>
  <c r="M888" i="1" s="1"/>
  <c r="M887" i="1" s="1"/>
  <c r="M969" i="1"/>
  <c r="M960" i="1"/>
  <c r="P970" i="1"/>
  <c r="P949" i="1"/>
  <c r="N784" i="1"/>
  <c r="L765" i="1"/>
  <c r="L858" i="1" s="1"/>
  <c r="L859" i="1"/>
  <c r="L817" i="1"/>
  <c r="M741" i="1"/>
  <c r="M735" i="1" s="1"/>
  <c r="N705" i="1"/>
  <c r="L969" i="1"/>
  <c r="O970" i="1"/>
  <c r="O949" i="1"/>
  <c r="L908" i="1"/>
  <c r="L940" i="1" s="1"/>
  <c r="L963" i="1" s="1"/>
  <c r="L910" i="1"/>
  <c r="L942" i="1" s="1"/>
  <c r="L965" i="1" s="1"/>
  <c r="P862" i="1"/>
  <c r="P763" i="1"/>
  <c r="P656" i="1"/>
  <c r="P459" i="1"/>
  <c r="P580" i="1"/>
  <c r="O240" i="1"/>
  <c r="P881" i="1"/>
  <c r="P852" i="1"/>
  <c r="O763" i="1"/>
  <c r="M714" i="1"/>
  <c r="O956" i="1"/>
  <c r="O912" i="1"/>
  <c r="O967" i="1" s="1"/>
  <c r="O881" i="1"/>
  <c r="O852" i="1"/>
  <c r="N862" i="1"/>
  <c r="N823" i="1"/>
  <c r="P784" i="1"/>
  <c r="N763" i="1"/>
  <c r="O701" i="1"/>
  <c r="N459" i="1"/>
  <c r="N580" i="1"/>
  <c r="P781" i="1"/>
  <c r="P865" i="1" s="1"/>
  <c r="O730" i="1"/>
  <c r="N702" i="1"/>
  <c r="M580" i="1"/>
  <c r="N554" i="1"/>
  <c r="P110" i="1"/>
  <c r="M264" i="1"/>
  <c r="M253" i="1" s="1"/>
  <c r="O82" i="1"/>
  <c r="O529" i="1"/>
  <c r="N64" i="1"/>
  <c r="N522" i="1"/>
  <c r="M826" i="1"/>
  <c r="P672" i="1"/>
  <c r="N461" i="1"/>
  <c r="N581" i="1"/>
  <c r="O379" i="1"/>
  <c r="N145" i="1"/>
  <c r="M894" i="1"/>
  <c r="O694" i="1"/>
  <c r="O691" i="1" s="1"/>
  <c r="O693" i="1"/>
  <c r="L550" i="1"/>
  <c r="L526" i="1"/>
  <c r="O270" i="1"/>
  <c r="O259" i="1" s="1"/>
  <c r="P104" i="1"/>
  <c r="M82" i="1"/>
  <c r="M529" i="1"/>
  <c r="N23" i="1"/>
  <c r="O878" i="1"/>
  <c r="O695" i="1"/>
  <c r="N626" i="1"/>
  <c r="L613" i="1"/>
  <c r="P442" i="1"/>
  <c r="P441" i="1" s="1"/>
  <c r="P443" i="1"/>
  <c r="P539" i="1"/>
  <c r="P566" i="1"/>
  <c r="P103" i="1"/>
  <c r="P331" i="1" s="1"/>
  <c r="P347" i="1" s="1"/>
  <c r="P426" i="1" s="1"/>
  <c r="P196" i="1"/>
  <c r="P193" i="1" s="1"/>
  <c r="L82" i="1"/>
  <c r="L529" i="1"/>
  <c r="P70" i="1"/>
  <c r="P526" i="1"/>
  <c r="P75" i="1"/>
  <c r="P74" i="1" s="1"/>
  <c r="N878" i="1"/>
  <c r="P819" i="1"/>
  <c r="L800" i="1"/>
  <c r="M599" i="1"/>
  <c r="L549" i="1"/>
  <c r="N298" i="1"/>
  <c r="N302" i="1" s="1"/>
  <c r="M161" i="1"/>
  <c r="L58" i="1"/>
  <c r="M680" i="1"/>
  <c r="O612" i="1"/>
  <c r="L566" i="1"/>
  <c r="N536" i="1"/>
  <c r="M443" i="1"/>
  <c r="M442" i="1"/>
  <c r="M441" i="1" s="1"/>
  <c r="O401" i="1"/>
  <c r="O206" i="1"/>
  <c r="M151" i="1"/>
  <c r="M329" i="1"/>
  <c r="M345" i="1" s="1"/>
  <c r="P149" i="1"/>
  <c r="P659" i="1"/>
  <c r="O173" i="1"/>
  <c r="O823" i="1"/>
  <c r="L799" i="1"/>
  <c r="N646" i="1"/>
  <c r="O605" i="1"/>
  <c r="O604" i="1" s="1"/>
  <c r="N594" i="1"/>
  <c r="O576" i="1"/>
  <c r="M366" i="1"/>
  <c r="P35" i="1"/>
  <c r="P1725" i="1" s="1"/>
  <c r="M877" i="1"/>
  <c r="P401" i="1"/>
  <c r="N288" i="1"/>
  <c r="L269" i="1"/>
  <c r="L258" i="1" s="1"/>
  <c r="P572" i="1"/>
  <c r="M328" i="1"/>
  <c r="M344" i="1" s="1"/>
  <c r="O51" i="1"/>
  <c r="O1740" i="1" s="1"/>
  <c r="L877" i="1"/>
  <c r="P765" i="1"/>
  <c r="P858" i="1" s="1"/>
  <c r="P655" i="1"/>
  <c r="M646" i="1"/>
  <c r="L612" i="1"/>
  <c r="M576" i="1"/>
  <c r="N401" i="1"/>
  <c r="N377" i="1"/>
  <c r="M536" i="1"/>
  <c r="O237" i="1"/>
  <c r="O236" i="1" s="1"/>
  <c r="O238" i="1"/>
  <c r="P577" i="1"/>
  <c r="P222" i="1"/>
  <c r="P221" i="1" s="1"/>
  <c r="L567" i="1"/>
  <c r="L173" i="1"/>
  <c r="O765" i="1"/>
  <c r="O858" i="1" s="1"/>
  <c r="M699" i="1"/>
  <c r="N659" i="1"/>
  <c r="L646" i="1"/>
  <c r="L656" i="1"/>
  <c r="M598" i="1"/>
  <c r="L452" i="1"/>
  <c r="L451" i="1" s="1"/>
  <c r="L449" i="1"/>
  <c r="O268" i="1"/>
  <c r="O257" i="1" s="1"/>
  <c r="P214" i="1"/>
  <c r="P213" i="1" s="1"/>
  <c r="O331" i="1"/>
  <c r="O196" i="1"/>
  <c r="O193" i="1" s="1"/>
  <c r="N267" i="1"/>
  <c r="N256" i="1" s="1"/>
  <c r="P195" i="1"/>
  <c r="N35" i="1"/>
  <c r="N1725" i="1" s="1"/>
  <c r="N765" i="1"/>
  <c r="N858" i="1" s="1"/>
  <c r="L594" i="1"/>
  <c r="P556" i="1"/>
  <c r="O566" i="1"/>
  <c r="M238" i="1"/>
  <c r="O211" i="1"/>
  <c r="O214" i="1"/>
  <c r="O213" i="1" s="1"/>
  <c r="N110" i="1"/>
  <c r="P891" i="1"/>
  <c r="P888" i="1" s="1"/>
  <c r="O686" i="1"/>
  <c r="M655" i="1"/>
  <c r="O601" i="1"/>
  <c r="L598" i="1"/>
  <c r="O556" i="1"/>
  <c r="M288" i="1"/>
  <c r="N268" i="1"/>
  <c r="N257" i="1" s="1"/>
  <c r="M222" i="1"/>
  <c r="M221" i="1" s="1"/>
  <c r="M219" i="1"/>
  <c r="N202" i="1"/>
  <c r="N205" i="1" s="1"/>
  <c r="M269" i="1"/>
  <c r="M258" i="1" s="1"/>
  <c r="M35" i="1"/>
  <c r="M1725" i="1" s="1"/>
  <c r="L710" i="1"/>
  <c r="L659" i="1"/>
  <c r="P641" i="1"/>
  <c r="N509" i="1"/>
  <c r="L219" i="1"/>
  <c r="L210" i="1" s="1"/>
  <c r="M148" i="1"/>
  <c r="N113" i="1"/>
  <c r="P107" i="1"/>
  <c r="M195" i="1"/>
  <c r="M624" i="1"/>
  <c r="M547" i="1"/>
  <c r="M113" i="1"/>
  <c r="L195" i="1"/>
  <c r="N671" i="1"/>
  <c r="L601" i="1"/>
  <c r="O523" i="1"/>
  <c r="O294" i="1"/>
  <c r="P211" i="1"/>
  <c r="P210" i="1" s="1"/>
  <c r="O188" i="1"/>
  <c r="P147" i="1"/>
  <c r="L272" i="1"/>
  <c r="L261" i="1" s="1"/>
  <c r="N266" i="1"/>
  <c r="N255" i="1" s="1"/>
  <c r="N107" i="1"/>
  <c r="P101" i="1"/>
  <c r="P329" i="1" s="1"/>
  <c r="P345" i="1" s="1"/>
  <c r="P531" i="1"/>
  <c r="M686" i="1"/>
  <c r="P417" i="1"/>
  <c r="P416" i="1" s="1"/>
  <c r="N294" i="1"/>
  <c r="N523" i="1"/>
  <c r="P202" i="1"/>
  <c r="P205" i="1" s="1"/>
  <c r="P455" i="1"/>
  <c r="P578" i="1"/>
  <c r="O553" i="1"/>
  <c r="P533" i="1"/>
  <c r="M523" i="1"/>
  <c r="M294" i="1"/>
  <c r="M188" i="1"/>
  <c r="O169" i="1"/>
  <c r="O29" i="1"/>
  <c r="O1720" i="1" s="1"/>
  <c r="P541" i="1"/>
  <c r="P500" i="1"/>
  <c r="O578" i="1"/>
  <c r="O455" i="1"/>
  <c r="N527" i="1"/>
  <c r="L294" i="1"/>
  <c r="L523" i="1"/>
  <c r="O202" i="1"/>
  <c r="O205" i="1" s="1"/>
  <c r="N565" i="1"/>
  <c r="P337" i="1"/>
  <c r="P353" i="1" s="1"/>
  <c r="L75" i="1"/>
  <c r="L74" i="1" s="1"/>
  <c r="P3" i="1"/>
  <c r="P880" i="1"/>
  <c r="P863" i="1"/>
  <c r="P686" i="1"/>
  <c r="L587" i="1"/>
  <c r="L586" i="1" s="1"/>
  <c r="L542" i="1"/>
  <c r="P436" i="1"/>
  <c r="P550" i="1"/>
  <c r="M417" i="1"/>
  <c r="M416" i="1" s="1"/>
  <c r="M415" i="1"/>
  <c r="M414" i="1" s="1"/>
  <c r="M265" i="1"/>
  <c r="M254" i="1" s="1"/>
  <c r="L368" i="1"/>
  <c r="P528" i="1"/>
  <c r="L704" i="1"/>
  <c r="N686" i="1"/>
  <c r="O636" i="1"/>
  <c r="O634" i="1" s="1"/>
  <c r="P614" i="1"/>
  <c r="P581" i="1"/>
  <c r="N503" i="1"/>
  <c r="O345" i="1"/>
  <c r="O531" i="1"/>
  <c r="N305" i="1"/>
  <c r="N469" i="1"/>
  <c r="N468" i="1" s="1"/>
  <c r="P264" i="1"/>
  <c r="P253" i="1" s="1"/>
  <c r="O266" i="1"/>
  <c r="O255" i="1" s="1"/>
  <c r="L576" i="1"/>
  <c r="M208" i="1"/>
  <c r="L518" i="1"/>
  <c r="L169" i="1"/>
  <c r="P801" i="1"/>
  <c r="L686" i="1"/>
  <c r="P631" i="1"/>
  <c r="O581" i="1"/>
  <c r="O528" i="1"/>
  <c r="M367" i="1"/>
  <c r="M542" i="1"/>
  <c r="N151" i="1"/>
  <c r="N106" i="1"/>
  <c r="N334" i="1" s="1"/>
  <c r="N350" i="1" s="1"/>
  <c r="N495" i="1" s="1"/>
  <c r="N484" i="1" s="1"/>
  <c r="N265" i="1"/>
  <c r="N254" i="1" s="1"/>
  <c r="O49" i="1"/>
  <c r="L42" i="1"/>
  <c r="L880" i="1"/>
  <c r="N636" i="1"/>
  <c r="P613" i="1"/>
  <c r="P260" i="1"/>
  <c r="P271" i="1"/>
  <c r="P340" i="1"/>
  <c r="M266" i="1"/>
  <c r="M255" i="1" s="1"/>
  <c r="O187" i="1"/>
  <c r="O186" i="1" s="1"/>
  <c r="O184" i="1"/>
  <c r="N717" i="1"/>
  <c r="N714" i="1" s="1"/>
  <c r="M636" i="1"/>
  <c r="O281" i="1"/>
  <c r="O798" i="1"/>
  <c r="N183" i="1"/>
  <c r="N187" i="1"/>
  <c r="N186" i="1" s="1"/>
  <c r="N184" i="1"/>
  <c r="M146" i="1"/>
  <c r="O107" i="1"/>
  <c r="L305" i="1"/>
  <c r="M66" i="1"/>
  <c r="O879" i="1"/>
  <c r="P826" i="1"/>
  <c r="P702" i="1"/>
  <c r="N591" i="1"/>
  <c r="O580" i="1"/>
  <c r="O551" i="1"/>
  <c r="M527" i="1"/>
  <c r="L455" i="1"/>
  <c r="N370" i="1"/>
  <c r="N271" i="1"/>
  <c r="N260" i="1" s="1"/>
  <c r="P265" i="1"/>
  <c r="P254" i="1" s="1"/>
  <c r="N204" i="1"/>
  <c r="N197" i="1"/>
  <c r="L545" i="1"/>
  <c r="M541" i="1"/>
  <c r="M270" i="1"/>
  <c r="M259" i="1" s="1"/>
  <c r="O264" i="1"/>
  <c r="O253" i="1" s="1"/>
  <c r="O702" i="1"/>
  <c r="M703" i="1"/>
  <c r="L636" i="1"/>
  <c r="P626" i="1"/>
  <c r="P298" i="1"/>
  <c r="P302" i="1" s="1"/>
  <c r="P303" i="1"/>
  <c r="L201" i="1"/>
  <c r="L197" i="1"/>
  <c r="L183" i="1"/>
  <c r="L184" i="1"/>
  <c r="L187" i="1"/>
  <c r="L186" i="1" s="1"/>
  <c r="O104" i="1"/>
  <c r="L270" i="1"/>
  <c r="L259" i="1" s="1"/>
  <c r="N264" i="1"/>
  <c r="N253" i="1" s="1"/>
  <c r="P82" i="1"/>
  <c r="P99" i="1"/>
  <c r="P327" i="1" s="1"/>
  <c r="P343" i="1" s="1"/>
  <c r="P58" i="1"/>
  <c r="M568" i="1"/>
  <c r="M149" i="1"/>
  <c r="O267" i="1"/>
  <c r="O256" i="1" s="1"/>
  <c r="L188" i="1"/>
  <c r="L103" i="1"/>
  <c r="L331" i="1" s="1"/>
  <c r="O70" i="1"/>
  <c r="N58" i="1"/>
  <c r="N222" i="1"/>
  <c r="N221" i="1" s="1"/>
  <c r="N577" i="1"/>
  <c r="L214" i="1"/>
  <c r="L213" i="1" s="1"/>
  <c r="P188" i="1"/>
  <c r="O161" i="1"/>
  <c r="N270" i="1"/>
  <c r="N259" i="1" s="1"/>
  <c r="N195" i="1"/>
  <c r="P525" i="1"/>
  <c r="O35" i="1"/>
  <c r="O1725" i="1" s="1"/>
  <c r="P234" i="1"/>
  <c r="P239" i="1"/>
  <c r="P238" i="1" s="1"/>
  <c r="N219" i="1"/>
  <c r="N210" i="1" s="1"/>
  <c r="M572" i="1"/>
  <c r="L107" i="1"/>
  <c r="L335" i="1" s="1"/>
  <c r="L351" i="1" s="1"/>
  <c r="N101" i="1"/>
  <c r="N329" i="1" s="1"/>
  <c r="N345" i="1" s="1"/>
  <c r="P47" i="1"/>
  <c r="O66" i="1"/>
  <c r="L273" i="1"/>
  <c r="P576" i="1"/>
  <c r="P29" i="1"/>
  <c r="P1720" i="1" s="1"/>
  <c r="P146" i="1"/>
  <c r="P545" i="1"/>
  <c r="L66" i="1"/>
  <c r="P51" i="1"/>
  <c r="N29" i="1"/>
  <c r="N1720" i="1" s="1"/>
  <c r="O146" i="1"/>
  <c r="O111" i="1"/>
  <c r="O339" i="1" s="1"/>
  <c r="O355" i="1" s="1"/>
  <c r="O541" i="1"/>
  <c r="M29" i="1"/>
  <c r="M1720" i="1" s="1"/>
  <c r="P8" i="1"/>
  <c r="P1747" i="1" s="1"/>
  <c r="M554" i="1"/>
  <c r="L265" i="1"/>
  <c r="L254" i="1" s="1"/>
  <c r="P269" i="1"/>
  <c r="P258" i="1" s="1"/>
  <c r="N578" i="1"/>
  <c r="P187" i="1"/>
  <c r="P186" i="1" s="1"/>
  <c r="L571" i="1"/>
  <c r="L29" i="1"/>
  <c r="L1720" i="1" s="1"/>
  <c r="L47" i="1"/>
  <c r="L1570" i="1" s="1"/>
  <c r="L49" i="1"/>
  <c r="M51" i="1"/>
  <c r="M1740" i="1" s="1"/>
  <c r="L51" i="1"/>
  <c r="P23" i="1"/>
  <c r="O12" i="1"/>
  <c r="O1751" i="1" s="1"/>
  <c r="O3" i="1"/>
  <c r="M305" i="1"/>
  <c r="N337" i="1"/>
  <c r="P169" i="1"/>
  <c r="L544" i="1"/>
  <c r="P64" i="1"/>
  <c r="P522" i="1"/>
  <c r="M34" i="1"/>
  <c r="O23" i="1"/>
  <c r="L8" i="1"/>
  <c r="L1747" i="1" s="1"/>
  <c r="N3" i="1"/>
  <c r="O671" i="1"/>
  <c r="L581" i="1"/>
  <c r="N173" i="1"/>
  <c r="M550" i="1"/>
  <c r="M3" i="1"/>
  <c r="M587" i="1"/>
  <c r="M586" i="1" s="1"/>
  <c r="M449" i="1"/>
  <c r="M452" i="1"/>
  <c r="M451" i="1" s="1"/>
  <c r="N344" i="1"/>
  <c r="P151" i="1"/>
  <c r="L555" i="1"/>
  <c r="L109" i="1"/>
  <c r="O74" i="1"/>
  <c r="P12" i="1"/>
  <c r="P1751" i="1" s="1"/>
  <c r="O102" i="1"/>
  <c r="N99" i="1"/>
  <c r="N327" i="1" s="1"/>
  <c r="N343" i="1" s="1"/>
  <c r="L12" i="1"/>
  <c r="L1751" i="1" s="1"/>
  <c r="L264" i="1"/>
  <c r="L253" i="1" s="1"/>
  <c r="M112" i="1"/>
  <c r="O106" i="1"/>
  <c r="L101" i="1"/>
  <c r="L329" i="1" s="1"/>
  <c r="L345" i="1" s="1"/>
  <c r="N51" i="1"/>
  <c r="M23" i="1"/>
  <c r="L3" i="1"/>
  <c r="M147" i="1"/>
  <c r="P549" i="1"/>
  <c r="M544" i="1"/>
  <c r="N529" i="1"/>
  <c r="N239" i="1"/>
  <c r="L239" i="1"/>
  <c r="M47" i="1"/>
  <c r="L35" i="1"/>
  <c r="L1725" i="1" s="1"/>
  <c r="G106" i="1"/>
  <c r="H106" i="1"/>
  <c r="I103" i="1"/>
  <c r="I107" i="1"/>
  <c r="I102" i="1"/>
  <c r="H110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N1070" i="1" l="1"/>
  <c r="N1071" i="1"/>
  <c r="N2272" i="1"/>
  <c r="Q1511" i="1"/>
  <c r="O1617" i="1"/>
  <c r="O1616" i="1" s="1"/>
  <c r="O1615" i="1" s="1"/>
  <c r="L1206" i="1"/>
  <c r="L1344" i="1"/>
  <c r="O1885" i="1"/>
  <c r="L1005" i="1"/>
  <c r="L1002" i="1" s="1"/>
  <c r="M1593" i="1"/>
  <c r="O440" i="1"/>
  <c r="M1414" i="1"/>
  <c r="L1414" i="1"/>
  <c r="L1428" i="1"/>
  <c r="N1759" i="1"/>
  <c r="M1602" i="1"/>
  <c r="P1428" i="1"/>
  <c r="L200" i="1"/>
  <c r="Q200" i="1"/>
  <c r="O2253" i="1"/>
  <c r="L1885" i="1"/>
  <c r="P1759" i="1"/>
  <c r="Q49" i="1"/>
  <c r="O210" i="1"/>
  <c r="L624" i="1"/>
  <c r="N1593" i="1"/>
  <c r="Q590" i="1"/>
  <c r="N1570" i="1"/>
  <c r="P1314" i="1"/>
  <c r="P1206" i="1"/>
  <c r="Q1428" i="1"/>
  <c r="M1330" i="1"/>
  <c r="M1652" i="1"/>
  <c r="Q1344" i="1"/>
  <c r="O1014" i="1"/>
  <c r="O1011" i="1" s="1"/>
  <c r="O1013" i="1"/>
  <c r="O1012" i="1" s="1"/>
  <c r="O1664" i="1"/>
  <c r="O1759" i="1"/>
  <c r="Q182" i="1"/>
  <c r="Q1160" i="1"/>
  <c r="N1562" i="1"/>
  <c r="L1593" i="1"/>
  <c r="L1602" i="1"/>
  <c r="M604" i="1"/>
  <c r="M2272" i="1"/>
  <c r="L1546" i="1"/>
  <c r="L1555" i="1"/>
  <c r="Q575" i="1"/>
  <c r="N1824" i="1"/>
  <c r="N1823" i="1" s="1"/>
  <c r="N1428" i="1"/>
  <c r="L1759" i="1"/>
  <c r="P1005" i="1"/>
  <c r="P1002" i="1" s="1"/>
  <c r="P1000" i="1" s="1"/>
  <c r="O1344" i="1"/>
  <c r="O1343" i="1" s="1"/>
  <c r="O1342" i="1" s="1"/>
  <c r="N634" i="1"/>
  <c r="Q644" i="1"/>
  <c r="Q1093" i="1"/>
  <c r="Q1098" i="1"/>
  <c r="L2233" i="1"/>
  <c r="M1314" i="1"/>
  <c r="M1206" i="1"/>
  <c r="P1617" i="1"/>
  <c r="P374" i="1"/>
  <c r="M1344" i="1"/>
  <c r="L1511" i="1"/>
  <c r="L1862" i="1"/>
  <c r="M38" i="1"/>
  <c r="M1183" i="1" s="1"/>
  <c r="M1658" i="1"/>
  <c r="M1659" i="1" s="1"/>
  <c r="N49" i="1"/>
  <c r="N1738" i="1" s="1"/>
  <c r="P738" i="1" a="1"/>
  <c r="P738" i="1" s="1"/>
  <c r="P736" i="1" a="1"/>
  <c r="P736" i="1" s="1"/>
  <c r="N2050" i="1"/>
  <c r="Q1570" i="1"/>
  <c r="Q1602" i="1"/>
  <c r="L1429" i="1"/>
  <c r="L1207" i="1"/>
  <c r="L1618" i="1"/>
  <c r="L1345" i="1"/>
  <c r="L1571" i="1"/>
  <c r="N1497" i="1"/>
  <c r="L1070" i="1"/>
  <c r="O1345" i="1"/>
  <c r="O1207" i="1"/>
  <c r="O1618" i="1"/>
  <c r="O1571" i="1"/>
  <c r="O1429" i="1"/>
  <c r="M736" i="1" a="1"/>
  <c r="M736" i="1" s="1"/>
  <c r="M738" i="1" a="1"/>
  <c r="M738" i="1" s="1"/>
  <c r="L1007" i="1"/>
  <c r="L1126" i="1" s="1"/>
  <c r="N1183" i="1"/>
  <c r="P590" i="1"/>
  <c r="L1160" i="1"/>
  <c r="M2050" i="1"/>
  <c r="Q763" i="1"/>
  <c r="Q1555" i="1"/>
  <c r="Q1314" i="1"/>
  <c r="Q1206" i="1"/>
  <c r="P1344" i="1"/>
  <c r="L644" i="1"/>
  <c r="Q1740" i="1"/>
  <c r="L634" i="1"/>
  <c r="Q1862" i="1"/>
  <c r="M634" i="1"/>
  <c r="M1759" i="1"/>
  <c r="L1652" i="1"/>
  <c r="O575" i="1"/>
  <c r="N882" i="1"/>
  <c r="L1617" i="1"/>
  <c r="N1736" i="1"/>
  <c r="M1428" i="1"/>
  <c r="P2253" i="1"/>
  <c r="Q2295" i="1"/>
  <c r="O337" i="1"/>
  <c r="O1069" i="1"/>
  <c r="O1095" i="1"/>
  <c r="O1047" i="1"/>
  <c r="O1096" i="1"/>
  <c r="O1071" i="1"/>
  <c r="O1097" i="1"/>
  <c r="O1070" i="1"/>
  <c r="M273" i="1"/>
  <c r="M102" i="1"/>
  <c r="M330" i="1" s="1"/>
  <c r="O679" i="1"/>
  <c r="Q195" i="1"/>
  <c r="P604" i="1"/>
  <c r="Q469" i="1"/>
  <c r="Q468" i="1" s="1"/>
  <c r="Q1036" i="1"/>
  <c r="L1315" i="1"/>
  <c r="Q673" i="1"/>
  <c r="Q670" i="1" s="1"/>
  <c r="P2050" i="1"/>
  <c r="L1069" i="1"/>
  <c r="M549" i="1"/>
  <c r="Q204" i="1"/>
  <c r="Q203" i="1" s="1"/>
  <c r="Q397" i="1"/>
  <c r="Q280" i="1"/>
  <c r="Q279" i="1" s="1"/>
  <c r="Q273" i="1"/>
  <c r="Q233" i="1" s="1"/>
  <c r="Q181" i="1" s="1"/>
  <c r="Q989" i="1"/>
  <c r="Q988" i="1" s="1"/>
  <c r="Q984" i="1" s="1"/>
  <c r="Q40" i="1"/>
  <c r="Q1665" i="1" s="1"/>
  <c r="P540" i="1"/>
  <c r="L1097" i="1"/>
  <c r="O1731" i="1"/>
  <c r="L113" i="1"/>
  <c r="L341" i="1" s="1"/>
  <c r="L357" i="1" s="1"/>
  <c r="L590" i="1"/>
  <c r="L1095" i="1"/>
  <c r="P1014" i="1"/>
  <c r="P1011" i="1" s="1"/>
  <c r="L1071" i="1"/>
  <c r="Q2272" i="1"/>
  <c r="Q330" i="1"/>
  <c r="N367" i="1"/>
  <c r="N374" i="1" s="1"/>
  <c r="M679" i="1"/>
  <c r="P338" i="1"/>
  <c r="P354" i="1" s="1"/>
  <c r="P499" i="1" s="1"/>
  <c r="P488" i="1" s="1"/>
  <c r="O112" i="1"/>
  <c r="O340" i="1" s="1"/>
  <c r="O356" i="1" s="1"/>
  <c r="M1083" i="1"/>
  <c r="L1047" i="1"/>
  <c r="M1096" i="1"/>
  <c r="P1070" i="1"/>
  <c r="M378" i="1"/>
  <c r="Q528" i="1"/>
  <c r="O34" i="1"/>
  <c r="O555" i="1"/>
  <c r="O195" i="1"/>
  <c r="O194" i="1" s="1"/>
  <c r="N556" i="1"/>
  <c r="O1004" i="1"/>
  <c r="O1001" i="1" s="1"/>
  <c r="O334" i="1"/>
  <c r="O350" i="1" s="1"/>
  <c r="O495" i="1" s="1"/>
  <c r="O484" i="1" s="1"/>
  <c r="P634" i="1"/>
  <c r="M340" i="1"/>
  <c r="M356" i="1" s="1"/>
  <c r="M501" i="1" s="1"/>
  <c r="M490" i="1" s="1"/>
  <c r="O39" i="1"/>
  <c r="N108" i="1"/>
  <c r="N336" i="1" s="1"/>
  <c r="N352" i="1" s="1"/>
  <c r="N497" i="1" s="1"/>
  <c r="P1007" i="1"/>
  <c r="P1126" i="1" s="1"/>
  <c r="M1095" i="1"/>
  <c r="P1071" i="1"/>
  <c r="L2295" i="1"/>
  <c r="Q1546" i="1"/>
  <c r="L111" i="1"/>
  <c r="L339" i="1" s="1"/>
  <c r="L355" i="1" s="1"/>
  <c r="O469" i="1"/>
  <c r="O468" i="1" s="1"/>
  <c r="P535" i="1"/>
  <c r="M539" i="1"/>
  <c r="P40" i="1"/>
  <c r="P1664" i="1"/>
  <c r="O535" i="1"/>
  <c r="N541" i="1"/>
  <c r="Q1824" i="1"/>
  <c r="Q1823" i="1" s="1"/>
  <c r="O332" i="1"/>
  <c r="O348" i="1" s="1"/>
  <c r="P1546" i="1"/>
  <c r="P1497" i="1"/>
  <c r="Q338" i="1"/>
  <c r="Q354" i="1" s="1"/>
  <c r="Q499" i="1" s="1"/>
  <c r="Q488" i="1" s="1"/>
  <c r="Q566" i="1"/>
  <c r="Q1088" i="1"/>
  <c r="Q1593" i="1"/>
  <c r="Q1025" i="1"/>
  <c r="M1133" i="1"/>
  <c r="M1640" i="1"/>
  <c r="M797" i="1"/>
  <c r="N958" i="1"/>
  <c r="O1005" i="1"/>
  <c r="O1002" i="1" s="1"/>
  <c r="Q304" i="1"/>
  <c r="Q417" i="1"/>
  <c r="Q416" i="1" s="1"/>
  <c r="Q1083" i="1"/>
  <c r="Q1123" i="1"/>
  <c r="Q22" i="1"/>
  <c r="Q1714" i="1"/>
  <c r="Q539" i="1"/>
  <c r="Q2" i="1"/>
  <c r="Q1742" i="1"/>
  <c r="Q39" i="1"/>
  <c r="Q1652" i="1" s="1"/>
  <c r="Q794" i="1"/>
  <c r="Q310" i="1"/>
  <c r="Q263" i="1"/>
  <c r="Q240" i="1"/>
  <c r="Q337" i="1"/>
  <c r="Q353" i="1" s="1"/>
  <c r="Q57" i="1"/>
  <c r="Q741" i="1"/>
  <c r="Q735" i="1" s="1"/>
  <c r="Q1736" i="1"/>
  <c r="Q1735" i="1"/>
  <c r="Q733" i="1"/>
  <c r="Q958" i="1"/>
  <c r="Q887" i="1"/>
  <c r="Q882" i="1" s="1"/>
  <c r="Q1738" i="1"/>
  <c r="Q48" i="1"/>
  <c r="Q1737" i="1" s="1"/>
  <c r="Q1136" i="1"/>
  <c r="Q785" i="1"/>
  <c r="Q369" i="1"/>
  <c r="Q553" i="1"/>
  <c r="Q346" i="1"/>
  <c r="Q532" i="1"/>
  <c r="Q347" i="1"/>
  <c r="Q533" i="1"/>
  <c r="Q349" i="1"/>
  <c r="Q535" i="1"/>
  <c r="Q368" i="1"/>
  <c r="Q556" i="1"/>
  <c r="Q379" i="1"/>
  <c r="Q436" i="1"/>
  <c r="Q374" i="1"/>
  <c r="Q237" i="1"/>
  <c r="Q236" i="1" s="1"/>
  <c r="Q238" i="1"/>
  <c r="Q485" i="1"/>
  <c r="Q266" i="1"/>
  <c r="Q255" i="1" s="1"/>
  <c r="Q282" i="1"/>
  <c r="Q799" i="1"/>
  <c r="Q731" i="1"/>
  <c r="Q144" i="1"/>
  <c r="Q333" i="1"/>
  <c r="Q690" i="1"/>
  <c r="Q692" i="1"/>
  <c r="Q689" i="1" s="1"/>
  <c r="Q540" i="1"/>
  <c r="Q98" i="1"/>
  <c r="Q512" i="1"/>
  <c r="Q265" i="1"/>
  <c r="Q254" i="1" s="1"/>
  <c r="Q106" i="1"/>
  <c r="Q334" i="1" s="1"/>
  <c r="Q350" i="1" s="1"/>
  <c r="Q495" i="1" s="1"/>
  <c r="Q484" i="1" s="1"/>
  <c r="Q1095" i="1"/>
  <c r="Q1097" i="1"/>
  <c r="Q1069" i="1"/>
  <c r="Q1070" i="1"/>
  <c r="Q1003" i="1"/>
  <c r="Q1071" i="1"/>
  <c r="Q29" i="1"/>
  <c r="Q1720" i="1" s="1"/>
  <c r="Q1721" i="1"/>
  <c r="Q34" i="1"/>
  <c r="Q1047" i="1"/>
  <c r="Q1001" i="1"/>
  <c r="Q1000" i="1" s="1"/>
  <c r="Q370" i="1"/>
  <c r="Q377" i="1"/>
  <c r="Q1497" i="1"/>
  <c r="Q714" i="1"/>
  <c r="Q536" i="1"/>
  <c r="Q1006" i="1"/>
  <c r="Q1013" i="1"/>
  <c r="Q1012" i="1" s="1"/>
  <c r="Q2253" i="1"/>
  <c r="Q2233" i="1" s="1"/>
  <c r="Q352" i="1"/>
  <c r="Q41" i="1"/>
  <c r="Q1730" i="1" s="1"/>
  <c r="Q1731" i="1"/>
  <c r="Q1399" i="1"/>
  <c r="Q371" i="1"/>
  <c r="Q378" i="1"/>
  <c r="Q373" i="1"/>
  <c r="Q113" i="1"/>
  <c r="Q341" i="1" s="1"/>
  <c r="Q357" i="1" s="1"/>
  <c r="Q502" i="1" s="1"/>
  <c r="Q491" i="1" s="1"/>
  <c r="Q1315" i="1"/>
  <c r="Q672" i="1"/>
  <c r="O1123" i="1"/>
  <c r="O1083" i="1"/>
  <c r="N105" i="1"/>
  <c r="N333" i="1" s="1"/>
  <c r="N349" i="1" s="1"/>
  <c r="O624" i="1"/>
  <c r="L1399" i="1"/>
  <c r="O2272" i="1"/>
  <c r="N989" i="1"/>
  <c r="N988" i="1" s="1"/>
  <c r="N984" i="1" s="1"/>
  <c r="N1004" i="1"/>
  <c r="N40" i="1"/>
  <c r="N1664" i="1"/>
  <c r="L556" i="1"/>
  <c r="P1125" i="1"/>
  <c r="P1086" i="1"/>
  <c r="P339" i="1"/>
  <c r="P355" i="1" s="1"/>
  <c r="N397" i="1"/>
  <c r="N673" i="1"/>
  <c r="N670" i="1" s="1"/>
  <c r="M63" i="1"/>
  <c r="N200" i="1"/>
  <c r="L1004" i="1"/>
  <c r="L1003" i="1" s="1"/>
  <c r="M109" i="1"/>
  <c r="M337" i="1" s="1"/>
  <c r="M353" i="1" s="1"/>
  <c r="M498" i="1" s="1"/>
  <c r="M487" i="1" s="1"/>
  <c r="M268" i="1"/>
  <c r="M257" i="1" s="1"/>
  <c r="N1125" i="1"/>
  <c r="N1086" i="1"/>
  <c r="P34" i="1"/>
  <c r="L496" i="1"/>
  <c r="L485" i="1" s="1"/>
  <c r="O108" i="1"/>
  <c r="O336" i="1" s="1"/>
  <c r="O352" i="1" s="1"/>
  <c r="O497" i="1" s="1"/>
  <c r="P527" i="1"/>
  <c r="O335" i="1"/>
  <c r="O351" i="1" s="1"/>
  <c r="L40" i="1"/>
  <c r="L1664" i="1"/>
  <c r="N63" i="1"/>
  <c r="N1123" i="1"/>
  <c r="N1083" i="1"/>
  <c r="O105" i="1"/>
  <c r="O333" i="1" s="1"/>
  <c r="O349" i="1" s="1"/>
  <c r="O494" i="1" s="1"/>
  <c r="O483" i="1" s="1"/>
  <c r="L438" i="1"/>
  <c r="N1047" i="1"/>
  <c r="N1069" i="1"/>
  <c r="M341" i="1"/>
  <c r="M357" i="1" s="1"/>
  <c r="O310" i="1"/>
  <c r="M989" i="1"/>
  <c r="M988" i="1" s="1"/>
  <c r="M984" i="1" s="1"/>
  <c r="O341" i="1"/>
  <c r="O357" i="1" s="1"/>
  <c r="O502" i="1" s="1"/>
  <c r="O491" i="1" s="1"/>
  <c r="O263" i="1"/>
  <c r="O252" i="1" s="1"/>
  <c r="O251" i="1" s="1"/>
  <c r="M210" i="1"/>
  <c r="P237" i="1"/>
  <c r="P236" i="1" s="1"/>
  <c r="N269" i="1"/>
  <c r="N258" i="1" s="1"/>
  <c r="L1640" i="1"/>
  <c r="P333" i="1"/>
  <c r="P349" i="1" s="1"/>
  <c r="P494" i="1" s="1"/>
  <c r="P483" i="1" s="1"/>
  <c r="N371" i="1"/>
  <c r="N378" i="1"/>
  <c r="L268" i="1"/>
  <c r="L257" i="1" s="1"/>
  <c r="M374" i="1"/>
  <c r="P1731" i="1"/>
  <c r="M40" i="1"/>
  <c r="M37" i="1" s="1"/>
  <c r="M1726" i="1" s="1"/>
  <c r="M1664" i="1"/>
  <c r="L147" i="1"/>
  <c r="L375" i="1" s="1"/>
  <c r="N549" i="1"/>
  <c r="N272" i="1"/>
  <c r="N261" i="1" s="1"/>
  <c r="N1005" i="1"/>
  <c r="N1002" i="1" s="1"/>
  <c r="O1086" i="1"/>
  <c r="O1125" i="1"/>
  <c r="M907" i="1"/>
  <c r="M939" i="1" s="1"/>
  <c r="M962" i="1" s="1"/>
  <c r="M940" i="1"/>
  <c r="M963" i="1" s="1"/>
  <c r="L1083" i="1"/>
  <c r="O1729" i="1"/>
  <c r="O1665" i="1"/>
  <c r="N590" i="1"/>
  <c r="O958" i="1"/>
  <c r="N1014" i="1"/>
  <c r="N1011" i="1" s="1"/>
  <c r="P1399" i="1"/>
  <c r="M2253" i="1"/>
  <c r="M2233" i="1" s="1"/>
  <c r="L22" i="1"/>
  <c r="L1713" i="1" s="1"/>
  <c r="P624" i="1"/>
  <c r="P183" i="1"/>
  <c r="P182" i="1" s="1"/>
  <c r="O2233" i="1"/>
  <c r="P679" i="1"/>
  <c r="P102" i="1"/>
  <c r="L38" i="1"/>
  <c r="L1658" i="1" s="1"/>
  <c r="L1659" i="1" s="1"/>
  <c r="P1823" i="1"/>
  <c r="M39" i="1"/>
  <c r="M1511" i="1" s="1"/>
  <c r="M1003" i="1"/>
  <c r="P39" i="1"/>
  <c r="P1555" i="1" s="1"/>
  <c r="M194" i="1"/>
  <c r="O1119" i="1"/>
  <c r="P1136" i="1"/>
  <c r="M440" i="1"/>
  <c r="M1823" i="1"/>
  <c r="M1399" i="1"/>
  <c r="O882" i="1"/>
  <c r="N1546" i="1"/>
  <c r="P440" i="1"/>
  <c r="M144" i="1"/>
  <c r="N38" i="1"/>
  <c r="N1658" i="1" s="1"/>
  <c r="N1659" i="1" s="1"/>
  <c r="P266" i="1"/>
  <c r="P255" i="1" s="1"/>
  <c r="L63" i="1"/>
  <c r="M644" i="1"/>
  <c r="P368" i="1"/>
  <c r="P546" i="1"/>
  <c r="P358" i="1"/>
  <c r="P734" i="1"/>
  <c r="M734" i="1"/>
  <c r="P370" i="1"/>
  <c r="P377" i="1"/>
  <c r="P548" i="1"/>
  <c r="L431" i="1"/>
  <c r="L434" i="1" s="1"/>
  <c r="L1021" i="1"/>
  <c r="L1020" i="1" s="1"/>
  <c r="L1119" i="1"/>
  <c r="P108" i="1"/>
  <c r="P336" i="1" s="1"/>
  <c r="P352" i="1" s="1"/>
  <c r="P497" i="1" s="1"/>
  <c r="P486" i="1" s="1"/>
  <c r="P267" i="1"/>
  <c r="P256" i="1" s="1"/>
  <c r="L196" i="1"/>
  <c r="L193" i="1" s="1"/>
  <c r="N102" i="1"/>
  <c r="N330" i="1" s="1"/>
  <c r="N346" i="1" s="1"/>
  <c r="M370" i="1"/>
  <c r="M377" i="1"/>
  <c r="P423" i="1"/>
  <c r="N369" i="1"/>
  <c r="L540" i="1"/>
  <c r="L338" i="1"/>
  <c r="L354" i="1" s="1"/>
  <c r="L263" i="1"/>
  <c r="L252" i="1"/>
  <c r="L240" i="1"/>
  <c r="L233" i="1" s="1"/>
  <c r="L310" i="1"/>
  <c r="L794" i="1"/>
  <c r="M282" i="1"/>
  <c r="M799" i="1"/>
  <c r="N692" i="1"/>
  <c r="N689" i="1" s="1"/>
  <c r="N785" i="1"/>
  <c r="O1136" i="1"/>
  <c r="N1001" i="1"/>
  <c r="O1569" i="1"/>
  <c r="O1568" i="1" s="1"/>
  <c r="L46" i="1"/>
  <c r="L1735" i="1" s="1"/>
  <c r="L1736" i="1"/>
  <c r="N335" i="1"/>
  <c r="N351" i="1" s="1"/>
  <c r="N496" i="1" s="1"/>
  <c r="M369" i="1"/>
  <c r="P282" i="1"/>
  <c r="P799" i="1"/>
  <c r="O986" i="1"/>
  <c r="O989" i="1"/>
  <c r="O988" i="1" s="1"/>
  <c r="M137" i="1"/>
  <c r="N1099" i="1"/>
  <c r="N1132" i="1"/>
  <c r="N1640" i="1"/>
  <c r="N238" i="1"/>
  <c r="N237" i="1"/>
  <c r="N236" i="1" s="1"/>
  <c r="N192" i="1"/>
  <c r="M202" i="1"/>
  <c r="M205" i="1" s="1"/>
  <c r="P469" i="1"/>
  <c r="P468" i="1" s="1"/>
  <c r="O201" i="1"/>
  <c r="O200" i="1" s="1"/>
  <c r="O197" i="1"/>
  <c r="P194" i="1"/>
  <c r="P192" i="1"/>
  <c r="P191" i="1" s="1"/>
  <c r="M98" i="1"/>
  <c r="L57" i="1"/>
  <c r="L1740" i="1"/>
  <c r="M105" i="1"/>
  <c r="M333" i="1" s="1"/>
  <c r="M349" i="1" s="1"/>
  <c r="N148" i="1"/>
  <c r="N144" i="1" s="1"/>
  <c r="N679" i="1"/>
  <c r="N1126" i="1"/>
  <c r="N1088" i="1"/>
  <c r="P1101" i="1"/>
  <c r="P1133" i="1"/>
  <c r="O1824" i="1"/>
  <c r="L369" i="1"/>
  <c r="L358" i="1"/>
  <c r="L538" i="1"/>
  <c r="P536" i="1"/>
  <c r="O673" i="1"/>
  <c r="O670" i="1" s="1"/>
  <c r="M1013" i="1"/>
  <c r="M1012" i="1" s="1"/>
  <c r="M1006" i="1"/>
  <c r="N2" i="1"/>
  <c r="N1742" i="1"/>
  <c r="L267" i="1"/>
  <c r="L256" i="1" s="1"/>
  <c r="L108" i="1"/>
  <c r="L336" i="1" s="1"/>
  <c r="L352" i="1" s="1"/>
  <c r="O547" i="1"/>
  <c r="O369" i="1"/>
  <c r="P495" i="1"/>
  <c r="P484" i="1" s="1"/>
  <c r="P498" i="1"/>
  <c r="P487" i="1" s="1"/>
  <c r="O690" i="1"/>
  <c r="O692" i="1"/>
  <c r="O689" i="1" s="1"/>
  <c r="N575" i="1"/>
  <c r="N441" i="1"/>
  <c r="N440" i="1" s="1"/>
  <c r="N1021" i="1"/>
  <c r="N1020" i="1" s="1"/>
  <c r="N1119" i="1"/>
  <c r="L785" i="1"/>
  <c r="P1083" i="1"/>
  <c r="P1124" i="1"/>
  <c r="O1315" i="1"/>
  <c r="O1399" i="1"/>
  <c r="O1126" i="1"/>
  <c r="O1088" i="1"/>
  <c r="L733" i="1"/>
  <c r="L693" i="1"/>
  <c r="L673" i="1"/>
  <c r="L670" i="1" s="1"/>
  <c r="O1843" i="1"/>
  <c r="L379" i="1"/>
  <c r="L337" i="1"/>
  <c r="L353" i="1" s="1"/>
  <c r="M33" i="1"/>
  <c r="M1723" i="1" s="1"/>
  <c r="M1724" i="1"/>
  <c r="M346" i="1"/>
  <c r="P335" i="1"/>
  <c r="P351" i="1" s="1"/>
  <c r="O533" i="1"/>
  <c r="O347" i="1"/>
  <c r="L679" i="1"/>
  <c r="L1006" i="1"/>
  <c r="L1013" i="1"/>
  <c r="L1012" i="1" s="1"/>
  <c r="N1885" i="1"/>
  <c r="L137" i="1"/>
  <c r="L367" i="1"/>
  <c r="O192" i="1"/>
  <c r="O191" i="1" s="1"/>
  <c r="N341" i="1"/>
  <c r="N357" i="1" s="1"/>
  <c r="P575" i="1"/>
  <c r="O367" i="1"/>
  <c r="O374" i="1" s="1"/>
  <c r="P1315" i="1"/>
  <c r="M22" i="1"/>
  <c r="M1714" i="1"/>
  <c r="P63" i="1"/>
  <c r="L377" i="1"/>
  <c r="L370" i="1"/>
  <c r="L39" i="1"/>
  <c r="O63" i="1"/>
  <c r="N553" i="1"/>
  <c r="O512" i="1"/>
  <c r="L105" i="1"/>
  <c r="L333" i="1" s="1"/>
  <c r="L349" i="1" s="1"/>
  <c r="O907" i="1"/>
  <c r="O939" i="1" s="1"/>
  <c r="O962" i="1" s="1"/>
  <c r="P731" i="1"/>
  <c r="P733" i="1"/>
  <c r="P1088" i="1"/>
  <c r="P240" i="1"/>
  <c r="P263" i="1"/>
  <c r="P252" i="1" s="1"/>
  <c r="P310" i="1"/>
  <c r="P794" i="1"/>
  <c r="L102" i="1"/>
  <c r="L330" i="1" s="1"/>
  <c r="L346" i="1" s="1"/>
  <c r="L425" i="1" s="1"/>
  <c r="L989" i="1"/>
  <c r="L988" i="1" s="1"/>
  <c r="L984" i="1" s="1"/>
  <c r="O1020" i="1"/>
  <c r="N137" i="1"/>
  <c r="N366" i="1"/>
  <c r="N528" i="1"/>
  <c r="N566" i="1"/>
  <c r="O467" i="1"/>
  <c r="O466" i="1" s="1"/>
  <c r="L500" i="1"/>
  <c r="P397" i="1"/>
  <c r="L541" i="1"/>
  <c r="N182" i="1"/>
  <c r="P958" i="1"/>
  <c r="P887" i="1"/>
  <c r="P882" i="1" s="1"/>
  <c r="N22" i="1"/>
  <c r="N1714" i="1"/>
  <c r="O863" i="1"/>
  <c r="O784" i="1"/>
  <c r="N353" i="1"/>
  <c r="P369" i="1"/>
  <c r="P547" i="1"/>
  <c r="O48" i="1"/>
  <c r="O1737" i="1" s="1"/>
  <c r="O1738" i="1"/>
  <c r="O534" i="1"/>
  <c r="N338" i="1"/>
  <c r="N354" i="1" s="1"/>
  <c r="M553" i="1"/>
  <c r="O436" i="1"/>
  <c r="O550" i="1"/>
  <c r="P330" i="1"/>
  <c r="P346" i="1" s="1"/>
  <c r="P714" i="1"/>
  <c r="O1205" i="1"/>
  <c r="O1204" i="1" s="1"/>
  <c r="O1314" i="1"/>
  <c r="O741" i="1"/>
  <c r="O735" i="1" s="1"/>
  <c r="P371" i="1"/>
  <c r="P378" i="1"/>
  <c r="M785" i="1"/>
  <c r="M1105" i="1"/>
  <c r="M1135" i="1"/>
  <c r="N733" i="1"/>
  <c r="N731" i="1"/>
  <c r="N263" i="1"/>
  <c r="N240" i="1"/>
  <c r="N233" i="1" s="1"/>
  <c r="N794" i="1"/>
  <c r="L427" i="1"/>
  <c r="P98" i="1"/>
  <c r="P356" i="1"/>
  <c r="P542" i="1"/>
  <c r="O1099" i="1"/>
  <c r="O1132" i="1"/>
  <c r="N379" i="1"/>
  <c r="N436" i="1"/>
  <c r="L146" i="1"/>
  <c r="N412" i="1"/>
  <c r="M575" i="1"/>
  <c r="O539" i="1"/>
  <c r="O353" i="1"/>
  <c r="O33" i="1"/>
  <c r="O1723" i="1" s="1"/>
  <c r="O1724" i="1"/>
  <c r="M99" i="1"/>
  <c r="M327" i="1" s="1"/>
  <c r="M343" i="1" s="1"/>
  <c r="O1427" i="1"/>
  <c r="O1426" i="1" s="1"/>
  <c r="O733" i="1"/>
  <c r="M1021" i="1"/>
  <c r="M1020" i="1" s="1"/>
  <c r="M1119" i="1"/>
  <c r="N1315" i="1"/>
  <c r="P22" i="1"/>
  <c r="P1714" i="1"/>
  <c r="L553" i="1"/>
  <c r="L192" i="1"/>
  <c r="P113" i="1"/>
  <c r="P341" i="1" s="1"/>
  <c r="P357" i="1" s="1"/>
  <c r="P502" i="1" s="1"/>
  <c r="P491" i="1" s="1"/>
  <c r="P272" i="1"/>
  <c r="P261" i="1" s="1"/>
  <c r="M2" i="1"/>
  <c r="M1742" i="1"/>
  <c r="L204" i="1"/>
  <c r="L203" i="1" s="1"/>
  <c r="O98" i="1"/>
  <c r="P785" i="1"/>
  <c r="L887" i="1"/>
  <c r="L882" i="1" s="1"/>
  <c r="L958" i="1"/>
  <c r="O540" i="1"/>
  <c r="O338" i="1"/>
  <c r="O354" i="1" s="1"/>
  <c r="O499" i="1" s="1"/>
  <c r="P1021" i="1"/>
  <c r="P1020" i="1" s="1"/>
  <c r="P1119" i="1"/>
  <c r="L48" i="1"/>
  <c r="L1737" i="1" s="1"/>
  <c r="L1738" i="1"/>
  <c r="O1728" i="1"/>
  <c r="P2" i="1"/>
  <c r="P1742" i="1"/>
  <c r="M110" i="1"/>
  <c r="M338" i="1" s="1"/>
  <c r="M354" i="1" s="1"/>
  <c r="O99" i="1"/>
  <c r="O327" i="1" s="1"/>
  <c r="O343" i="1" s="1"/>
  <c r="N532" i="1"/>
  <c r="M201" i="1"/>
  <c r="M197" i="1"/>
  <c r="P464" i="1"/>
  <c r="N196" i="1"/>
  <c r="N193" i="1" s="1"/>
  <c r="N103" i="1"/>
  <c r="N331" i="1" s="1"/>
  <c r="N347" i="1" s="1"/>
  <c r="P57" i="1"/>
  <c r="P1740" i="1"/>
  <c r="O22" i="1"/>
  <c r="O1714" i="1"/>
  <c r="L464" i="1"/>
  <c r="L528" i="1"/>
  <c r="L469" i="1"/>
  <c r="L468" i="1" s="1"/>
  <c r="M518" i="1"/>
  <c r="M111" i="1"/>
  <c r="M339" i="1" s="1"/>
  <c r="M355" i="1" s="1"/>
  <c r="N543" i="1"/>
  <c r="M263" i="1"/>
  <c r="M252" i="1" s="1"/>
  <c r="M310" i="1"/>
  <c r="M240" i="1"/>
  <c r="M794" i="1"/>
  <c r="M733" i="1"/>
  <c r="M731" i="1"/>
  <c r="M272" i="1"/>
  <c r="M261" i="1" s="1"/>
  <c r="P1097" i="1"/>
  <c r="P1093" i="1"/>
  <c r="P1095" i="1"/>
  <c r="P1096" i="1"/>
  <c r="O1593" i="1"/>
  <c r="L304" i="1"/>
  <c r="L417" i="1"/>
  <c r="L416" i="1" s="1"/>
  <c r="L298" i="1"/>
  <c r="L302" i="1" s="1"/>
  <c r="M690" i="1"/>
  <c r="M692" i="1"/>
  <c r="M689" i="1" s="1"/>
  <c r="M335" i="1"/>
  <c r="M351" i="1" s="1"/>
  <c r="P46" i="1"/>
  <c r="P1735" i="1" s="1"/>
  <c r="P49" i="1"/>
  <c r="P1736" i="1"/>
  <c r="N368" i="1"/>
  <c r="N546" i="1"/>
  <c r="L41" i="1"/>
  <c r="L1731" i="1"/>
  <c r="P201" i="1"/>
  <c r="P200" i="1" s="1"/>
  <c r="P197" i="1"/>
  <c r="M373" i="1"/>
  <c r="P273" i="1"/>
  <c r="P280" i="1"/>
  <c r="P279" i="1" s="1"/>
  <c r="P797" i="1"/>
  <c r="N203" i="1"/>
  <c r="L741" i="1"/>
  <c r="L735" i="1" s="1"/>
  <c r="P518" i="1"/>
  <c r="M882" i="1"/>
  <c r="N98" i="1"/>
  <c r="N555" i="1"/>
  <c r="M528" i="1"/>
  <c r="M464" i="1"/>
  <c r="M469" i="1"/>
  <c r="M468" i="1" s="1"/>
  <c r="M1136" i="1"/>
  <c r="N1006" i="1"/>
  <c r="N1013" i="1"/>
  <c r="N2253" i="1"/>
  <c r="N2233" i="1" s="1"/>
  <c r="O137" i="1"/>
  <c r="O366" i="1"/>
  <c r="N644" i="1"/>
  <c r="P673" i="1"/>
  <c r="P670" i="1" s="1"/>
  <c r="P694" i="1"/>
  <c r="L440" i="1"/>
  <c r="L731" i="1"/>
  <c r="O532" i="1"/>
  <c r="O2" i="1"/>
  <c r="O1742" i="1"/>
  <c r="L347" i="1"/>
  <c r="L533" i="1"/>
  <c r="L182" i="1"/>
  <c r="L181" i="1" s="1"/>
  <c r="L564" i="1"/>
  <c r="N501" i="1"/>
  <c r="N490" i="1" s="1"/>
  <c r="N907" i="1"/>
  <c r="N939" i="1" s="1"/>
  <c r="N962" i="1" s="1"/>
  <c r="M1001" i="1"/>
  <c r="M1000" i="1" s="1"/>
  <c r="M1315" i="1"/>
  <c r="N1136" i="1"/>
  <c r="M46" i="1"/>
  <c r="M1735" i="1" s="1"/>
  <c r="M49" i="1"/>
  <c r="M1736" i="1"/>
  <c r="P907" i="1"/>
  <c r="P939" i="1" s="1"/>
  <c r="P962" i="1" s="1"/>
  <c r="O298" i="1"/>
  <c r="O302" i="1" s="1"/>
  <c r="O304" i="1"/>
  <c r="O417" i="1"/>
  <c r="O416" i="1" s="1"/>
  <c r="N512" i="1"/>
  <c r="L907" i="1"/>
  <c r="L939" i="1" s="1"/>
  <c r="L962" i="1" s="1"/>
  <c r="N538" i="1"/>
  <c r="O262" i="1"/>
  <c r="O145" i="1"/>
  <c r="O144" i="1" s="1"/>
  <c r="L2" i="1"/>
  <c r="L1742" i="1"/>
  <c r="L565" i="1"/>
  <c r="L539" i="1"/>
  <c r="M397" i="1"/>
  <c r="M438" i="1"/>
  <c r="M564" i="1"/>
  <c r="N57" i="1"/>
  <c r="N1740" i="1"/>
  <c r="N467" i="1"/>
  <c r="N466" i="1" s="1"/>
  <c r="N464" i="1"/>
  <c r="P145" i="1"/>
  <c r="P144" i="1" s="1"/>
  <c r="P137" i="1"/>
  <c r="P366" i="1"/>
  <c r="O549" i="1"/>
  <c r="O371" i="1"/>
  <c r="O378" i="1"/>
  <c r="O330" i="1"/>
  <c r="O346" i="1" s="1"/>
  <c r="O425" i="1" s="1"/>
  <c r="O280" i="1"/>
  <c r="O279" i="1" s="1"/>
  <c r="O797" i="1"/>
  <c r="O273" i="1"/>
  <c r="O233" i="1" s="1"/>
  <c r="N542" i="1"/>
  <c r="P415" i="1"/>
  <c r="P414" i="1" s="1"/>
  <c r="P412" i="1"/>
  <c r="L98" i="1"/>
  <c r="M108" i="1"/>
  <c r="M336" i="1" s="1"/>
  <c r="M352" i="1" s="1"/>
  <c r="M497" i="1" s="1"/>
  <c r="M486" i="1" s="1"/>
  <c r="M267" i="1"/>
  <c r="M256" i="1" s="1"/>
  <c r="N33" i="1"/>
  <c r="N1723" i="1" s="1"/>
  <c r="N1724" i="1"/>
  <c r="O397" i="1"/>
  <c r="N417" i="1"/>
  <c r="N416" i="1" s="1"/>
  <c r="L99" i="1"/>
  <c r="L327" i="1" s="1"/>
  <c r="L343" i="1" s="1"/>
  <c r="M958" i="1"/>
  <c r="M1126" i="1"/>
  <c r="L1314" i="1"/>
  <c r="N1399" i="1"/>
  <c r="P2233" i="1"/>
  <c r="O2295" i="1"/>
  <c r="O1546" i="1"/>
  <c r="L237" i="1"/>
  <c r="L236" i="1" s="1"/>
  <c r="L238" i="1"/>
  <c r="P543" i="1"/>
  <c r="L33" i="1"/>
  <c r="L1723" i="1" s="1"/>
  <c r="L1724" i="1"/>
  <c r="O183" i="1"/>
  <c r="M192" i="1"/>
  <c r="M191" i="1" s="1"/>
  <c r="O672" i="1"/>
  <c r="N552" i="1"/>
  <c r="M183" i="1"/>
  <c r="P986" i="1"/>
  <c r="P989" i="1"/>
  <c r="P988" i="1" s="1"/>
  <c r="O1105" i="1"/>
  <c r="O1135" i="1"/>
  <c r="N741" i="1"/>
  <c r="N735" i="1" s="1"/>
  <c r="M331" i="1"/>
  <c r="M347" i="1" s="1"/>
  <c r="N39" i="1"/>
  <c r="N1602" i="1" s="1"/>
  <c r="M540" i="1"/>
  <c r="P553" i="1"/>
  <c r="N1095" i="1"/>
  <c r="N1093" i="1"/>
  <c r="N1096" i="1"/>
  <c r="N1097" i="1"/>
  <c r="P1013" i="1"/>
  <c r="P1010" i="1"/>
  <c r="P1006" i="1"/>
  <c r="P1593" i="1"/>
  <c r="G1665" i="1"/>
  <c r="H1665" i="1"/>
  <c r="I1665" i="1"/>
  <c r="F1665" i="1"/>
  <c r="I37" i="1"/>
  <c r="H37" i="1"/>
  <c r="G37" i="1"/>
  <c r="F37" i="1"/>
  <c r="I1664" i="1"/>
  <c r="H1664" i="1"/>
  <c r="G1664" i="1"/>
  <c r="F1664" i="1"/>
  <c r="Q1205" i="1" l="1"/>
  <c r="Q1204" i="1" s="1"/>
  <c r="O738" i="1" a="1"/>
  <c r="O738" i="1" s="1"/>
  <c r="O736" i="1" a="1"/>
  <c r="O736" i="1" s="1"/>
  <c r="O737" i="1" s="1"/>
  <c r="N738" i="1" a="1"/>
  <c r="N738" i="1" s="1"/>
  <c r="N736" i="1" a="1"/>
  <c r="N736" i="1" s="1"/>
  <c r="O1010" i="1"/>
  <c r="O1009" i="1" s="1"/>
  <c r="P1003" i="1"/>
  <c r="M1609" i="1"/>
  <c r="M1608" i="1" s="1"/>
  <c r="M1607" i="1" s="1"/>
  <c r="O38" i="1"/>
  <c r="O1330" i="1" s="1"/>
  <c r="O1658" i="1"/>
  <c r="O1659" i="1" s="1"/>
  <c r="N1344" i="1"/>
  <c r="N1343" i="1" s="1"/>
  <c r="N1342" i="1" s="1"/>
  <c r="P1207" i="1"/>
  <c r="P1205" i="1" s="1"/>
  <c r="P1204" i="1" s="1"/>
  <c r="P1429" i="1"/>
  <c r="P1427" i="1" s="1"/>
  <c r="P1426" i="1" s="1"/>
  <c r="P1345" i="1"/>
  <c r="P1343" i="1" s="1"/>
  <c r="P1342" i="1" s="1"/>
  <c r="P1618" i="1"/>
  <c r="P1616" i="1" s="1"/>
  <c r="P1615" i="1" s="1"/>
  <c r="P1571" i="1"/>
  <c r="P1569" i="1" s="1"/>
  <c r="P1568" i="1" s="1"/>
  <c r="Q738" i="1" a="1"/>
  <c r="Q738" i="1" s="1"/>
  <c r="Q736" i="1" a="1"/>
  <c r="Q736" i="1" s="1"/>
  <c r="Q737" i="1" s="1"/>
  <c r="P1161" i="1"/>
  <c r="P1653" i="1"/>
  <c r="P1603" i="1"/>
  <c r="P1512" i="1"/>
  <c r="P1556" i="1"/>
  <c r="P1009" i="1"/>
  <c r="O1161" i="1"/>
  <c r="O1653" i="1"/>
  <c r="O1512" i="1"/>
  <c r="O1603" i="1"/>
  <c r="O1556" i="1"/>
  <c r="O1511" i="1"/>
  <c r="N1603" i="1"/>
  <c r="N1601" i="1" s="1"/>
  <c r="N1600" i="1" s="1"/>
  <c r="N1512" i="1"/>
  <c r="N1653" i="1"/>
  <c r="N1161" i="1"/>
  <c r="N1556" i="1"/>
  <c r="N1652" i="1"/>
  <c r="N1617" i="1"/>
  <c r="N1616" i="1" s="1"/>
  <c r="N1615" i="1" s="1"/>
  <c r="N1206" i="1"/>
  <c r="N1205" i="1" s="1"/>
  <c r="N1204" i="1" s="1"/>
  <c r="N1563" i="1"/>
  <c r="N1561" i="1" s="1"/>
  <c r="N1560" i="1" s="1"/>
  <c r="N1184" i="1"/>
  <c r="N1182" i="1" s="1"/>
  <c r="N1181" i="1" s="1"/>
  <c r="N1610" i="1"/>
  <c r="N1331" i="1"/>
  <c r="N1415" i="1"/>
  <c r="O1562" i="1"/>
  <c r="N1609" i="1"/>
  <c r="N1608" i="1" s="1"/>
  <c r="N1607" i="1" s="1"/>
  <c r="O1555" i="1"/>
  <c r="O1554" i="1" s="1"/>
  <c r="O1553" i="1" s="1"/>
  <c r="N1511" i="1"/>
  <c r="N1414" i="1"/>
  <c r="L736" i="1" a="1"/>
  <c r="L736" i="1" s="1"/>
  <c r="L738" i="1" a="1"/>
  <c r="L738" i="1" s="1"/>
  <c r="P1012" i="1"/>
  <c r="L1184" i="1"/>
  <c r="L1415" i="1"/>
  <c r="L1413" i="1" s="1"/>
  <c r="L1412" i="1" s="1"/>
  <c r="L1563" i="1"/>
  <c r="L1331" i="1"/>
  <c r="L1610" i="1"/>
  <c r="O1652" i="1"/>
  <c r="L144" i="1"/>
  <c r="M1160" i="1"/>
  <c r="Q1119" i="1"/>
  <c r="Q1022" i="1"/>
  <c r="Q1021" i="1" s="1"/>
  <c r="Q1020" i="1" s="1"/>
  <c r="P1160" i="1"/>
  <c r="N1555" i="1"/>
  <c r="L1609" i="1"/>
  <c r="P1602" i="1"/>
  <c r="P1601" i="1" s="1"/>
  <c r="P1600" i="1" s="1"/>
  <c r="P33" i="1"/>
  <c r="P1723" i="1" s="1"/>
  <c r="P1511" i="1"/>
  <c r="P1510" i="1" s="1"/>
  <c r="P1509" i="1" s="1"/>
  <c r="M1429" i="1"/>
  <c r="M1345" i="1"/>
  <c r="M1618" i="1"/>
  <c r="M1207" i="1"/>
  <c r="M1571" i="1"/>
  <c r="M1617" i="1"/>
  <c r="M1727" i="1"/>
  <c r="L1556" i="1"/>
  <c r="L1603" i="1"/>
  <c r="L1601" i="1" s="1"/>
  <c r="L1600" i="1" s="1"/>
  <c r="L1653" i="1"/>
  <c r="L1512" i="1"/>
  <c r="L1161" i="1"/>
  <c r="Q1161" i="1"/>
  <c r="Q1512" i="1"/>
  <c r="Q1653" i="1"/>
  <c r="Q1603" i="1"/>
  <c r="Q1556" i="1"/>
  <c r="M1562" i="1"/>
  <c r="P1570" i="1"/>
  <c r="N1429" i="1"/>
  <c r="N1427" i="1" s="1"/>
  <c r="N1426" i="1" s="1"/>
  <c r="N1618" i="1"/>
  <c r="N1345" i="1"/>
  <c r="N1207" i="1"/>
  <c r="N1571" i="1"/>
  <c r="N1569" i="1" s="1"/>
  <c r="N1568" i="1" s="1"/>
  <c r="L1330" i="1"/>
  <c r="L1329" i="1" s="1"/>
  <c r="L1328" i="1" s="1"/>
  <c r="O1160" i="1"/>
  <c r="O1159" i="1" s="1"/>
  <c r="O1158" i="1" s="1"/>
  <c r="O1000" i="1"/>
  <c r="O1602" i="1"/>
  <c r="O1601" i="1" s="1"/>
  <c r="O1600" i="1" s="1"/>
  <c r="M182" i="1"/>
  <c r="P1724" i="1"/>
  <c r="O182" i="1"/>
  <c r="O181" i="1" s="1"/>
  <c r="N48" i="1"/>
  <c r="N1737" i="1" s="1"/>
  <c r="P38" i="1"/>
  <c r="P37" i="1" s="1"/>
  <c r="P1726" i="1" s="1"/>
  <c r="Q1429" i="1"/>
  <c r="Q1427" i="1" s="1"/>
  <c r="Q1426" i="1" s="1"/>
  <c r="Q1345" i="1"/>
  <c r="Q1343" i="1" s="1"/>
  <c r="Q1342" i="1" s="1"/>
  <c r="Q1207" i="1"/>
  <c r="Q1618" i="1"/>
  <c r="Q1571" i="1"/>
  <c r="Q1569" i="1" s="1"/>
  <c r="Q1568" i="1" s="1"/>
  <c r="Q1617" i="1"/>
  <c r="Q1616" i="1" s="1"/>
  <c r="Q1615" i="1" s="1"/>
  <c r="Q365" i="1"/>
  <c r="P1652" i="1"/>
  <c r="M1603" i="1"/>
  <c r="M1601" i="1" s="1"/>
  <c r="M1600" i="1" s="1"/>
  <c r="M1161" i="1"/>
  <c r="M1653" i="1"/>
  <c r="M1651" i="1" s="1"/>
  <c r="M1650" i="1" s="1"/>
  <c r="M1512" i="1"/>
  <c r="M1510" i="1" s="1"/>
  <c r="M1509" i="1" s="1"/>
  <c r="M1556" i="1"/>
  <c r="M1415" i="1"/>
  <c r="M1610" i="1"/>
  <c r="M1563" i="1"/>
  <c r="M1184" i="1"/>
  <c r="M1182" i="1" s="1"/>
  <c r="M1181" i="1" s="1"/>
  <c r="M1331" i="1"/>
  <c r="N1160" i="1"/>
  <c r="L1562" i="1"/>
  <c r="L1561" i="1" s="1"/>
  <c r="L1560" i="1" s="1"/>
  <c r="M1728" i="1"/>
  <c r="M1555" i="1"/>
  <c r="M1554" i="1" s="1"/>
  <c r="M1553" i="1" s="1"/>
  <c r="N1330" i="1"/>
  <c r="N1012" i="1"/>
  <c r="M200" i="1"/>
  <c r="L1183" i="1"/>
  <c r="L1182" i="1" s="1"/>
  <c r="L1181" i="1" s="1"/>
  <c r="M1570" i="1"/>
  <c r="Q552" i="1"/>
  <c r="O1003" i="1"/>
  <c r="Q426" i="1"/>
  <c r="Q423" i="1" s="1"/>
  <c r="M467" i="1"/>
  <c r="M466" i="1" s="1"/>
  <c r="L1001" i="1"/>
  <c r="L1000" i="1" s="1"/>
  <c r="O501" i="1"/>
  <c r="O490" i="1" s="1"/>
  <c r="Q192" i="1"/>
  <c r="Q191" i="1" s="1"/>
  <c r="Q194" i="1"/>
  <c r="P1729" i="1"/>
  <c r="P1665" i="1"/>
  <c r="Q467" i="1"/>
  <c r="Q466" i="1" s="1"/>
  <c r="Q494" i="1"/>
  <c r="Q483" i="1" s="1"/>
  <c r="Q1601" i="1"/>
  <c r="Q1600" i="1" s="1"/>
  <c r="O426" i="1"/>
  <c r="O424" i="1" s="1"/>
  <c r="Q1729" i="1"/>
  <c r="P332" i="1"/>
  <c r="P348" i="1" s="1"/>
  <c r="P342" i="1" s="1"/>
  <c r="P326" i="1" s="1"/>
  <c r="L494" i="1"/>
  <c r="L483" i="1" s="1"/>
  <c r="M426" i="1"/>
  <c r="M423" i="1" s="1"/>
  <c r="L1616" i="1"/>
  <c r="L1615" i="1" s="1"/>
  <c r="Q1510" i="1"/>
  <c r="Q1509" i="1" s="1"/>
  <c r="Q412" i="1"/>
  <c r="Q415" i="1"/>
  <c r="Q414" i="1" s="1"/>
  <c r="Q527" i="1"/>
  <c r="M496" i="1"/>
  <c r="M485" i="1" s="1"/>
  <c r="Q734" i="1"/>
  <c r="Q1724" i="1"/>
  <c r="Q33" i="1"/>
  <c r="Q1723" i="1" s="1"/>
  <c r="Q376" i="1"/>
  <c r="Q432" i="1"/>
  <c r="Q435" i="1" s="1"/>
  <c r="Q262" i="1"/>
  <c r="Q1010" i="1"/>
  <c r="Q1009" i="1" s="1"/>
  <c r="Q252" i="1"/>
  <c r="Q251" i="1" s="1"/>
  <c r="Q1713" i="1"/>
  <c r="Q1711" i="1" s="1"/>
  <c r="Q20" i="1"/>
  <c r="Q38" i="1"/>
  <c r="Q425" i="1"/>
  <c r="Q424" i="1" s="1"/>
  <c r="Q497" i="1"/>
  <c r="Q486" i="1" s="1"/>
  <c r="Q792" i="1"/>
  <c r="Q835" i="1" s="1"/>
  <c r="Q868" i="1" s="1"/>
  <c r="Q1159" i="1"/>
  <c r="Q1158" i="1" s="1"/>
  <c r="Q1728" i="1"/>
  <c r="Q510" i="1"/>
  <c r="Q509" i="1" s="1"/>
  <c r="Q503" i="1"/>
  <c r="Q418" i="1"/>
  <c r="Q550" i="1"/>
  <c r="Q547" i="1"/>
  <c r="Q332" i="1"/>
  <c r="Q348" i="1" s="1"/>
  <c r="Q534" i="1"/>
  <c r="Q291" i="1"/>
  <c r="Q498" i="1"/>
  <c r="Q487" i="1" s="1"/>
  <c r="Q427" i="1"/>
  <c r="Q725" i="1"/>
  <c r="Q722" i="1" s="1"/>
  <c r="Q721" i="1" s="1"/>
  <c r="Q375" i="1"/>
  <c r="Q431" i="1"/>
  <c r="Q546" i="1"/>
  <c r="Q538" i="1"/>
  <c r="Q548" i="1"/>
  <c r="O1510" i="1"/>
  <c r="O1509" i="1" s="1"/>
  <c r="M1729" i="1"/>
  <c r="M1665" i="1"/>
  <c r="L1665" i="1"/>
  <c r="L1729" i="1"/>
  <c r="P496" i="1"/>
  <c r="P485" i="1" s="1"/>
  <c r="N1000" i="1"/>
  <c r="O542" i="1"/>
  <c r="N1727" i="1"/>
  <c r="M499" i="1"/>
  <c r="M488" i="1" s="1"/>
  <c r="L498" i="1"/>
  <c r="L487" i="1" s="1"/>
  <c r="L512" i="1"/>
  <c r="M251" i="1"/>
  <c r="L497" i="1"/>
  <c r="L486" i="1" s="1"/>
  <c r="P251" i="1"/>
  <c r="L251" i="1"/>
  <c r="O1823" i="1"/>
  <c r="L262" i="1"/>
  <c r="P425" i="1"/>
  <c r="P424" i="1" s="1"/>
  <c r="L499" i="1"/>
  <c r="L488" i="1" s="1"/>
  <c r="M1010" i="1"/>
  <c r="M1009" i="1" s="1"/>
  <c r="L502" i="1"/>
  <c r="O984" i="1"/>
  <c r="L527" i="1"/>
  <c r="N1665" i="1"/>
  <c r="N1729" i="1"/>
  <c r="L291" i="1"/>
  <c r="N426" i="1"/>
  <c r="L1727" i="1"/>
  <c r="N1003" i="1"/>
  <c r="P467" i="1"/>
  <c r="P466" i="1" s="1"/>
  <c r="O1651" i="1"/>
  <c r="O1650" i="1" s="1"/>
  <c r="N262" i="1"/>
  <c r="L1608" i="1"/>
  <c r="L1607" i="1" s="1"/>
  <c r="O1727" i="1"/>
  <c r="M1561" i="1"/>
  <c r="M1560" i="1" s="1"/>
  <c r="P233" i="1"/>
  <c r="P181" i="1" s="1"/>
  <c r="L37" i="1"/>
  <c r="L1726" i="1" s="1"/>
  <c r="O37" i="1"/>
  <c r="O1726" i="1" s="1"/>
  <c r="M1329" i="1"/>
  <c r="M1328" i="1" s="1"/>
  <c r="N181" i="1"/>
  <c r="M204" i="1"/>
  <c r="M203" i="1" s="1"/>
  <c r="P1728" i="1"/>
  <c r="N252" i="1"/>
  <c r="N251" i="1" s="1"/>
  <c r="P1554" i="1"/>
  <c r="P1553" i="1" s="1"/>
  <c r="L1205" i="1"/>
  <c r="L1204" i="1" s="1"/>
  <c r="L1569" i="1"/>
  <c r="L1568" i="1" s="1"/>
  <c r="N37" i="1"/>
  <c r="N1726" i="1" s="1"/>
  <c r="M1159" i="1"/>
  <c r="M1158" i="1" s="1"/>
  <c r="L1010" i="1"/>
  <c r="L1009" i="1" s="1"/>
  <c r="M1413" i="1"/>
  <c r="M1412" i="1" s="1"/>
  <c r="N734" i="1"/>
  <c r="L734" i="1"/>
  <c r="O734" i="1"/>
  <c r="M750" i="1"/>
  <c r="M745" i="1"/>
  <c r="M746" i="1"/>
  <c r="M747" i="1"/>
  <c r="M748" i="1"/>
  <c r="M749" i="1"/>
  <c r="O785" i="1"/>
  <c r="N373" i="1"/>
  <c r="N365" i="1"/>
  <c r="M761" i="1"/>
  <c r="M757" i="1"/>
  <c r="M758" i="1"/>
  <c r="M759" i="1"/>
  <c r="M760" i="1"/>
  <c r="M762" i="1"/>
  <c r="M425" i="1"/>
  <c r="M737" i="1"/>
  <c r="N499" i="1"/>
  <c r="N502" i="1"/>
  <c r="N491" i="1" s="1"/>
  <c r="O725" i="1"/>
  <c r="O722" i="1" s="1"/>
  <c r="O721" i="1" s="1"/>
  <c r="P501" i="1"/>
  <c r="P490" i="1" s="1"/>
  <c r="M502" i="1"/>
  <c r="M491" i="1" s="1"/>
  <c r="N1713" i="1"/>
  <c r="N1711" i="1" s="1"/>
  <c r="N20" i="1"/>
  <c r="N488" i="1"/>
  <c r="M537" i="1"/>
  <c r="M565" i="1"/>
  <c r="L1159" i="1"/>
  <c r="L1158" i="1" s="1"/>
  <c r="L510" i="1"/>
  <c r="L509" i="1" s="1"/>
  <c r="L503" i="1"/>
  <c r="O370" i="1"/>
  <c r="O377" i="1"/>
  <c r="O548" i="1"/>
  <c r="L552" i="1"/>
  <c r="M494" i="1"/>
  <c r="M483" i="1" s="1"/>
  <c r="M512" i="1"/>
  <c r="M379" i="1"/>
  <c r="N425" i="1"/>
  <c r="N535" i="1"/>
  <c r="O373" i="1"/>
  <c r="L792" i="1"/>
  <c r="L835" i="1" s="1"/>
  <c r="L868" i="1" s="1"/>
  <c r="N422" i="1"/>
  <c r="N418" i="1"/>
  <c r="P984" i="1"/>
  <c r="P565" i="1"/>
  <c r="L422" i="1"/>
  <c r="L418" i="1"/>
  <c r="L532" i="1"/>
  <c r="M1657" i="1"/>
  <c r="M1656" i="1" s="1"/>
  <c r="P725" i="1"/>
  <c r="P722" i="1" s="1"/>
  <c r="P721" i="1" s="1"/>
  <c r="O486" i="1"/>
  <c r="O538" i="1"/>
  <c r="P418" i="1"/>
  <c r="O1657" i="1"/>
  <c r="O1656" i="1" s="1"/>
  <c r="N332" i="1"/>
  <c r="N348" i="1" s="1"/>
  <c r="L534" i="1"/>
  <c r="L332" i="1"/>
  <c r="L348" i="1" s="1"/>
  <c r="L493" i="1" s="1"/>
  <c r="M1713" i="1"/>
  <c r="M1711" i="1" s="1"/>
  <c r="M20" i="1"/>
  <c r="O1713" i="1"/>
  <c r="O1711" i="1" s="1"/>
  <c r="O20" i="1"/>
  <c r="O470" i="1"/>
  <c r="L415" i="1"/>
  <c r="L414" i="1" s="1"/>
  <c r="L412" i="1"/>
  <c r="L467" i="1"/>
  <c r="L466" i="1" s="1"/>
  <c r="O493" i="1"/>
  <c r="P537" i="1"/>
  <c r="N423" i="1"/>
  <c r="M422" i="1"/>
  <c r="M418" i="1"/>
  <c r="M532" i="1"/>
  <c r="O342" i="1"/>
  <c r="O326" i="1" s="1"/>
  <c r="N486" i="1"/>
  <c r="P365" i="1"/>
  <c r="P373" i="1"/>
  <c r="N494" i="1"/>
  <c r="N483" i="1" s="1"/>
  <c r="N792" i="1"/>
  <c r="O537" i="1"/>
  <c r="O518" i="1"/>
  <c r="O565" i="1"/>
  <c r="O496" i="1"/>
  <c r="O485" i="1" s="1"/>
  <c r="L491" i="1"/>
  <c r="M533" i="1"/>
  <c r="O498" i="1"/>
  <c r="P512" i="1"/>
  <c r="P379" i="1"/>
  <c r="P291" i="1" s="1"/>
  <c r="P552" i="1"/>
  <c r="P762" i="1"/>
  <c r="P757" i="1"/>
  <c r="P758" i="1"/>
  <c r="P759" i="1"/>
  <c r="P761" i="1"/>
  <c r="P760" i="1"/>
  <c r="P749" i="1"/>
  <c r="P750" i="1"/>
  <c r="P745" i="1"/>
  <c r="P746" i="1"/>
  <c r="P747" i="1"/>
  <c r="P748" i="1"/>
  <c r="O422" i="1"/>
  <c r="O418" i="1"/>
  <c r="L692" i="1"/>
  <c r="L689" i="1" s="1"/>
  <c r="L690" i="1"/>
  <c r="P737" i="1"/>
  <c r="O368" i="1"/>
  <c r="O365" i="1" s="1"/>
  <c r="O546" i="1"/>
  <c r="O358" i="1"/>
  <c r="O291" i="1" s="1"/>
  <c r="N310" i="1"/>
  <c r="L1343" i="1"/>
  <c r="L1342" i="1" s="1"/>
  <c r="L374" i="1"/>
  <c r="L365" i="1"/>
  <c r="O432" i="1"/>
  <c r="O435" i="1" s="1"/>
  <c r="O376" i="1"/>
  <c r="M543" i="1"/>
  <c r="L1730" i="1"/>
  <c r="L1711" i="1" s="1"/>
  <c r="L20" i="1"/>
  <c r="L194" i="1"/>
  <c r="P792" i="1"/>
  <c r="P840" i="1" s="1"/>
  <c r="P873" i="1" s="1"/>
  <c r="O527" i="1"/>
  <c r="L426" i="1"/>
  <c r="L424" i="1" s="1"/>
  <c r="L191" i="1"/>
  <c r="P534" i="1"/>
  <c r="L725" i="1"/>
  <c r="L722" i="1" s="1"/>
  <c r="L721" i="1" s="1"/>
  <c r="O204" i="1"/>
  <c r="O203" i="1" s="1"/>
  <c r="N485" i="1"/>
  <c r="N537" i="1"/>
  <c r="N435" i="1"/>
  <c r="N547" i="1"/>
  <c r="L543" i="1"/>
  <c r="P692" i="1"/>
  <c r="P689" i="1" s="1"/>
  <c r="P691" i="1"/>
  <c r="O792" i="1"/>
  <c r="O838" i="1" s="1"/>
  <c r="O871" i="1" s="1"/>
  <c r="N725" i="1"/>
  <c r="N722" i="1" s="1"/>
  <c r="N721" i="1" s="1"/>
  <c r="P204" i="1"/>
  <c r="P203" i="1" s="1"/>
  <c r="O487" i="1"/>
  <c r="N1554" i="1"/>
  <c r="N1553" i="1" s="1"/>
  <c r="N1728" i="1"/>
  <c r="N1657" i="1"/>
  <c r="N1656" i="1" s="1"/>
  <c r="N427" i="1"/>
  <c r="M233" i="1"/>
  <c r="N415" i="1"/>
  <c r="N414" i="1" s="1"/>
  <c r="N376" i="1"/>
  <c r="N432" i="1"/>
  <c r="P503" i="1"/>
  <c r="P510" i="1"/>
  <c r="P509" i="1" s="1"/>
  <c r="M725" i="1"/>
  <c r="M722" i="1" s="1"/>
  <c r="M721" i="1" s="1"/>
  <c r="M376" i="1"/>
  <c r="M432" i="1"/>
  <c r="M435" i="1" s="1"/>
  <c r="L535" i="1"/>
  <c r="P438" i="1"/>
  <c r="P564" i="1"/>
  <c r="M792" i="1"/>
  <c r="M835" i="1"/>
  <c r="M868" i="1" s="1"/>
  <c r="N375" i="1"/>
  <c r="N431" i="1"/>
  <c r="N434" i="1" s="1"/>
  <c r="M534" i="1"/>
  <c r="M332" i="1"/>
  <c r="M348" i="1" s="1"/>
  <c r="P262" i="1"/>
  <c r="M48" i="1"/>
  <c r="M1737" i="1" s="1"/>
  <c r="M1738" i="1"/>
  <c r="M1343" i="1"/>
  <c r="M1342" i="1" s="1"/>
  <c r="L432" i="1"/>
  <c r="L430" i="1" s="1"/>
  <c r="L376" i="1"/>
  <c r="O552" i="1"/>
  <c r="O415" i="1"/>
  <c r="O414" i="1" s="1"/>
  <c r="O412" i="1"/>
  <c r="N1010" i="1"/>
  <c r="N1009" i="1" s="1"/>
  <c r="M262" i="1"/>
  <c r="M546" i="1"/>
  <c r="M368" i="1"/>
  <c r="M358" i="1"/>
  <c r="L1510" i="1"/>
  <c r="L1509" i="1" s="1"/>
  <c r="L1728" i="1"/>
  <c r="L1427" i="1"/>
  <c r="L1426" i="1" s="1"/>
  <c r="L1651" i="1"/>
  <c r="L1650" i="1" s="1"/>
  <c r="P48" i="1"/>
  <c r="P1737" i="1" s="1"/>
  <c r="P1738" i="1"/>
  <c r="P1713" i="1"/>
  <c r="P1711" i="1" s="1"/>
  <c r="P20" i="1"/>
  <c r="N550" i="1"/>
  <c r="P376" i="1"/>
  <c r="P432" i="1"/>
  <c r="P435" i="1" s="1"/>
  <c r="L548" i="1"/>
  <c r="N194" i="1"/>
  <c r="M510" i="1"/>
  <c r="M509" i="1" s="1"/>
  <c r="M503" i="1"/>
  <c r="M548" i="1"/>
  <c r="P427" i="1"/>
  <c r="N533" i="1"/>
  <c r="N540" i="1"/>
  <c r="O488" i="1"/>
  <c r="N498" i="1"/>
  <c r="N487" i="1" s="1"/>
  <c r="L1657" i="1"/>
  <c r="L1656" i="1" s="1"/>
  <c r="N191" i="1"/>
  <c r="P532" i="1"/>
  <c r="P375" i="1"/>
  <c r="P431" i="1"/>
  <c r="N539" i="1"/>
  <c r="L547" i="1"/>
  <c r="M535" i="1"/>
  <c r="K36" i="1"/>
  <c r="K40" i="1" s="1"/>
  <c r="K1665" i="1" s="1"/>
  <c r="J36" i="1"/>
  <c r="J40" i="1" s="1"/>
  <c r="J1665" i="1" s="1"/>
  <c r="K1664" i="1"/>
  <c r="P1414" i="1" l="1"/>
  <c r="P1330" i="1"/>
  <c r="Q1610" i="1"/>
  <c r="Q1563" i="1"/>
  <c r="Q1184" i="1"/>
  <c r="Q1331" i="1"/>
  <c r="Q1415" i="1"/>
  <c r="Q1330" i="1"/>
  <c r="Q1562" i="1"/>
  <c r="Q1183" i="1"/>
  <c r="Q1609" i="1"/>
  <c r="P1183" i="1"/>
  <c r="P411" i="1"/>
  <c r="P410" i="1" s="1"/>
  <c r="M181" i="1"/>
  <c r="P1563" i="1"/>
  <c r="P1184" i="1"/>
  <c r="P1331" i="1"/>
  <c r="P1610" i="1"/>
  <c r="P1608" i="1" s="1"/>
  <c r="P1607" i="1" s="1"/>
  <c r="P1415" i="1"/>
  <c r="P1562" i="1"/>
  <c r="P1561" i="1" s="1"/>
  <c r="P1560" i="1" s="1"/>
  <c r="P1727" i="1"/>
  <c r="O1610" i="1"/>
  <c r="O1331" i="1"/>
  <c r="O1329" i="1" s="1"/>
  <c r="O1328" i="1" s="1"/>
  <c r="O1563" i="1"/>
  <c r="O1561" i="1" s="1"/>
  <c r="O1560" i="1" s="1"/>
  <c r="O1184" i="1"/>
  <c r="O1415" i="1"/>
  <c r="O1609" i="1"/>
  <c r="O1608" i="1" s="1"/>
  <c r="O1607" i="1" s="1"/>
  <c r="O1183" i="1"/>
  <c r="O1182" i="1" s="1"/>
  <c r="O1181" i="1" s="1"/>
  <c r="O1414" i="1"/>
  <c r="P1609" i="1"/>
  <c r="Q430" i="1"/>
  <c r="P1658" i="1"/>
  <c r="Q1414" i="1"/>
  <c r="Q1658" i="1"/>
  <c r="Q1659" i="1" s="1"/>
  <c r="Q372" i="1"/>
  <c r="P422" i="1"/>
  <c r="P421" i="1" s="1"/>
  <c r="O423" i="1"/>
  <c r="N1159" i="1"/>
  <c r="N1158" i="1" s="1"/>
  <c r="N1510" i="1"/>
  <c r="N1509" i="1" s="1"/>
  <c r="N424" i="1"/>
  <c r="L1554" i="1"/>
  <c r="L1553" i="1" s="1"/>
  <c r="L492" i="1"/>
  <c r="M424" i="1"/>
  <c r="N1413" i="1"/>
  <c r="N1412" i="1" s="1"/>
  <c r="Q751" i="1"/>
  <c r="Q752" i="1"/>
  <c r="Q753" i="1"/>
  <c r="Q754" i="1"/>
  <c r="Q755" i="1"/>
  <c r="Q756" i="1"/>
  <c r="Q493" i="1"/>
  <c r="Q492" i="1" s="1"/>
  <c r="Q342" i="1"/>
  <c r="Q326" i="1" s="1"/>
  <c r="Q434" i="1"/>
  <c r="Q433" i="1" s="1"/>
  <c r="Q482" i="1"/>
  <c r="Q481" i="1" s="1"/>
  <c r="Q470" i="1"/>
  <c r="Q463" i="1" s="1"/>
  <c r="Q834" i="1"/>
  <c r="Q867" i="1" s="1"/>
  <c r="Q842" i="1"/>
  <c r="Q875" i="1" s="1"/>
  <c r="Q839" i="1"/>
  <c r="Q872" i="1" s="1"/>
  <c r="Q837" i="1"/>
  <c r="Q870" i="1" s="1"/>
  <c r="Q838" i="1"/>
  <c r="Q871" i="1" s="1"/>
  <c r="Q836" i="1"/>
  <c r="Q869" i="1" s="1"/>
  <c r="Q841" i="1"/>
  <c r="Q874" i="1" s="1"/>
  <c r="Q840" i="1"/>
  <c r="Q873" i="1" s="1"/>
  <c r="Q1561" i="1"/>
  <c r="Q1560" i="1" s="1"/>
  <c r="Q1413" i="1"/>
  <c r="Q1412" i="1" s="1"/>
  <c r="Q1727" i="1"/>
  <c r="Q1329" i="1"/>
  <c r="Q1328" i="1" s="1"/>
  <c r="Q37" i="1"/>
  <c r="Q1726" i="1" s="1"/>
  <c r="Q411" i="1"/>
  <c r="Q410" i="1" s="1"/>
  <c r="Q422" i="1"/>
  <c r="Q421" i="1" s="1"/>
  <c r="Q762" i="1"/>
  <c r="Q757" i="1"/>
  <c r="Q758" i="1"/>
  <c r="Q759" i="1"/>
  <c r="Q760" i="1"/>
  <c r="Q761" i="1"/>
  <c r="Q1657" i="1"/>
  <c r="Q1656" i="1" s="1"/>
  <c r="Q745" i="1"/>
  <c r="Q746" i="1"/>
  <c r="Q747" i="1"/>
  <c r="Q748" i="1"/>
  <c r="Q749" i="1"/>
  <c r="Q750" i="1"/>
  <c r="Q1554" i="1"/>
  <c r="Q1553" i="1" s="1"/>
  <c r="Q1651" i="1"/>
  <c r="Q1650" i="1" s="1"/>
  <c r="L435" i="1"/>
  <c r="L433" i="1" s="1"/>
  <c r="M1427" i="1"/>
  <c r="M1426" i="1" s="1"/>
  <c r="M421" i="1"/>
  <c r="L372" i="1"/>
  <c r="O492" i="1"/>
  <c r="L423" i="1"/>
  <c r="L421" i="1" s="1"/>
  <c r="N1651" i="1"/>
  <c r="N1650" i="1" s="1"/>
  <c r="N1329" i="1"/>
  <c r="N1328" i="1" s="1"/>
  <c r="P1651" i="1"/>
  <c r="P1650" i="1" s="1"/>
  <c r="P372" i="1"/>
  <c r="M1205" i="1"/>
  <c r="M1204" i="1" s="1"/>
  <c r="N421" i="1"/>
  <c r="M291" i="1"/>
  <c r="N411" i="1"/>
  <c r="N410" i="1" s="1"/>
  <c r="P1159" i="1"/>
  <c r="P1158" i="1" s="1"/>
  <c r="L411" i="1"/>
  <c r="L410" i="1" s="1"/>
  <c r="N493" i="1"/>
  <c r="N492" i="1" s="1"/>
  <c r="N342" i="1"/>
  <c r="N326" i="1" s="1"/>
  <c r="M493" i="1"/>
  <c r="M492" i="1" s="1"/>
  <c r="M342" i="1"/>
  <c r="M326" i="1" s="1"/>
  <c r="O756" i="1"/>
  <c r="O751" i="1"/>
  <c r="O752" i="1"/>
  <c r="O753" i="1"/>
  <c r="O755" i="1"/>
  <c r="O754" i="1"/>
  <c r="L470" i="1"/>
  <c r="L463" i="1" s="1"/>
  <c r="L482" i="1"/>
  <c r="L481" i="1" s="1"/>
  <c r="M839" i="1"/>
  <c r="M872" i="1" s="1"/>
  <c r="M834" i="1"/>
  <c r="M867" i="1" s="1"/>
  <c r="M837" i="1"/>
  <c r="M870" i="1" s="1"/>
  <c r="M842" i="1"/>
  <c r="M875" i="1" s="1"/>
  <c r="M836" i="1"/>
  <c r="M869" i="1" s="1"/>
  <c r="M838" i="1"/>
  <c r="M871" i="1" s="1"/>
  <c r="M841" i="1"/>
  <c r="M874" i="1" s="1"/>
  <c r="O761" i="1"/>
  <c r="O762" i="1"/>
  <c r="O757" i="1"/>
  <c r="O758" i="1"/>
  <c r="O759" i="1"/>
  <c r="O760" i="1"/>
  <c r="M427" i="1"/>
  <c r="M411" i="1" s="1"/>
  <c r="M410" i="1" s="1"/>
  <c r="M409" i="1" s="1"/>
  <c r="L839" i="1"/>
  <c r="L872" i="1" s="1"/>
  <c r="L837" i="1"/>
  <c r="L870" i="1" s="1"/>
  <c r="L834" i="1"/>
  <c r="L867" i="1" s="1"/>
  <c r="L842" i="1"/>
  <c r="L875" i="1" s="1"/>
  <c r="L836" i="1"/>
  <c r="L869" i="1" s="1"/>
  <c r="L838" i="1"/>
  <c r="L871" i="1" s="1"/>
  <c r="L840" i="1"/>
  <c r="L873" i="1" s="1"/>
  <c r="L841" i="1"/>
  <c r="L874" i="1" s="1"/>
  <c r="P430" i="1"/>
  <c r="P756" i="1"/>
  <c r="P751" i="1"/>
  <c r="P752" i="1"/>
  <c r="P753" i="1"/>
  <c r="P754" i="1"/>
  <c r="P755" i="1"/>
  <c r="O749" i="1"/>
  <c r="O750" i="1"/>
  <c r="O745" i="1"/>
  <c r="O746" i="1"/>
  <c r="O747" i="1"/>
  <c r="O748" i="1"/>
  <c r="L750" i="1"/>
  <c r="L745" i="1"/>
  <c r="L746" i="1"/>
  <c r="L747" i="1"/>
  <c r="L749" i="1"/>
  <c r="L748" i="1"/>
  <c r="L762" i="1"/>
  <c r="L757" i="1"/>
  <c r="L758" i="1"/>
  <c r="L759" i="1"/>
  <c r="L760" i="1"/>
  <c r="L761" i="1"/>
  <c r="L737" i="1"/>
  <c r="M1569" i="1"/>
  <c r="M1568" i="1" s="1"/>
  <c r="O482" i="1"/>
  <c r="O481" i="1" s="1"/>
  <c r="L342" i="1"/>
  <c r="L326" i="1" s="1"/>
  <c r="P493" i="1"/>
  <c r="P492" i="1" s="1"/>
  <c r="O837" i="1"/>
  <c r="O870" i="1" s="1"/>
  <c r="O836" i="1"/>
  <c r="O869" i="1" s="1"/>
  <c r="O842" i="1"/>
  <c r="O875" i="1" s="1"/>
  <c r="O835" i="1"/>
  <c r="O868" i="1" s="1"/>
  <c r="O841" i="1"/>
  <c r="O874" i="1" s="1"/>
  <c r="O834" i="1"/>
  <c r="O867" i="1" s="1"/>
  <c r="O839" i="1"/>
  <c r="O872" i="1" s="1"/>
  <c r="O840" i="1"/>
  <c r="O873" i="1" s="1"/>
  <c r="N291" i="1"/>
  <c r="O427" i="1"/>
  <c r="O411" i="1" s="1"/>
  <c r="O410" i="1" s="1"/>
  <c r="O375" i="1"/>
  <c r="O372" i="1" s="1"/>
  <c r="O431" i="1"/>
  <c r="O430" i="1" s="1"/>
  <c r="O421" i="1"/>
  <c r="N750" i="1"/>
  <c r="N745" i="1"/>
  <c r="N746" i="1"/>
  <c r="N747" i="1"/>
  <c r="N749" i="1"/>
  <c r="N748" i="1"/>
  <c r="P434" i="1"/>
  <c r="P433" i="1" s="1"/>
  <c r="N757" i="1"/>
  <c r="N758" i="1"/>
  <c r="N759" i="1"/>
  <c r="N761" i="1"/>
  <c r="N762" i="1"/>
  <c r="N760" i="1"/>
  <c r="N372" i="1"/>
  <c r="N470" i="1"/>
  <c r="N463" i="1" s="1"/>
  <c r="N534" i="1"/>
  <c r="M552" i="1"/>
  <c r="M840" i="1"/>
  <c r="M873" i="1" s="1"/>
  <c r="M1616" i="1"/>
  <c r="M1615" i="1" s="1"/>
  <c r="M756" i="1"/>
  <c r="M751" i="1"/>
  <c r="M752" i="1"/>
  <c r="M753" i="1"/>
  <c r="M755" i="1"/>
  <c r="M754" i="1"/>
  <c r="P470" i="1"/>
  <c r="P463" i="1" s="1"/>
  <c r="P409" i="1" s="1"/>
  <c r="N433" i="1"/>
  <c r="N839" i="1"/>
  <c r="N872" i="1" s="1"/>
  <c r="N834" i="1"/>
  <c r="N867" i="1" s="1"/>
  <c r="N837" i="1"/>
  <c r="N870" i="1" s="1"/>
  <c r="N842" i="1"/>
  <c r="N875" i="1" s="1"/>
  <c r="N838" i="1"/>
  <c r="N871" i="1" s="1"/>
  <c r="N840" i="1"/>
  <c r="N873" i="1" s="1"/>
  <c r="N841" i="1"/>
  <c r="N874" i="1" s="1"/>
  <c r="N836" i="1"/>
  <c r="N869" i="1" s="1"/>
  <c r="O510" i="1"/>
  <c r="O509" i="1" s="1"/>
  <c r="O503" i="1"/>
  <c r="O463" i="1" s="1"/>
  <c r="P837" i="1"/>
  <c r="P870" i="1" s="1"/>
  <c r="P836" i="1"/>
  <c r="P869" i="1" s="1"/>
  <c r="P841" i="1"/>
  <c r="P874" i="1" s="1"/>
  <c r="P834" i="1"/>
  <c r="P867" i="1" s="1"/>
  <c r="P842" i="1"/>
  <c r="P875" i="1" s="1"/>
  <c r="P839" i="1"/>
  <c r="P872" i="1" s="1"/>
  <c r="N835" i="1"/>
  <c r="N868" i="1" s="1"/>
  <c r="M470" i="1"/>
  <c r="M463" i="1" s="1"/>
  <c r="P835" i="1"/>
  <c r="P868" i="1" s="1"/>
  <c r="P838" i="1"/>
  <c r="P871" i="1" s="1"/>
  <c r="M375" i="1"/>
  <c r="M372" i="1" s="1"/>
  <c r="M431" i="1"/>
  <c r="M430" i="1" s="1"/>
  <c r="M365" i="1"/>
  <c r="N430" i="1"/>
  <c r="N737" i="1"/>
  <c r="J1664" i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P1182" i="1" l="1"/>
  <c r="P1181" i="1" s="1"/>
  <c r="P1659" i="1"/>
  <c r="P1657" i="1"/>
  <c r="P1656" i="1" s="1"/>
  <c r="P1329" i="1"/>
  <c r="P1328" i="1" s="1"/>
  <c r="O1413" i="1"/>
  <c r="O1412" i="1" s="1"/>
  <c r="P1413" i="1"/>
  <c r="P1412" i="1" s="1"/>
  <c r="Q1182" i="1"/>
  <c r="Q1181" i="1" s="1"/>
  <c r="Q1608" i="1"/>
  <c r="Q1607" i="1" s="1"/>
  <c r="Q409" i="1"/>
  <c r="N409" i="1"/>
  <c r="N482" i="1"/>
  <c r="N481" i="1" s="1"/>
  <c r="O409" i="1"/>
  <c r="M482" i="1"/>
  <c r="M481" i="1" s="1"/>
  <c r="O434" i="1"/>
  <c r="O433" i="1" s="1"/>
  <c r="L409" i="1"/>
  <c r="P482" i="1"/>
  <c r="P481" i="1" s="1"/>
  <c r="L756" i="1"/>
  <c r="L751" i="1"/>
  <c r="L752" i="1"/>
  <c r="L753" i="1"/>
  <c r="L754" i="1"/>
  <c r="L755" i="1"/>
  <c r="N755" i="1"/>
  <c r="N756" i="1"/>
  <c r="N751" i="1"/>
  <c r="N752" i="1"/>
  <c r="N753" i="1"/>
  <c r="N754" i="1"/>
  <c r="M434" i="1"/>
  <c r="M433" i="1" s="1"/>
  <c r="G2315" i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J2240" i="1"/>
  <c r="F2254" i="1"/>
  <c r="I2254" i="1"/>
  <c r="H2259" i="1"/>
  <c r="K2259" i="1"/>
  <c r="F2273" i="1"/>
  <c r="K2273" i="1"/>
  <c r="J2276" i="1"/>
  <c r="J2301" i="1"/>
  <c r="I2240" i="1"/>
  <c r="K2240" i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K2295" i="1" l="1"/>
  <c r="K2234" i="1"/>
  <c r="K2253" i="1"/>
  <c r="G2234" i="1"/>
  <c r="I2253" i="1"/>
  <c r="G2253" i="1"/>
  <c r="G2233" i="1" s="1"/>
  <c r="I2234" i="1"/>
  <c r="I2233" i="1" s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J2253" i="1"/>
  <c r="I2272" i="1"/>
  <c r="G2272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H1653" i="1"/>
  <c r="G1653" i="1"/>
  <c r="I1653" i="1"/>
  <c r="E1658" i="1"/>
  <c r="E1663" i="1"/>
  <c r="E1659" i="1"/>
  <c r="E1660" i="1" s="1"/>
  <c r="E1661" i="1" s="1"/>
  <c r="E1662" i="1" s="1"/>
  <c r="E1664" i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F1571" i="1"/>
  <c r="G1571" i="1"/>
  <c r="H1571" i="1"/>
  <c r="F1618" i="1"/>
  <c r="G1618" i="1"/>
  <c r="H1618" i="1"/>
  <c r="I1618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603" i="1" l="1"/>
  <c r="I1603" i="1"/>
  <c r="H1563" i="1"/>
  <c r="H1603" i="1"/>
  <c r="H1556" i="1"/>
  <c r="F1610" i="1"/>
  <c r="F1556" i="1"/>
  <c r="F1563" i="1"/>
  <c r="I1610" i="1"/>
  <c r="G1563" i="1"/>
  <c r="I1563" i="1"/>
  <c r="G1603" i="1"/>
  <c r="I1556" i="1"/>
  <c r="H1610" i="1"/>
  <c r="G1610" i="1"/>
  <c r="G1556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512" i="1"/>
  <c r="H1415" i="1"/>
  <c r="G1512" i="1"/>
  <c r="G1429" i="1"/>
  <c r="H1512" i="1"/>
  <c r="I1415" i="1"/>
  <c r="I1429" i="1"/>
  <c r="G1415" i="1"/>
  <c r="F1415" i="1"/>
  <c r="H1429" i="1"/>
  <c r="F1429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F1345" i="1"/>
  <c r="H1331" i="1"/>
  <c r="I1331" i="1"/>
  <c r="F1331" i="1"/>
  <c r="G1345" i="1"/>
  <c r="H1345" i="1"/>
  <c r="I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F1207" i="1" l="1"/>
  <c r="H1184" i="1"/>
  <c r="H1207" i="1"/>
  <c r="I1207" i="1"/>
  <c r="G1184" i="1"/>
  <c r="F1184" i="1"/>
  <c r="G1207" i="1"/>
  <c r="I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F1161" i="1" l="1"/>
  <c r="G1161" i="1"/>
  <c r="I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36" i="1" s="1" a="1"/>
  <c r="H736" i="1" s="1"/>
  <c r="F741" i="1"/>
  <c r="F735" i="1" s="1"/>
  <c r="F736" i="1" s="1" a="1"/>
  <c r="F736" i="1" s="1"/>
  <c r="I741" i="1"/>
  <c r="I735" i="1" s="1"/>
  <c r="I736" i="1" s="1" a="1"/>
  <c r="I736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G736" i="1" s="1" a="1"/>
  <c r="G736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 a="1"/>
  <c r="K738" i="1" s="1"/>
  <c r="K736" i="1" a="1"/>
  <c r="K736" i="1" s="1"/>
  <c r="J736" i="1" a="1"/>
  <c r="J736" i="1" s="1"/>
  <c r="J745" i="1" s="1"/>
  <c r="J738" i="1" a="1"/>
  <c r="J738" i="1" s="1"/>
  <c r="J758" i="1" s="1"/>
  <c r="I747" i="1"/>
  <c r="H752" i="1"/>
  <c r="H749" i="1"/>
  <c r="F734" i="1"/>
  <c r="F748" i="1"/>
  <c r="J734" i="1"/>
  <c r="H758" i="1"/>
  <c r="H734" i="1"/>
  <c r="H755" i="1"/>
  <c r="H751" i="1"/>
  <c r="H762" i="1"/>
  <c r="H754" i="1"/>
  <c r="H761" i="1"/>
  <c r="F755" i="1"/>
  <c r="I759" i="1"/>
  <c r="I757" i="1"/>
  <c r="I754" i="1"/>
  <c r="I755" i="1"/>
  <c r="I751" i="1"/>
  <c r="I761" i="1"/>
  <c r="H759" i="1"/>
  <c r="I758" i="1"/>
  <c r="I734" i="1"/>
  <c r="H756" i="1"/>
  <c r="H753" i="1"/>
  <c r="F756" i="1"/>
  <c r="F760" i="1"/>
  <c r="F753" i="1"/>
  <c r="F754" i="1"/>
  <c r="F757" i="1"/>
  <c r="F759" i="1"/>
  <c r="F751" i="1"/>
  <c r="F761" i="1"/>
  <c r="F758" i="1"/>
  <c r="F752" i="1"/>
  <c r="F762" i="1"/>
  <c r="H760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F746" i="1" l="1"/>
  <c r="H750" i="1"/>
  <c r="H746" i="1"/>
  <c r="F745" i="1"/>
  <c r="H748" i="1"/>
  <c r="H747" i="1"/>
  <c r="I748" i="1"/>
  <c r="F747" i="1"/>
  <c r="H745" i="1"/>
  <c r="F749" i="1"/>
  <c r="F750" i="1"/>
  <c r="I750" i="1"/>
  <c r="I749" i="1"/>
  <c r="I745" i="1"/>
  <c r="I746" i="1"/>
  <c r="J759" i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0" i="1" s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4" i="1"/>
  <c r="C1659" i="1"/>
  <c r="C1664" i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F1617" i="1" l="1"/>
  <c r="F1570" i="1"/>
  <c r="F1428" i="1"/>
  <c r="F1344" i="1"/>
  <c r="F1206" i="1"/>
  <c r="I1570" i="1"/>
  <c r="I1617" i="1"/>
  <c r="I1428" i="1"/>
  <c r="I1427" i="1" s="1"/>
  <c r="I1426" i="1" s="1"/>
  <c r="I1344" i="1"/>
  <c r="I1343" i="1" s="1"/>
  <c r="I1342" i="1" s="1"/>
  <c r="I1206" i="1"/>
  <c r="I1205" i="1" s="1"/>
  <c r="I1204" i="1" s="1"/>
  <c r="H1617" i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G1617" i="1"/>
  <c r="G1616" i="1" s="1"/>
  <c r="G1615" i="1" s="1"/>
  <c r="G1570" i="1"/>
  <c r="G1569" i="1" s="1"/>
  <c r="G1568" i="1" s="1"/>
  <c r="G1428" i="1"/>
  <c r="G1427" i="1" s="1"/>
  <c r="G1426" i="1" s="1"/>
  <c r="G1344" i="1"/>
  <c r="G1343" i="1" s="1"/>
  <c r="G1342" i="1" s="1"/>
  <c r="G1206" i="1"/>
  <c r="G1205" i="1" s="1"/>
  <c r="G1204" i="1" s="1"/>
  <c r="F1616" i="1"/>
  <c r="F1615" i="1" s="1"/>
  <c r="F1427" i="1"/>
  <c r="F1426" i="1" s="1"/>
  <c r="F1343" i="1"/>
  <c r="F1342" i="1" s="1"/>
  <c r="F1205" i="1"/>
  <c r="F1204" i="1" s="1"/>
  <c r="H1616" i="1"/>
  <c r="H1615" i="1" s="1"/>
  <c r="H1569" i="1"/>
  <c r="H1568" i="1" s="1"/>
  <c r="I1616" i="1"/>
  <c r="I1615" i="1" s="1"/>
  <c r="I1569" i="1"/>
  <c r="I1568" i="1" s="1"/>
  <c r="F1569" i="1"/>
  <c r="F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K1206" i="1" l="1"/>
  <c r="J1736" i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206" i="1" s="1"/>
  <c r="J1429" i="1" l="1"/>
  <c r="J1571" i="1"/>
  <c r="J1207" i="1"/>
  <c r="J1618" i="1"/>
  <c r="J1345" i="1"/>
  <c r="K1344" i="1"/>
  <c r="J1570" i="1"/>
  <c r="K1345" i="1"/>
  <c r="K1429" i="1"/>
  <c r="K1207" i="1"/>
  <c r="K1618" i="1"/>
  <c r="K1571" i="1"/>
  <c r="K1428" i="1"/>
  <c r="K1617" i="1"/>
  <c r="J1344" i="1"/>
  <c r="J1428" i="1"/>
  <c r="J1617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F1658" i="1" l="1"/>
  <c r="F1659" i="1" s="1"/>
  <c r="F1562" i="1"/>
  <c r="F1609" i="1"/>
  <c r="F1414" i="1"/>
  <c r="F1330" i="1"/>
  <c r="F1183" i="1"/>
  <c r="G1652" i="1"/>
  <c r="G1602" i="1"/>
  <c r="G1555" i="1"/>
  <c r="G1511" i="1"/>
  <c r="G1160" i="1"/>
  <c r="G1159" i="1" s="1"/>
  <c r="G1158" i="1" s="1"/>
  <c r="G1658" i="1"/>
  <c r="G1659" i="1" s="1"/>
  <c r="G1609" i="1"/>
  <c r="G1562" i="1"/>
  <c r="G1414" i="1"/>
  <c r="G1330" i="1"/>
  <c r="G1183" i="1"/>
  <c r="H1658" i="1"/>
  <c r="H1659" i="1" s="1"/>
  <c r="H1609" i="1"/>
  <c r="H1562" i="1"/>
  <c r="H1414" i="1"/>
  <c r="H1330" i="1"/>
  <c r="H1329" i="1" s="1"/>
  <c r="H1328" i="1" s="1"/>
  <c r="H1183" i="1"/>
  <c r="H1182" i="1" s="1"/>
  <c r="H1181" i="1" s="1"/>
  <c r="I1658" i="1"/>
  <c r="I1659" i="1" s="1"/>
  <c r="I1562" i="1"/>
  <c r="I1561" i="1" s="1"/>
  <c r="I1560" i="1" s="1"/>
  <c r="I1609" i="1"/>
  <c r="I1608" i="1" s="1"/>
  <c r="I1607" i="1" s="1"/>
  <c r="I1414" i="1"/>
  <c r="I1413" i="1" s="1"/>
  <c r="I1412" i="1" s="1"/>
  <c r="I1330" i="1"/>
  <c r="I1329" i="1" s="1"/>
  <c r="I1328" i="1" s="1"/>
  <c r="I1183" i="1"/>
  <c r="H1652" i="1"/>
  <c r="H1555" i="1"/>
  <c r="H1602" i="1"/>
  <c r="H1511" i="1"/>
  <c r="H1160" i="1"/>
  <c r="I1652" i="1"/>
  <c r="I1555" i="1"/>
  <c r="I1602" i="1"/>
  <c r="I1511" i="1"/>
  <c r="I1160" i="1"/>
  <c r="F1652" i="1"/>
  <c r="F1602" i="1"/>
  <c r="F1555" i="1"/>
  <c r="F1511" i="1"/>
  <c r="F1160" i="1"/>
  <c r="G1561" i="1"/>
  <c r="G1560" i="1" s="1"/>
  <c r="G1608" i="1"/>
  <c r="G1607" i="1" s="1"/>
  <c r="G1413" i="1"/>
  <c r="G1412" i="1" s="1"/>
  <c r="G1329" i="1"/>
  <c r="G1328" i="1" s="1"/>
  <c r="G1182" i="1"/>
  <c r="G1181" i="1" s="1"/>
  <c r="I1510" i="1"/>
  <c r="I1509" i="1" s="1"/>
  <c r="F1608" i="1"/>
  <c r="F1607" i="1" s="1"/>
  <c r="F1561" i="1"/>
  <c r="F1560" i="1" s="1"/>
  <c r="F1413" i="1"/>
  <c r="F1412" i="1" s="1"/>
  <c r="F1329" i="1"/>
  <c r="F1328" i="1" s="1"/>
  <c r="F1182" i="1"/>
  <c r="F1181" i="1" s="1"/>
  <c r="H1608" i="1"/>
  <c r="H1607" i="1" s="1"/>
  <c r="H1651" i="1"/>
  <c r="H1554" i="1"/>
  <c r="H1553" i="1" s="1"/>
  <c r="H1601" i="1"/>
  <c r="H1600" i="1" s="1"/>
  <c r="H1510" i="1"/>
  <c r="H1509" i="1" s="1"/>
  <c r="H1159" i="1"/>
  <c r="H1158" i="1" s="1"/>
  <c r="I1651" i="1"/>
  <c r="I1554" i="1"/>
  <c r="I1553" i="1" s="1"/>
  <c r="I1601" i="1"/>
  <c r="I1600" i="1" s="1"/>
  <c r="I1159" i="1"/>
  <c r="I1158" i="1" s="1"/>
  <c r="F1651" i="1"/>
  <c r="F1601" i="1"/>
  <c r="F1600" i="1" s="1"/>
  <c r="F1554" i="1"/>
  <c r="F1553" i="1" s="1"/>
  <c r="F1510" i="1"/>
  <c r="F1509" i="1" s="1"/>
  <c r="F1159" i="1"/>
  <c r="F1158" i="1" s="1"/>
  <c r="H1561" i="1"/>
  <c r="H1560" i="1" s="1"/>
  <c r="H1413" i="1"/>
  <c r="H1412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F1740" i="1" l="1"/>
  <c r="K1652" i="1"/>
  <c r="K1602" i="1"/>
  <c r="K1555" i="1"/>
  <c r="K1511" i="1"/>
  <c r="K1160" i="1"/>
  <c r="G1657" i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330" i="1" s="1"/>
  <c r="K38" i="1"/>
  <c r="K1562" i="1" s="1"/>
  <c r="K1330" i="1" l="1"/>
  <c r="K1609" i="1"/>
  <c r="K1161" i="1"/>
  <c r="K1653" i="1"/>
  <c r="K1512" i="1"/>
  <c r="K1603" i="1"/>
  <c r="K1556" i="1"/>
  <c r="J1610" i="1"/>
  <c r="J1331" i="1"/>
  <c r="J1415" i="1"/>
  <c r="J1563" i="1"/>
  <c r="J1184" i="1"/>
  <c r="K1658" i="1"/>
  <c r="K1659" i="1" s="1"/>
  <c r="J1603" i="1"/>
  <c r="J1556" i="1"/>
  <c r="J1161" i="1"/>
  <c r="J1653" i="1"/>
  <c r="J1512" i="1"/>
  <c r="K1183" i="1"/>
  <c r="J1414" i="1"/>
  <c r="J1658" i="1"/>
  <c r="J1659" i="1" s="1"/>
  <c r="J1555" i="1"/>
  <c r="J1183" i="1"/>
  <c r="J1609" i="1"/>
  <c r="J1160" i="1"/>
  <c r="J1511" i="1"/>
  <c r="J1602" i="1"/>
  <c r="K1415" i="1"/>
  <c r="K1563" i="1"/>
  <c r="K1184" i="1"/>
  <c r="K1331" i="1"/>
  <c r="K1610" i="1"/>
  <c r="K1414" i="1"/>
  <c r="J1562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331" i="1"/>
  <c r="H347" i="1" s="1"/>
  <c r="H426" i="1" s="1"/>
  <c r="H423" i="1" s="1"/>
  <c r="G196" i="1"/>
  <c r="G193" i="1" s="1"/>
  <c r="G331" i="1"/>
  <c r="G347" i="1" s="1"/>
  <c r="G426" i="1" s="1"/>
  <c r="G423" i="1" s="1"/>
  <c r="I196" i="1"/>
  <c r="I193" i="1" s="1"/>
  <c r="I331" i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338" i="1" l="1"/>
  <c r="G354" i="1" s="1"/>
  <c r="G499" i="1" s="1"/>
  <c r="G488" i="1" s="1"/>
  <c r="G336" i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336" i="1"/>
  <c r="I352" i="1" s="1"/>
  <c r="I497" i="1" s="1"/>
  <c r="I486" i="1" s="1"/>
  <c r="I267" i="1"/>
  <c r="I256" i="1" s="1"/>
  <c r="H338" i="1"/>
  <c r="H354" i="1" s="1"/>
  <c r="H499" i="1" s="1"/>
  <c r="H488" i="1" s="1"/>
  <c r="H269" i="1"/>
  <c r="H258" i="1" s="1"/>
  <c r="H336" i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338" i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148" i="1"/>
  <c r="F376" i="1" s="1"/>
  <c r="K202" i="1"/>
  <c r="K205" i="1" s="1"/>
  <c r="K148" i="1"/>
  <c r="K376" i="1" s="1"/>
  <c r="J202" i="1"/>
  <c r="J205" i="1" s="1"/>
  <c r="F205" i="1" l="1"/>
  <c r="K547" i="1"/>
  <c r="H432" i="1"/>
  <c r="H435" i="1" s="1"/>
  <c r="F432" i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F435" i="1" l="1"/>
  <c r="J546" i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368" i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431" i="1" l="1"/>
  <c r="F204" i="1"/>
  <c r="F200" i="1"/>
  <c r="F430" i="1"/>
  <c r="F434" i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F433" i="1" l="1"/>
  <c r="F203" i="1"/>
  <c r="K566" i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341" i="1"/>
  <c r="H357" i="1" s="1"/>
  <c r="H502" i="1" s="1"/>
  <c r="H491" i="1" s="1"/>
  <c r="H272" i="1"/>
  <c r="H261" i="1" s="1"/>
  <c r="I334" i="1"/>
  <c r="I350" i="1" s="1"/>
  <c r="I495" i="1" s="1"/>
  <c r="I484" i="1" s="1"/>
  <c r="G334" i="1"/>
  <c r="G350" i="1" s="1"/>
  <c r="G495" i="1" s="1"/>
  <c r="G484" i="1" s="1"/>
  <c r="H334" i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328" i="1"/>
  <c r="H344" i="1" s="1"/>
  <c r="J100" i="1"/>
  <c r="J328" i="1" s="1"/>
  <c r="J344" i="1" s="1"/>
  <c r="G328" i="1"/>
  <c r="G344" i="1" s="1"/>
  <c r="H329" i="1"/>
  <c r="H345" i="1" s="1"/>
  <c r="G270" i="1"/>
  <c r="G259" i="1" s="1"/>
  <c r="I328" i="1"/>
  <c r="I344" i="1" s="1"/>
  <c r="K100" i="1"/>
  <c r="K328" i="1" s="1"/>
  <c r="K344" i="1" s="1"/>
  <c r="G329" i="1"/>
  <c r="G345" i="1" s="1"/>
  <c r="I329" i="1"/>
  <c r="I345" i="1" s="1"/>
  <c r="J101" i="1"/>
  <c r="J329" i="1" s="1"/>
  <c r="J345" i="1" s="1"/>
  <c r="J102" i="1"/>
  <c r="K102" i="1"/>
  <c r="H74" i="1"/>
  <c r="I74" i="1"/>
  <c r="G74" i="1"/>
  <c r="K74" i="1"/>
  <c r="G151" i="1"/>
  <c r="I173" i="1"/>
  <c r="F66" i="1"/>
  <c r="H327" i="1"/>
  <c r="H343" i="1" s="1"/>
  <c r="H151" i="1"/>
  <c r="G327" i="1"/>
  <c r="G343" i="1" s="1"/>
  <c r="I327" i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337" i="1"/>
  <c r="I353" i="1" s="1"/>
  <c r="I498" i="1" s="1"/>
  <c r="I487" i="1" s="1"/>
  <c r="I268" i="1"/>
  <c r="I257" i="1" s="1"/>
  <c r="I335" i="1"/>
  <c r="I351" i="1" s="1"/>
  <c r="I496" i="1" s="1"/>
  <c r="I485" i="1" s="1"/>
  <c r="I266" i="1"/>
  <c r="I255" i="1" s="1"/>
  <c r="G337" i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337" i="1"/>
  <c r="H353" i="1" s="1"/>
  <c r="H498" i="1" s="1"/>
  <c r="H487" i="1" s="1"/>
  <c r="H268" i="1"/>
  <c r="H257" i="1" s="1"/>
  <c r="H335" i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335" i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332" i="1"/>
  <c r="G348" i="1" s="1"/>
  <c r="G493" i="1" s="1"/>
  <c r="H332" i="1"/>
  <c r="H348" i="1" s="1"/>
  <c r="H493" i="1" s="1"/>
  <c r="H333" i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333" i="1"/>
  <c r="G349" i="1" s="1"/>
  <c r="G494" i="1" s="1"/>
  <c r="G483" i="1" s="1"/>
  <c r="I98" i="1"/>
  <c r="I332" i="1"/>
  <c r="I348" i="1" s="1"/>
  <c r="I493" i="1" s="1"/>
  <c r="K98" i="1"/>
  <c r="I333" i="1"/>
  <c r="I349" i="1" s="1"/>
  <c r="I494" i="1" s="1"/>
  <c r="I483" i="1" s="1"/>
  <c r="G98" i="1"/>
  <c r="F264" i="1"/>
  <c r="F253" i="1" s="1"/>
  <c r="J98" i="1"/>
  <c r="H98" i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410" i="1" l="1"/>
  <c r="F9" i="4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<sst xmlns="http://schemas.openxmlformats.org/spreadsheetml/2006/main" count="5309" uniqueCount="2482">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</sst>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164" formatCode="0.0"/>
    <numFmt numFmtId="165" formatCode="0.000"/>
    <numFmt numFmtId="166" formatCode="_-[$€-2]* #,##0.00_-;\-[$€-2]* #,##0.00_-;_-[$€-2]* &quot;-&quot;??_-"/>
    <numFmt numFmtId="167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67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10" fillId="22" borderId="11" applyNumberFormat="0" applyFont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22" borderId="11" applyNumberFormat="0" applyFont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43" fontId="4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5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9" fontId="0" fillId="0" borderId="0" xfId="1" applyFont="1"/>
    <xf numFmtId="0" fontId="4" fillId="0" borderId="0" xfId="0" applyFont="1"/>
    <xf numFmtId="164" fontId="4" fillId="0" borderId="0" xfId="0" quotePrefix="1" applyNumberFormat="1" applyFont="1"/>
    <xf numFmtId="2" fontId="0" fillId="0" borderId="0" xfId="0" applyNumberFormat="1"/>
    <xf numFmtId="165" fontId="0" fillId="0" borderId="0" xfId="0" applyNumberFormat="1"/>
    <xf numFmtId="0" fontId="5" fillId="0" borderId="0" xfId="0" applyFont="1"/>
    <xf numFmtId="164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4" fontId="1" fillId="0" borderId="0" xfId="1" applyNumberFormat="1" applyFont="1"/>
    <xf numFmtId="164" fontId="2" fillId="0" borderId="0" xfId="1" applyNumberFormat="1" applyFont="1"/>
    <xf numFmtId="0" fontId="0" fillId="0" borderId="0" xfId="0" quotePrefix="1"/>
    <xf numFmtId="164" fontId="0" fillId="0" borderId="0" xfId="0" quotePrefix="1" applyNumberFormat="1"/>
    <xf numFmtId="164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5"/>
      <tableStyleElement type="headerRow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2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_2050"/>
      <sheetName val="Elc_Dispatch_2070"/>
      <sheetName val="Elc_Dispatch_Seasonal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Nuclear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  <cell r="I1"/>
          <cell r="J1"/>
          <cell r="K1"/>
          <cell r="L1"/>
        </row>
        <row r="2"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6.2083498590268559E-3</v>
          </cell>
          <cell r="H4">
            <v>7.8119512041758654E-4</v>
          </cell>
          <cell r="I4">
            <v>1.5218174575472474E-3</v>
          </cell>
          <cell r="J4">
            <v>1.5514041828454178E-3</v>
          </cell>
          <cell r="K4">
            <v>1.4862706382872794E-3</v>
          </cell>
          <cell r="L4">
            <v>5.0358598853465939E-3</v>
          </cell>
          <cell r="M4">
            <v>2.3863811805435418E-3</v>
          </cell>
          <cell r="N4">
            <v>8.8953568560240365E-3</v>
          </cell>
          <cell r="O4">
            <v>0.19064019043983813</v>
          </cell>
          <cell r="P4">
            <v>0.46263077299858335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2.9975652123701156E-3</v>
          </cell>
          <cell r="H5">
            <v>1.8705658927288231E-4</v>
          </cell>
          <cell r="I5">
            <v>3.6073820624473417E-4</v>
          </cell>
          <cell r="J5">
            <v>3.6686385703785772E-4</v>
          </cell>
          <cell r="K5">
            <v>3.4886592370271026E-4</v>
          </cell>
          <cell r="L5">
            <v>1.3607366310163448E-3</v>
          </cell>
          <cell r="M5">
            <v>5.7918364444381747E-4</v>
          </cell>
          <cell r="N5">
            <v>2.7992155348152666E-3</v>
          </cell>
          <cell r="O5">
            <v>0.18251133835570879</v>
          </cell>
          <cell r="P5">
            <v>0.41590061540245976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6.3978977089962049E-4</v>
          </cell>
          <cell r="H6">
            <v>1.0482751984230973E-4</v>
          </cell>
          <cell r="I6">
            <v>2.0687175357261709E-4</v>
          </cell>
          <cell r="J6">
            <v>2.1252686716140707E-4</v>
          </cell>
          <cell r="K6">
            <v>2.013848998470083E-4</v>
          </cell>
          <cell r="L6">
            <v>7.0713426589787923E-4</v>
          </cell>
          <cell r="M6">
            <v>3.3053221916449718E-4</v>
          </cell>
          <cell r="N6">
            <v>1.1904659692661408E-3</v>
          </cell>
          <cell r="O6">
            <v>1.5947055144054489E-3</v>
          </cell>
          <cell r="P6">
            <v>9.3364289390599486E-3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2.3110480635893466E-4</v>
          </cell>
          <cell r="H7">
            <v>8.1912365508460112E-5</v>
          </cell>
          <cell r="I7">
            <v>1.4306078723212083E-4</v>
          </cell>
          <cell r="J7">
            <v>1.4860689924144917E-4</v>
          </cell>
          <cell r="K7">
            <v>1.4535671855258004E-4</v>
          </cell>
          <cell r="L7">
            <v>3.1739458817649853E-4</v>
          </cell>
          <cell r="M7">
            <v>2.1060106800344726E-4</v>
          </cell>
          <cell r="N7">
            <v>4.170858473152924E-4</v>
          </cell>
          <cell r="O7">
            <v>4.2958783964469843E-4</v>
          </cell>
          <cell r="P7">
            <v>6.3262025546666418E-4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6.6563093814752392E-4</v>
          </cell>
          <cell r="H8">
            <v>1.0595416379023705E-4</v>
          </cell>
          <cell r="I8">
            <v>2.0848957886774442E-4</v>
          </cell>
          <cell r="J8">
            <v>2.1508930438791514E-4</v>
          </cell>
          <cell r="K8">
            <v>2.0526270369998731E-4</v>
          </cell>
          <cell r="L8">
            <v>7.4863189165768327E-4</v>
          </cell>
          <cell r="M8">
            <v>3.4342336889879864E-4</v>
          </cell>
          <cell r="N8">
            <v>1.2386287309848331E-3</v>
          </cell>
          <cell r="O8">
            <v>1.6474260620321579E-3</v>
          </cell>
          <cell r="P8">
            <v>9.7779592303211607E-3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6.4207189720248659E-4</v>
          </cell>
          <cell r="H9">
            <v>1.0489436342036092E-4</v>
          </cell>
          <cell r="I9">
            <v>2.0690025468397726E-4</v>
          </cell>
          <cell r="J9">
            <v>2.1234788437070264E-4</v>
          </cell>
          <cell r="K9">
            <v>2.0191735364888909E-4</v>
          </cell>
          <cell r="L9">
            <v>6.6723527117316212E-4</v>
          </cell>
          <cell r="M9">
            <v>3.1879435336177464E-4</v>
          </cell>
          <cell r="N9">
            <v>1.1504623228255993E-3</v>
          </cell>
          <cell r="O9">
            <v>1.5613897371812167E-3</v>
          </cell>
          <cell r="P9">
            <v>9.1214889241169085E-3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3.9258033912373491E-4</v>
          </cell>
          <cell r="H10">
            <v>9.1735580787174689E-5</v>
          </cell>
          <cell r="I10">
            <v>1.8887322288624027E-4</v>
          </cell>
          <cell r="J10">
            <v>1.8341643121917698E-4</v>
          </cell>
          <cell r="K10">
            <v>1.8204721638504613E-4</v>
          </cell>
          <cell r="L10">
            <v>5.2753700527911071E-4</v>
          </cell>
          <cell r="M10">
            <v>2.7329335633685979E-4</v>
          </cell>
          <cell r="N10">
            <v>9.0931989099950694E-4</v>
          </cell>
          <cell r="O10">
            <v>1.301274701187075E-3</v>
          </cell>
          <cell r="P10">
            <v>8.5289296554020011E-3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6.3960689492443678E-4</v>
          </cell>
          <cell r="H11">
            <v>1.0481453779616211E-4</v>
          </cell>
          <cell r="I11">
            <v>2.0688365405981268E-4</v>
          </cell>
          <cell r="J11">
            <v>2.1255293942690901E-4</v>
          </cell>
          <cell r="K11">
            <v>2.0143582245105775E-4</v>
          </cell>
          <cell r="L11">
            <v>7.0719023214591589E-4</v>
          </cell>
          <cell r="M11">
            <v>3.3055317033434616E-4</v>
          </cell>
          <cell r="N11">
            <v>1.1901785598173946E-3</v>
          </cell>
          <cell r="O11">
            <v>1.5944682296787323E-3</v>
          </cell>
          <cell r="P11">
            <v>9.3327305917572535E-3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4.4427378383354362E-3</v>
          </cell>
          <cell r="G12">
            <v>5.2469203406640052E-3</v>
          </cell>
          <cell r="H12">
            <v>5.2898704551772461E-3</v>
          </cell>
          <cell r="I12">
            <v>6.0673098099110158E-3</v>
          </cell>
          <cell r="J12">
            <v>6.0951454788648243E-3</v>
          </cell>
          <cell r="K12">
            <v>0.74428345097785298</v>
          </cell>
          <cell r="L12">
            <v>1.8865056778755485</v>
          </cell>
          <cell r="M12">
            <v>1.8865195995228172</v>
          </cell>
          <cell r="N12">
            <v>1.8865716170811708</v>
          </cell>
          <cell r="O12">
            <v>1.8865850778454833</v>
          </cell>
          <cell r="P12">
            <v>1.8863423906385612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4.4427378383354362E-3</v>
          </cell>
          <cell r="G13">
            <v>5.2469203406640052E-3</v>
          </cell>
          <cell r="H13">
            <v>5.2898704551772461E-3</v>
          </cell>
          <cell r="I13">
            <v>6.0673098099110158E-3</v>
          </cell>
          <cell r="J13">
            <v>6.0951454788648243E-3</v>
          </cell>
          <cell r="K13">
            <v>0.74428345097785298</v>
          </cell>
          <cell r="L13">
            <v>1.8865056778755485</v>
          </cell>
          <cell r="M13">
            <v>1.8865195995228172</v>
          </cell>
          <cell r="N13">
            <v>1.8865716170811708</v>
          </cell>
          <cell r="O13">
            <v>1.8865850778454833</v>
          </cell>
          <cell r="P13">
            <v>1.8863423906385612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5.6335730949275099E-4</v>
          </cell>
          <cell r="G14">
            <v>8.2099048657715797E-5</v>
          </cell>
          <cell r="H14">
            <v>2.0884019420640902E-6</v>
          </cell>
          <cell r="I14">
            <v>6.7238175428449704E-2</v>
          </cell>
          <cell r="J14">
            <v>0.12620427735141601</v>
          </cell>
          <cell r="K14">
            <v>1.6197853224421599E-6</v>
          </cell>
          <cell r="L14">
            <v>5.4552422432248999E-6</v>
          </cell>
          <cell r="M14">
            <v>2.7559484363031701E-6</v>
          </cell>
          <cell r="N14">
            <v>4.6810338664928296E-6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5.6335730949275099E-4</v>
          </cell>
          <cell r="G15">
            <v>5.6335730949275099E-4</v>
          </cell>
          <cell r="H15">
            <v>5.6335730949275099E-4</v>
          </cell>
          <cell r="I15">
            <v>6.4595928267020396E-4</v>
          </cell>
          <cell r="J15">
            <v>6.4754476009253102E-4</v>
          </cell>
          <cell r="K15">
            <v>7.5733641042745395E-2</v>
          </cell>
          <cell r="L15">
            <v>0.19408999753995901</v>
          </cell>
          <cell r="M15">
            <v>0.19409136843866101</v>
          </cell>
          <cell r="N15">
            <v>0.19409773624917301</v>
          </cell>
          <cell r="O15">
            <v>0.194099828515961</v>
          </cell>
          <cell r="P15">
            <v>0.194104509549827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3.2682200707794404</v>
          </cell>
          <cell r="F16">
            <v>3.8319876654690179</v>
          </cell>
          <cell r="G16">
            <v>3.7274502892581181</v>
          </cell>
          <cell r="H16">
            <v>3.8802264193580873</v>
          </cell>
          <cell r="I16">
            <v>4.0152390668101994</v>
          </cell>
          <cell r="J16">
            <v>4.1161217693212793</v>
          </cell>
          <cell r="K16">
            <v>4.1964746352904925</v>
          </cell>
          <cell r="L16">
            <v>4.2602899080571213</v>
          </cell>
          <cell r="M16">
            <v>4.3100572798673955</v>
          </cell>
          <cell r="N16">
            <v>4.3543341181122441</v>
          </cell>
          <cell r="O16">
            <v>4.3543571385485889</v>
          </cell>
          <cell r="P16">
            <v>4.3546548146875583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3.2682200707794404</v>
          </cell>
          <cell r="F17">
            <v>3.8319876654690179</v>
          </cell>
          <cell r="G17">
            <v>3.7274502892581181</v>
          </cell>
          <cell r="H17">
            <v>3.8802264193580873</v>
          </cell>
          <cell r="I17">
            <v>4.0152390668101994</v>
          </cell>
          <cell r="J17">
            <v>4.1161217693212793</v>
          </cell>
          <cell r="K17">
            <v>4.1964746352904925</v>
          </cell>
          <cell r="L17">
            <v>4.2602899080571213</v>
          </cell>
          <cell r="M17">
            <v>4.3100572798673955</v>
          </cell>
          <cell r="N17">
            <v>4.3543341181122441</v>
          </cell>
          <cell r="O17">
            <v>4.3543571385485889</v>
          </cell>
          <cell r="P17">
            <v>4.3546548146875583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0.66998042768838351</v>
          </cell>
          <cell r="F18">
            <v>9.0359747289150819E-2</v>
          </cell>
          <cell r="G18">
            <v>5.7496925907562023E-2</v>
          </cell>
          <cell r="H18">
            <v>0.65347854089976964</v>
          </cell>
          <cell r="I18">
            <v>0.64308664286903883</v>
          </cell>
          <cell r="J18">
            <v>0.16106741141704128</v>
          </cell>
          <cell r="K18">
            <v>0.10326008849920913</v>
          </cell>
          <cell r="L18">
            <v>6.2150533857531706E-2</v>
          </cell>
          <cell r="M18">
            <v>3.0880489442306848E-2</v>
          </cell>
          <cell r="N18">
            <v>3.3654685471633659E-2</v>
          </cell>
          <cell r="O18">
            <v>4.9195266556800198E-2</v>
          </cell>
          <cell r="P18">
            <v>8.3195978065244244E-2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2.0850737460377102</v>
          </cell>
          <cell r="F19">
            <v>0.26332528780049674</v>
          </cell>
          <cell r="G19">
            <v>0.15048428841579439</v>
          </cell>
          <cell r="H19">
            <v>1.3869263147800281</v>
          </cell>
          <cell r="I19">
            <v>1.0466179760906551</v>
          </cell>
          <cell r="J19">
            <v>0.18242625432442611</v>
          </cell>
          <cell r="K19">
            <v>0.11554139191213786</v>
          </cell>
          <cell r="L19">
            <v>6.8692695316219451E-2</v>
          </cell>
          <cell r="M19">
            <v>3.4131067278339255E-2</v>
          </cell>
          <cell r="N19">
            <v>3.719728394233203E-2</v>
          </cell>
          <cell r="O19">
            <v>5.4373715668042485E-2</v>
          </cell>
          <cell r="P19">
            <v>9.1953449440533339E-2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108.366938600607</v>
          </cell>
          <cell r="F20">
            <v>14.4802834322102</v>
          </cell>
          <cell r="G20">
            <v>9.2545190500021999</v>
          </cell>
          <cell r="H20">
            <v>102.407331033706</v>
          </cell>
          <cell r="I20">
            <v>100.77611676297001</v>
          </cell>
          <cell r="J20">
            <v>25.482921937150699</v>
          </cell>
          <cell r="K20">
            <v>16.448012283737199</v>
          </cell>
          <cell r="L20">
            <v>9.9611899813563092</v>
          </cell>
          <cell r="M20">
            <v>4.9871537442180198</v>
          </cell>
          <cell r="N20">
            <v>5.4500441695923501</v>
          </cell>
          <cell r="O20">
            <v>7.8955706268016996</v>
          </cell>
          <cell r="P20">
            <v>13.427633122518801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1.9213996205781443</v>
          </cell>
          <cell r="F21">
            <v>0.25674261404627979</v>
          </cell>
          <cell r="G21">
            <v>0.16408721719862052</v>
          </cell>
          <cell r="H21">
            <v>1.8157328197465632</v>
          </cell>
          <cell r="I21">
            <v>1.7868105809037202</v>
          </cell>
          <cell r="J21">
            <v>0.45182485704167841</v>
          </cell>
          <cell r="K21">
            <v>0.29163142347051713</v>
          </cell>
          <cell r="L21">
            <v>0.17661684364106961</v>
          </cell>
          <cell r="M21">
            <v>8.8424711776915146E-2</v>
          </cell>
          <cell r="N21">
            <v>9.6631988822559398E-2</v>
          </cell>
          <cell r="O21">
            <v>0.13999238700002997</v>
          </cell>
          <cell r="P21">
            <v>0.23807860146309995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6.0245124236824705E-7</v>
          </cell>
          <cell r="G22">
            <v>2.6852075610577299E-6</v>
          </cell>
          <cell r="H22">
            <v>2.29190828138509E-2</v>
          </cell>
          <cell r="I22">
            <v>3.1988403819836102E-3</v>
          </cell>
          <cell r="J22">
            <v>7.6636651060944004E-6</v>
          </cell>
          <cell r="K22">
            <v>1.3035374721294201E-5</v>
          </cell>
          <cell r="L22">
            <v>6.1813813953287399E-3</v>
          </cell>
          <cell r="M22">
            <v>4.4934512725504296E-6</v>
          </cell>
          <cell r="N22">
            <v>6.1554616068978303E-5</v>
          </cell>
          <cell r="O22">
            <v>7.6116907439719599E-4</v>
          </cell>
          <cell r="P22">
            <v>1.20276639920528E-2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2.9053684377305704E-2</v>
          </cell>
          <cell r="F23">
            <v>2.1488496443124366E-2</v>
          </cell>
          <cell r="G23">
            <v>1.3672830756429631E-2</v>
          </cell>
          <cell r="H23">
            <v>2.7071809478251097E-2</v>
          </cell>
          <cell r="I23">
            <v>2.6120297677271455E-2</v>
          </cell>
          <cell r="J23">
            <v>2.6126905426025398E-2</v>
          </cell>
          <cell r="K23">
            <v>1.8871169294860927E-2</v>
          </cell>
          <cell r="L23">
            <v>9.399003714107004E-3</v>
          </cell>
          <cell r="M23">
            <v>7.1737620408185258E-3</v>
          </cell>
          <cell r="N23">
            <v>6.2573885851508306E-3</v>
          </cell>
          <cell r="O23">
            <v>7.0058910443216863E-3</v>
          </cell>
          <cell r="P23">
            <v>1.2851904787291172E-2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6.7990984689457825</v>
          </cell>
          <cell r="F24">
            <v>4.4927108418183479E-4</v>
          </cell>
          <cell r="G24">
            <v>3.7701183243797506E-4</v>
          </cell>
          <cell r="H24">
            <v>1.7056863472947946E-4</v>
          </cell>
          <cell r="I24">
            <v>2.5275626182611562E-4</v>
          </cell>
          <cell r="J24">
            <v>2.7821811638026436E-4</v>
          </cell>
          <cell r="K24">
            <v>2.9845590121461323E-4</v>
          </cell>
          <cell r="L24">
            <v>3.0499196314359711E-4</v>
          </cell>
          <cell r="M24">
            <v>2.788038793884994E-4</v>
          </cell>
          <cell r="N24">
            <v>2.9659251943588822E-4</v>
          </cell>
          <cell r="O24">
            <v>2.8157576044126389E-4</v>
          </cell>
          <cell r="P24">
            <v>5.0959686104336309E-4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6.7990984689457825</v>
          </cell>
          <cell r="F25">
            <v>4.4927108418183479E-4</v>
          </cell>
          <cell r="G25">
            <v>3.7701183243797506E-4</v>
          </cell>
          <cell r="H25">
            <v>1.7056863472947946E-4</v>
          </cell>
          <cell r="I25">
            <v>2.5275626182611562E-4</v>
          </cell>
          <cell r="J25">
            <v>2.7821811638026436E-4</v>
          </cell>
          <cell r="K25">
            <v>2.9845590121461323E-4</v>
          </cell>
          <cell r="L25">
            <v>3.0499196314359711E-4</v>
          </cell>
          <cell r="M25">
            <v>2.788038793884994E-4</v>
          </cell>
          <cell r="N25">
            <v>2.9659251943588822E-4</v>
          </cell>
          <cell r="O25">
            <v>2.8157576044126389E-4</v>
          </cell>
          <cell r="P25">
            <v>5.0959686104336309E-4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1.78530284723354E-6</v>
          </cell>
          <cell r="F26">
            <v>1.46264076778689E-6</v>
          </cell>
          <cell r="G26">
            <v>1.5591884412851701E-6</v>
          </cell>
          <cell r="H26">
            <v>1.69880679128589E-6</v>
          </cell>
          <cell r="I26">
            <v>3.3982365399816799E-6</v>
          </cell>
          <cell r="J26">
            <v>3.6835895826870198E-6</v>
          </cell>
          <cell r="K26">
            <v>4.1376933381607503E-6</v>
          </cell>
          <cell r="L26">
            <v>1.44733347128658E-5</v>
          </cell>
          <cell r="M26">
            <v>8.0396616308748099E-6</v>
          </cell>
          <cell r="N26">
            <v>4.0053109475605302E-4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1.4622733859419643</v>
          </cell>
          <cell r="F27">
            <v>5.2486357066006128E-4</v>
          </cell>
          <cell r="G27">
            <v>5.187323791300269E-4</v>
          </cell>
          <cell r="H27">
            <v>5.1545276028930331E-4</v>
          </cell>
          <cell r="I27">
            <v>5.1377921192941045E-4</v>
          </cell>
          <cell r="J27">
            <v>5.1134099889771356E-4</v>
          </cell>
          <cell r="K27">
            <v>5.1190071162365847E-4</v>
          </cell>
          <cell r="L27">
            <v>5.1145517221029557E-4</v>
          </cell>
          <cell r="M27">
            <v>5.1445033975383581E-4</v>
          </cell>
          <cell r="N27">
            <v>5.3089581901843985E-4</v>
          </cell>
          <cell r="O27">
            <v>5.3681704032215727E-4</v>
          </cell>
          <cell r="P27">
            <v>9.3819596731825605E-4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1.022946714493299E-3</v>
          </cell>
          <cell r="F28">
            <v>1.0192027597491621E-3</v>
          </cell>
          <cell r="G28">
            <v>1.0193846955860318E-3</v>
          </cell>
          <cell r="H28">
            <v>3.8870612959905522E-2</v>
          </cell>
          <cell r="I28">
            <v>6.804485590394993E-2</v>
          </cell>
          <cell r="J28">
            <v>8.5816440570998798E-2</v>
          </cell>
          <cell r="K28">
            <v>8.4622958175853039E-2</v>
          </cell>
          <cell r="L28">
            <v>9.0099694064612684E-2</v>
          </cell>
          <cell r="M28">
            <v>9.4723741579032669E-2</v>
          </cell>
          <cell r="N28">
            <v>9.3660942848824091E-2</v>
          </cell>
          <cell r="O28">
            <v>8.4859977160598676E-2</v>
          </cell>
          <cell r="P28">
            <v>9.7937236316379059E-2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1.0229467144932981E-3</v>
          </cell>
          <cell r="F29">
            <v>1.0192027597491612E-3</v>
          </cell>
          <cell r="G29">
            <v>1.0193846955860305E-3</v>
          </cell>
          <cell r="H29">
            <v>3.8870612959905494E-2</v>
          </cell>
          <cell r="I29">
            <v>6.8044855903949861E-2</v>
          </cell>
          <cell r="J29">
            <v>8.5816440570998728E-2</v>
          </cell>
          <cell r="K29">
            <v>8.4622958175852997E-2</v>
          </cell>
          <cell r="L29">
            <v>9.0099694064612559E-2</v>
          </cell>
          <cell r="M29">
            <v>9.4723741579032586E-2</v>
          </cell>
          <cell r="N29">
            <v>9.3660942848823939E-2</v>
          </cell>
          <cell r="O29">
            <v>8.4859977160598621E-2</v>
          </cell>
          <cell r="P29">
            <v>9.7937236316378948E-2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1.1326628222899674E-3</v>
          </cell>
          <cell r="F30">
            <v>1.1288146347176696E-3</v>
          </cell>
          <cell r="G30">
            <v>1.1277809875475532E-3</v>
          </cell>
          <cell r="H30">
            <v>4.2986216322520483E-2</v>
          </cell>
          <cell r="I30">
            <v>7.524908342344945E-2</v>
          </cell>
          <cell r="J30">
            <v>9.4901755146316061E-2</v>
          </cell>
          <cell r="K30">
            <v>9.3581931038429808E-2</v>
          </cell>
          <cell r="L30">
            <v>9.9639756348349456E-2</v>
          </cell>
          <cell r="M30">
            <v>0.10475214795435095</v>
          </cell>
          <cell r="N30">
            <v>0.10358015403813087</v>
          </cell>
          <cell r="O30">
            <v>9.3845392647339862E-2</v>
          </cell>
          <cell r="P30">
            <v>0.10831342262934571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1.1326628222899674E-3</v>
          </cell>
          <cell r="F31">
            <v>1.1288146347176696E-3</v>
          </cell>
          <cell r="G31">
            <v>1.1277809875475532E-3</v>
          </cell>
          <cell r="H31">
            <v>4.2986216322520483E-2</v>
          </cell>
          <cell r="I31">
            <v>7.524908342344945E-2</v>
          </cell>
          <cell r="J31">
            <v>9.4901755146316061E-2</v>
          </cell>
          <cell r="K31">
            <v>9.3581931038429808E-2</v>
          </cell>
          <cell r="L31">
            <v>9.9639756348349456E-2</v>
          </cell>
          <cell r="M31">
            <v>0.10475214795435095</v>
          </cell>
          <cell r="N31">
            <v>0.10358015403813087</v>
          </cell>
          <cell r="O31">
            <v>9.3845392647339862E-2</v>
          </cell>
          <cell r="P31">
            <v>0.10831342262934571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4.15122764766043E-4</v>
          </cell>
          <cell r="F32">
            <v>6.6927759712809895E-7</v>
          </cell>
          <cell r="G32">
            <v>1.8772118061523099E-6</v>
          </cell>
          <cell r="H32">
            <v>2.4348196684361799E-2</v>
          </cell>
          <cell r="I32">
            <v>4.2556981082792697E-3</v>
          </cell>
          <cell r="J32">
            <v>2.58233263186021E-2</v>
          </cell>
          <cell r="K32">
            <v>7.3714827742719403E-3</v>
          </cell>
          <cell r="L32">
            <v>2.072764824267E-2</v>
          </cell>
          <cell r="M32">
            <v>1.4758656608338401E-2</v>
          </cell>
          <cell r="N32">
            <v>1.29871749345115E-2</v>
          </cell>
          <cell r="O32">
            <v>1.91589639325963E-2</v>
          </cell>
          <cell r="P32">
            <v>1.2194774757340401E-2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4.1746826339704234E-4</v>
          </cell>
          <cell r="F33">
            <v>4.1790083669635751E-4</v>
          </cell>
          <cell r="G33">
            <v>4.1924251891268177E-4</v>
          </cell>
          <cell r="H33">
            <v>2.4653496985350611E-2</v>
          </cell>
          <cell r="I33">
            <v>2.8604486817574739E-2</v>
          </cell>
          <cell r="J33">
            <v>3.5191649273731855E-2</v>
          </cell>
          <cell r="K33">
            <v>3.5400945183721763E-2</v>
          </cell>
          <cell r="L33">
            <v>3.6919275150932643E-2</v>
          </cell>
          <cell r="M33">
            <v>3.8801425067076657E-2</v>
          </cell>
          <cell r="N33">
            <v>3.8364338597427564E-2</v>
          </cell>
          <cell r="O33">
            <v>3.4759291358506458E-2</v>
          </cell>
          <cell r="P33">
            <v>4.011658541922488E-2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6.2201022987470322E-5</v>
          </cell>
          <cell r="F34">
            <v>6.5966122359017285E-5</v>
          </cell>
          <cell r="G34">
            <v>2.4225811105089666E-2</v>
          </cell>
          <cell r="H34">
            <v>2.0279648874659761</v>
          </cell>
          <cell r="I34">
            <v>4.412132429060601</v>
          </cell>
          <cell r="J34">
            <v>4.0048963252662499</v>
          </cell>
          <cell r="K34">
            <v>3.658437789252166</v>
          </cell>
          <cell r="L34">
            <v>0.64105817108226548</v>
          </cell>
          <cell r="M34">
            <v>0.67510200687040967</v>
          </cell>
          <cell r="N34">
            <v>0.84164855035039765</v>
          </cell>
          <cell r="O34">
            <v>0.74933637004935394</v>
          </cell>
          <cell r="P34">
            <v>0.88350689861259735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6.2201022987470227E-5</v>
          </cell>
          <cell r="F35">
            <v>6.5912247724861473E-5</v>
          </cell>
          <cell r="G35">
            <v>2.4194910835822977E-2</v>
          </cell>
          <cell r="H35">
            <v>2.0279648874659797</v>
          </cell>
          <cell r="I35">
            <v>4.4072300596949816</v>
          </cell>
          <cell r="J35">
            <v>4.0048963252662535</v>
          </cell>
          <cell r="K35">
            <v>3.6548650960986038</v>
          </cell>
          <cell r="L35">
            <v>0.64105817108226559</v>
          </cell>
          <cell r="M35">
            <v>0.67510200687040967</v>
          </cell>
          <cell r="N35">
            <v>0.84164855035039776</v>
          </cell>
          <cell r="O35">
            <v>0.74933637004935427</v>
          </cell>
          <cell r="P35">
            <v>0.88350689861259735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9.3678374755692726E-5</v>
          </cell>
          <cell r="F36">
            <v>7.7939905910873945E-5</v>
          </cell>
          <cell r="G36">
            <v>2.8844701885044868E-2</v>
          </cell>
          <cell r="H36">
            <v>2.3309952845045658</v>
          </cell>
          <cell r="I36">
            <v>4.9023709654429064</v>
          </cell>
          <cell r="J36">
            <v>4.3063431565770687</v>
          </cell>
          <cell r="K36">
            <v>3.8108779409918503</v>
          </cell>
          <cell r="L36">
            <v>0.64754266066899502</v>
          </cell>
          <cell r="M36">
            <v>0.68192606296032732</v>
          </cell>
          <cell r="N36">
            <v>0.85015964977855618</v>
          </cell>
          <cell r="O36">
            <v>0.75691146805644316</v>
          </cell>
          <cell r="P36">
            <v>0.89244383152165463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9.3678374755692726E-5</v>
          </cell>
          <cell r="F37">
            <v>7.7939905910873945E-5</v>
          </cell>
          <cell r="G37">
            <v>2.8844701885044868E-2</v>
          </cell>
          <cell r="H37">
            <v>2.3309952845045658</v>
          </cell>
          <cell r="I37">
            <v>4.9023709654429064</v>
          </cell>
          <cell r="J37">
            <v>4.3063431565770687</v>
          </cell>
          <cell r="K37">
            <v>3.8108779409918503</v>
          </cell>
          <cell r="L37">
            <v>0.64754266066899502</v>
          </cell>
          <cell r="M37">
            <v>0.68192606296032732</v>
          </cell>
          <cell r="N37">
            <v>0.85015964977855618</v>
          </cell>
          <cell r="O37">
            <v>0.75691146805644316</v>
          </cell>
          <cell r="P37">
            <v>0.89244383152165463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2.7093734080180201E-3</v>
          </cell>
          <cell r="F38">
            <v>3.5406449451099899E-5</v>
          </cell>
          <cell r="G38">
            <v>3.45016426236049E-3</v>
          </cell>
          <cell r="H38">
            <v>0.120980863821447</v>
          </cell>
          <cell r="I38">
            <v>0.15072178029775199</v>
          </cell>
          <cell r="J38">
            <v>5.3099382139872899E-4</v>
          </cell>
          <cell r="K38">
            <v>7.6489238895790498E-2</v>
          </cell>
          <cell r="L38">
            <v>3.07662545442066E-2</v>
          </cell>
          <cell r="M38">
            <v>4.3223435602646701E-2</v>
          </cell>
          <cell r="N38">
            <v>9.1006486057870498E-2</v>
          </cell>
          <cell r="O38">
            <v>2.0849374737028501E-2</v>
          </cell>
          <cell r="P38">
            <v>3.6139480060877201E-2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2.7093734080180201E-3</v>
          </cell>
          <cell r="F39">
            <v>2.7410344212427887E-3</v>
          </cell>
          <cell r="G39">
            <v>6.1831409741597279E-3</v>
          </cell>
          <cell r="H39">
            <v>0.12714567061110404</v>
          </cell>
          <cell r="I39">
            <v>0.27583485320317463</v>
          </cell>
          <cell r="J39">
            <v>0.24990863704848848</v>
          </cell>
          <cell r="K39">
            <v>0.22772136582214753</v>
          </cell>
          <cell r="L39">
            <v>0.10776047268641475</v>
          </cell>
          <cell r="M39">
            <v>0.14037123189006126</v>
          </cell>
          <cell r="N39">
            <v>0.16495943780586644</v>
          </cell>
          <cell r="O39">
            <v>0.14677002202408879</v>
          </cell>
          <cell r="P39">
            <v>0.14795906578449236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1.0738388654288897E-3</v>
          </cell>
          <cell r="H40">
            <v>3.9464635420043554E-4</v>
          </cell>
          <cell r="I40">
            <v>7.9243020778436545E-4</v>
          </cell>
          <cell r="J40">
            <v>7.6070875562338138E-4</v>
          </cell>
          <cell r="K40">
            <v>7.5384004269938296E-4</v>
          </cell>
          <cell r="L40">
            <v>2.6640234805358062E-3</v>
          </cell>
          <cell r="M40">
            <v>1.1220880064796656E-3</v>
          </cell>
          <cell r="N40">
            <v>2.3413718428303447E-3</v>
          </cell>
          <cell r="O40">
            <v>1.9027002038192037E-3</v>
          </cell>
          <cell r="P40">
            <v>4.0594050811451707E-3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2.9763837788303408E-4</v>
          </cell>
          <cell r="H41">
            <v>1.0257816560158664E-4</v>
          </cell>
          <cell r="I41">
            <v>2.0137527791320807E-4</v>
          </cell>
          <cell r="J41">
            <v>1.9202202587978031E-4</v>
          </cell>
          <cell r="K41">
            <v>1.9236447307934132E-4</v>
          </cell>
          <cell r="L41">
            <v>7.6713096655531905E-4</v>
          </cell>
          <cell r="M41">
            <v>2.9446169583867649E-4</v>
          </cell>
          <cell r="N41">
            <v>6.3252777776063554E-4</v>
          </cell>
          <cell r="O41">
            <v>5.0399141616398301E-4</v>
          </cell>
          <cell r="P41">
            <v>1.1036482193317546E-3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1.2389852940363248E-4</v>
          </cell>
          <cell r="H42">
            <v>4.6734728706879645E-5</v>
          </cell>
          <cell r="I42">
            <v>9.3973407962578815E-5</v>
          </cell>
          <cell r="J42">
            <v>8.8930068742734355E-5</v>
          </cell>
          <cell r="K42">
            <v>8.5214332286273232E-5</v>
          </cell>
          <cell r="L42">
            <v>2.6906783318041681E-4</v>
          </cell>
          <cell r="M42">
            <v>1.1869175185043376E-4</v>
          </cell>
          <cell r="N42">
            <v>2.4488800852198115E-4</v>
          </cell>
          <cell r="O42">
            <v>2.0264060755939155E-4</v>
          </cell>
          <cell r="P42">
            <v>4.3014268687024704E-4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8.8253717875600785E-5</v>
          </cell>
          <cell r="H43">
            <v>4.0045824935093834E-5</v>
          </cell>
          <cell r="I43">
            <v>7.4335935453592936E-5</v>
          </cell>
          <cell r="J43">
            <v>7.1441457287321923E-5</v>
          </cell>
          <cell r="K43">
            <v>6.9536114376564134E-5</v>
          </cell>
          <cell r="L43">
            <v>1.7989662501209823E-4</v>
          </cell>
          <cell r="M43">
            <v>9.3872018213290981E-5</v>
          </cell>
          <cell r="N43">
            <v>1.7072253551420578E-4</v>
          </cell>
          <cell r="O43">
            <v>1.5057529704276052E-4</v>
          </cell>
          <cell r="P43">
            <v>2.672911052081025E-4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1.25000998310313E-4</v>
          </cell>
          <cell r="H44">
            <v>4.7050119125127269E-5</v>
          </cell>
          <cell r="I44">
            <v>9.4848755173627391E-5</v>
          </cell>
          <cell r="J44">
            <v>9.0045845940804693E-5</v>
          </cell>
          <cell r="K44">
            <v>8.6026314888945477E-5</v>
          </cell>
          <cell r="L44">
            <v>2.8585090812076932E-4</v>
          </cell>
          <cell r="M44">
            <v>1.2350583668227901E-4</v>
          </cell>
          <cell r="N44">
            <v>2.5400582861283044E-4</v>
          </cell>
          <cell r="O44">
            <v>2.1133949781691776E-4</v>
          </cell>
          <cell r="P44">
            <v>4.5931716066351791E-4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1.6548547787006708E-4</v>
          </cell>
          <cell r="H45">
            <v>5.782059659644555E-5</v>
          </cell>
          <cell r="I45">
            <v>1.2123248495460271E-4</v>
          </cell>
          <cell r="J45">
            <v>1.2071858683130033E-4</v>
          </cell>
          <cell r="K45">
            <v>1.2214343202105151E-4</v>
          </cell>
          <cell r="L45">
            <v>4.6784001884375741E-4</v>
          </cell>
          <cell r="M45">
            <v>1.9443518034669303E-4</v>
          </cell>
          <cell r="N45">
            <v>4.1175789749347722E-4</v>
          </cell>
          <cell r="O45">
            <v>3.2890087892661267E-4</v>
          </cell>
          <cell r="P45">
            <v>6.8527488133880645E-4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1.4967955461334603E-4</v>
          </cell>
          <cell r="H46">
            <v>5.3687970544489566E-5</v>
          </cell>
          <cell r="I46">
            <v>1.1265853784763393E-4</v>
          </cell>
          <cell r="J46">
            <v>1.0861636151152292E-4</v>
          </cell>
          <cell r="K46">
            <v>1.1331157941716796E-4</v>
          </cell>
          <cell r="L46">
            <v>4.2454124302647298E-4</v>
          </cell>
          <cell r="M46">
            <v>1.7830169519977157E-4</v>
          </cell>
          <cell r="N46">
            <v>3.8256379305013E-4</v>
          </cell>
          <cell r="O46">
            <v>3.0264666641891794E-4</v>
          </cell>
          <cell r="P46">
            <v>6.8362697379606007E-4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1.2388220947289657E-4</v>
          </cell>
          <cell r="H47">
            <v>4.6728948690813194E-5</v>
          </cell>
          <cell r="I47">
            <v>9.4005808479122346E-5</v>
          </cell>
          <cell r="J47">
            <v>8.8934409429916063E-5</v>
          </cell>
          <cell r="K47">
            <v>8.5243796630039357E-5</v>
          </cell>
          <cell r="L47">
            <v>2.6969588579697302E-4</v>
          </cell>
          <cell r="M47">
            <v>1.188198283485208E-4</v>
          </cell>
          <cell r="N47">
            <v>2.4490600187708418E-4</v>
          </cell>
          <cell r="O47">
            <v>2.0260583989061969E-4</v>
          </cell>
          <cell r="P47">
            <v>4.3010405393668151E-4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9.568496594176654E-4</v>
          </cell>
          <cell r="K48">
            <v>9.2303156309310398E-4</v>
          </cell>
          <cell r="L48">
            <v>1.8885499819270377E-3</v>
          </cell>
          <cell r="M48">
            <v>1.9028024790011962E-3</v>
          </cell>
          <cell r="N48">
            <v>3.8801065612271757E-2</v>
          </cell>
          <cell r="O48">
            <v>5.5962151569269029E-2</v>
          </cell>
          <cell r="P48">
            <v>4.5680412992208624E-2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9.6651480749259148E-4</v>
          </cell>
          <cell r="K49">
            <v>9.3235511423545839E-4</v>
          </cell>
          <cell r="L49">
            <v>1.9076262443707467E-3</v>
          </cell>
          <cell r="M49">
            <v>1.9220227060618136E-3</v>
          </cell>
          <cell r="N49">
            <v>3.9192995567951257E-2</v>
          </cell>
          <cell r="O49">
            <v>5.6527425827544407E-2</v>
          </cell>
          <cell r="P49">
            <v>4.6141831305261269E-2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9.5270866440827304E-7</v>
          </cell>
          <cell r="I50">
            <v>2.1221454995243701E-6</v>
          </cell>
          <cell r="J50">
            <v>5.0205972187840396E-4</v>
          </cell>
          <cell r="K50">
            <v>3.9434037098137702E-5</v>
          </cell>
          <cell r="L50">
            <v>4.14521609768731E-4</v>
          </cell>
          <cell r="M50">
            <v>9.5262456964187698E-6</v>
          </cell>
          <cell r="N50">
            <v>4.2269750921993497E-3</v>
          </cell>
          <cell r="O50">
            <v>8.8004596427287895E-5</v>
          </cell>
          <cell r="P50">
            <v>4.2156662899309303E-4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9.5270866440827304E-7</v>
          </cell>
          <cell r="I51">
            <v>3.0748541639326399E-6</v>
          </cell>
          <cell r="J51">
            <v>5.0513457604233695E-4</v>
          </cell>
          <cell r="K51">
            <v>5.4456861314047496E-4</v>
          </cell>
          <cell r="L51">
            <v>9.5909022290920597E-4</v>
          </cell>
          <cell r="M51">
            <v>9.6861646860562495E-4</v>
          </cell>
          <cell r="N51">
            <v>5.1955915608049696E-3</v>
          </cell>
          <cell r="O51">
            <v>5.2832941355427298E-3</v>
          </cell>
          <cell r="P51">
            <v>5.7042100775609398E-3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1.0194319333962775E-3</v>
          </cell>
          <cell r="F52">
            <v>1.0156643007527037E-3</v>
          </cell>
          <cell r="G52">
            <v>1.0154415776126675E-3</v>
          </cell>
          <cell r="H52">
            <v>3.5259252768449399E-2</v>
          </cell>
          <cell r="I52">
            <v>5.7827246248632377E-2</v>
          </cell>
          <cell r="J52">
            <v>5.944974329385324E-2</v>
          </cell>
          <cell r="K52">
            <v>6.136810704162407E-2</v>
          </cell>
          <cell r="L52">
            <v>8.114244401118563E-2</v>
          </cell>
          <cell r="M52">
            <v>8.1866297813003863E-2</v>
          </cell>
          <cell r="N52">
            <v>0.11118373194249567</v>
          </cell>
          <cell r="O52">
            <v>0.17233347270190835</v>
          </cell>
          <cell r="P52">
            <v>0.15042595470870748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1.019431933396277E-3</v>
          </cell>
          <cell r="F53">
            <v>1.0156643007527024E-3</v>
          </cell>
          <cell r="G53">
            <v>1.0154415776126666E-3</v>
          </cell>
          <cell r="H53">
            <v>3.5259252768449351E-2</v>
          </cell>
          <cell r="I53">
            <v>5.7827246248632322E-2</v>
          </cell>
          <cell r="J53">
            <v>5.9449743293853163E-2</v>
          </cell>
          <cell r="K53">
            <v>6.1368107041624022E-2</v>
          </cell>
          <cell r="L53">
            <v>8.1142444011185547E-2</v>
          </cell>
          <cell r="M53">
            <v>8.1866297813003822E-2</v>
          </cell>
          <cell r="N53">
            <v>0.11118373194249559</v>
          </cell>
          <cell r="O53">
            <v>0.17233347270190821</v>
          </cell>
          <cell r="P53">
            <v>0.15042595470870737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1.1287759496078594E-3</v>
          </cell>
          <cell r="F54">
            <v>1.1248909103289992E-3</v>
          </cell>
          <cell r="G54">
            <v>1.1238160463243763E-3</v>
          </cell>
          <cell r="H54">
            <v>3.8992600618164133E-2</v>
          </cell>
          <cell r="I54">
            <v>6.3949792989016124E-2</v>
          </cell>
          <cell r="J54">
            <v>6.5743754804493612E-2</v>
          </cell>
          <cell r="K54">
            <v>6.7865215955771788E-2</v>
          </cell>
          <cell r="L54">
            <v>8.9734248245771434E-2</v>
          </cell>
          <cell r="M54">
            <v>9.053356702180948E-2</v>
          </cell>
          <cell r="N54">
            <v>0.12295796505888729</v>
          </cell>
          <cell r="O54">
            <v>0.19057903691029188</v>
          </cell>
          <cell r="P54">
            <v>0.16635850449745876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1.1287759496078594E-3</v>
          </cell>
          <cell r="F55">
            <v>1.1248909103289992E-3</v>
          </cell>
          <cell r="G55">
            <v>1.1238160463243763E-3</v>
          </cell>
          <cell r="H55">
            <v>3.8992600618164133E-2</v>
          </cell>
          <cell r="I55">
            <v>6.3949792989016124E-2</v>
          </cell>
          <cell r="J55">
            <v>6.5743754804493612E-2</v>
          </cell>
          <cell r="K55">
            <v>6.7865215955771788E-2</v>
          </cell>
          <cell r="L55">
            <v>8.9734248245771434E-2</v>
          </cell>
          <cell r="M55">
            <v>9.053356702180948E-2</v>
          </cell>
          <cell r="N55">
            <v>0.12295796505888729</v>
          </cell>
          <cell r="O55">
            <v>0.19057903691029188</v>
          </cell>
          <cell r="P55">
            <v>0.16635850449745876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4.1394863785623699E-4</v>
          </cell>
          <cell r="F56">
            <v>6.6937921032112001E-7</v>
          </cell>
          <cell r="G56">
            <v>1.87665896110718E-6</v>
          </cell>
          <cell r="H56">
            <v>2.6667849597076802E-2</v>
          </cell>
          <cell r="I56">
            <v>4.5848147092144898E-4</v>
          </cell>
          <cell r="J56">
            <v>1.87111926104701E-2</v>
          </cell>
          <cell r="K56">
            <v>8.0642694690449997E-3</v>
          </cell>
          <cell r="L56">
            <v>1.8813246418417601E-2</v>
          </cell>
          <cell r="M56">
            <v>1.1098953505855399E-2</v>
          </cell>
          <cell r="N56">
            <v>2.4804717987929301E-2</v>
          </cell>
          <cell r="O56">
            <v>4.3821767508849897E-2</v>
          </cell>
          <cell r="P56">
            <v>1.06254619833588E-3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4.1603629581079838E-4</v>
          </cell>
          <cell r="F57">
            <v>4.1647094165939418E-4</v>
          </cell>
          <cell r="G57">
            <v>4.1781493638233232E-4</v>
          </cell>
          <cell r="H57">
            <v>2.6972289502500149E-2</v>
          </cell>
          <cell r="I57">
            <v>2.7126922753745394E-2</v>
          </cell>
          <cell r="J57">
            <v>2.4769418486142912E-2</v>
          </cell>
          <cell r="K57">
            <v>2.7012700028052186E-2</v>
          </cell>
          <cell r="L57">
            <v>3.3268174488134863E-2</v>
          </cell>
          <cell r="M57">
            <v>3.3538943384459757E-2</v>
          </cell>
          <cell r="N57">
            <v>4.5541346412482066E-2</v>
          </cell>
          <cell r="O57">
            <v>7.0591424009940534E-2</v>
          </cell>
          <cell r="P57">
            <v>6.1622379562226173E-2</v>
          </cell>
        </row>
        <row r="58">
          <cell r="B58" t="str">
            <v>D-RES_LTH</v>
          </cell>
          <cell r="C58" t="str">
            <v>VAR_fout</v>
          </cell>
          <cell r="D58" t="str">
            <v>RHNS_LTH_DH</v>
          </cell>
          <cell r="F58">
            <v>5.4457827149761377E-2</v>
          </cell>
          <cell r="G58">
            <v>7.2446099652885135E-2</v>
          </cell>
          <cell r="H58">
            <v>0.11201295496091554</v>
          </cell>
          <cell r="I58">
            <v>0.17396618034723257</v>
          </cell>
          <cell r="J58">
            <v>0.24652805238734624</v>
          </cell>
          <cell r="K58">
            <v>0.39702696298621271</v>
          </cell>
          <cell r="L58">
            <v>0.63940698667322671</v>
          </cell>
          <cell r="M58">
            <v>0.69969645462359531</v>
          </cell>
          <cell r="N58">
            <v>0.73540490321452778</v>
          </cell>
          <cell r="O58">
            <v>0.77293076369054114</v>
          </cell>
          <cell r="P58">
            <v>0.81238183491361393</v>
          </cell>
        </row>
        <row r="59">
          <cell r="B59" t="str">
            <v>D-RES_LTH</v>
          </cell>
          <cell r="C59" t="str">
            <v>VAR_fout</v>
          </cell>
          <cell r="D59" t="str">
            <v>RHEM_LTH_DH</v>
          </cell>
          <cell r="E59">
            <v>2.0637720559103818</v>
          </cell>
          <cell r="F59">
            <v>3.8269976932966365</v>
          </cell>
          <cell r="G59">
            <v>4.216063077320765</v>
          </cell>
          <cell r="H59">
            <v>3.7319380530670156</v>
          </cell>
          <cell r="I59">
            <v>3.1774500532604595</v>
          </cell>
          <cell r="J59">
            <v>3.9405694477025901</v>
          </cell>
          <cell r="K59">
            <v>3.8380006522061003</v>
          </cell>
          <cell r="L59">
            <v>3.7054540543389289</v>
          </cell>
          <cell r="M59">
            <v>3.5354475503793199</v>
          </cell>
          <cell r="N59">
            <v>3.1438928800167725</v>
          </cell>
          <cell r="O59">
            <v>3.247323416985592</v>
          </cell>
          <cell r="P59">
            <v>2.5900858812934229</v>
          </cell>
        </row>
        <row r="60">
          <cell r="B60" t="str">
            <v>D-RES_LTH</v>
          </cell>
          <cell r="C60" t="str">
            <v>VAR_fout</v>
          </cell>
          <cell r="D60" t="str">
            <v>RHES_LTH_DH</v>
          </cell>
          <cell r="E60">
            <v>1.8913157780599137</v>
          </cell>
          <cell r="F60">
            <v>3.5391902509850879</v>
          </cell>
          <cell r="G60">
            <v>3.5402780598089971</v>
          </cell>
          <cell r="H60">
            <v>2.7734556291157153</v>
          </cell>
          <cell r="I60">
            <v>3.3092411264492725</v>
          </cell>
          <cell r="J60">
            <v>3.1430903079241492</v>
          </cell>
          <cell r="K60">
            <v>2.3694739251627244</v>
          </cell>
          <cell r="L60">
            <v>2.7781315923003054</v>
          </cell>
          <cell r="M60">
            <v>2.5919910487714102</v>
          </cell>
          <cell r="N60">
            <v>2.4001054309657466</v>
          </cell>
          <cell r="O60">
            <v>2.351302154913999</v>
          </cell>
          <cell r="P60">
            <v>1.9611318434770997</v>
          </cell>
        </row>
        <row r="61">
          <cell r="B61" t="str">
            <v>D-RES_LTH</v>
          </cell>
          <cell r="C61" t="str">
            <v>VAR_fout</v>
          </cell>
          <cell r="D61" t="str">
            <v>RHSA_LTH</v>
          </cell>
          <cell r="E61">
            <v>4.3849286736176216</v>
          </cell>
          <cell r="F61">
            <v>1.842874221305453</v>
          </cell>
          <cell r="G61">
            <v>1.842873913529038</v>
          </cell>
          <cell r="H61">
            <v>1.8428724705271555</v>
          </cell>
          <cell r="I61">
            <v>1.8428723545964227</v>
          </cell>
          <cell r="J61">
            <v>1.8428734550358741</v>
          </cell>
          <cell r="K61">
            <v>1.842877931283887</v>
          </cell>
          <cell r="L61">
            <v>1.8428821963675404</v>
          </cell>
          <cell r="M61">
            <v>1.8428876237383516</v>
          </cell>
          <cell r="N61">
            <v>1.8428956286154055</v>
          </cell>
          <cell r="O61">
            <v>1.8429132107672301</v>
          </cell>
          <cell r="P61">
            <v>1.8429688195435345</v>
          </cell>
        </row>
        <row r="62">
          <cell r="B62" t="str">
            <v>D-RES_LTH</v>
          </cell>
          <cell r="C62" t="str">
            <v>VAR_fout</v>
          </cell>
          <cell r="D62" t="str">
            <v>RHNM_LTH_DH</v>
          </cell>
          <cell r="F62">
            <v>0.35008646175268521</v>
          </cell>
          <cell r="G62">
            <v>0.38254892706318117</v>
          </cell>
          <cell r="H62">
            <v>0.44347686528232338</v>
          </cell>
          <cell r="I62">
            <v>0.51411122549234523</v>
          </cell>
          <cell r="J62">
            <v>0.5959965582402782</v>
          </cell>
          <cell r="K62">
            <v>0.69092592307601153</v>
          </cell>
          <cell r="L62">
            <v>0.80136382219885793</v>
          </cell>
          <cell r="M62">
            <v>0.929006750345308</v>
          </cell>
          <cell r="N62">
            <v>1.0769864362716011</v>
          </cell>
          <cell r="O62">
            <v>1.2485291713851059</v>
          </cell>
          <cell r="P62">
            <v>1.4474077165632218</v>
          </cell>
        </row>
        <row r="63">
          <cell r="B63" t="str">
            <v>D-RES_LTH</v>
          </cell>
          <cell r="C63" t="str">
            <v>VAR_fin</v>
          </cell>
          <cell r="D63" t="str">
            <v>LTH</v>
          </cell>
          <cell r="E63">
            <v>9.2187462962374216</v>
          </cell>
          <cell r="F63">
            <v>10.626525596823125</v>
          </cell>
          <cell r="G63">
            <v>11.08885802300359</v>
          </cell>
          <cell r="H63">
            <v>9.783781263482334</v>
          </cell>
          <cell r="I63">
            <v>9.8724957496798265</v>
          </cell>
          <cell r="J63">
            <v>10.655972636403073</v>
          </cell>
          <cell r="K63">
            <v>9.9315791992926794</v>
          </cell>
          <cell r="L63">
            <v>10.57651163819615</v>
          </cell>
          <cell r="M63">
            <v>10.394365293777041</v>
          </cell>
          <cell r="N63">
            <v>9.9614999986309076</v>
          </cell>
          <cell r="O63">
            <v>10.247063641798665</v>
          </cell>
          <cell r="P63">
            <v>9.3710087524273629</v>
          </cell>
        </row>
        <row r="64">
          <cell r="B64" t="str">
            <v>D-RES_LTH</v>
          </cell>
          <cell r="C64" t="str">
            <v>VAR_ncap</v>
          </cell>
          <cell r="D64" t="str">
            <v>-</v>
          </cell>
          <cell r="E64">
            <v>0.62767289129739801</v>
          </cell>
          <cell r="F64">
            <v>3.2846166689476E-2</v>
          </cell>
          <cell r="G64">
            <v>3.6708298700107501E-3</v>
          </cell>
          <cell r="H64">
            <v>5.7363515000540899E-3</v>
          </cell>
          <cell r="I64">
            <v>1.19329647863164E-2</v>
          </cell>
          <cell r="J64">
            <v>1.26447786594867E-2</v>
          </cell>
          <cell r="K64">
            <v>1.8044946931361699E-2</v>
          </cell>
          <cell r="L64">
            <v>2.6868044516140301E-2</v>
          </cell>
          <cell r="M64">
            <v>1.42266865150712E-2</v>
          </cell>
          <cell r="N64">
            <v>1.5019826526043299E-2</v>
          </cell>
          <cell r="O64">
            <v>1.07428993209164E-2</v>
          </cell>
          <cell r="P64">
            <v>1.81660439352072E-2</v>
          </cell>
        </row>
        <row r="65">
          <cell r="B65" t="str">
            <v>D-RES_LTH</v>
          </cell>
          <cell r="C65" t="str">
            <v>VAR_cap</v>
          </cell>
          <cell r="D65" t="str">
            <v>-</v>
          </cell>
          <cell r="E65">
            <v>0.62767289129739801</v>
          </cell>
          <cell r="F65">
            <v>0.66051905798687405</v>
          </cell>
          <cell r="G65">
            <v>0.66418988785688504</v>
          </cell>
          <cell r="H65">
            <v>0.66992623935693896</v>
          </cell>
          <cell r="I65">
            <v>0.68185920414325496</v>
          </cell>
          <cell r="J65">
            <v>0.69450398280274195</v>
          </cell>
          <cell r="K65">
            <v>0.712548929734104</v>
          </cell>
          <cell r="L65">
            <v>0.739416974250244</v>
          </cell>
          <cell r="M65">
            <v>0.75364366076531497</v>
          </cell>
          <cell r="N65">
            <v>0.76866348729135803</v>
          </cell>
          <cell r="O65">
            <v>0.77940638661227502</v>
          </cell>
          <cell r="P65">
            <v>0.79757243054748195</v>
          </cell>
        </row>
        <row r="66">
          <cell r="B66" t="str">
            <v>RHES-SHSTG-CHPNGA</v>
          </cell>
          <cell r="C66" t="str">
            <v>VAR_fout</v>
          </cell>
          <cell r="D66" t="str">
            <v>RHES_LTH_CHPNGA</v>
          </cell>
          <cell r="E66">
            <v>7.3537401020728642E-3</v>
          </cell>
          <cell r="F66">
            <v>8.765172163078649E-5</v>
          </cell>
          <cell r="G66">
            <v>3.0750759914269584E-3</v>
          </cell>
          <cell r="H66">
            <v>3.5075817220536023E-3</v>
          </cell>
          <cell r="I66">
            <v>4.5979904427588753E-3</v>
          </cell>
          <cell r="J66">
            <v>4.6525177285089364E-3</v>
          </cell>
          <cell r="K66">
            <v>4.6163168506094593E-3</v>
          </cell>
          <cell r="L66">
            <v>1.1227696491157924E-2</v>
          </cell>
          <cell r="M66">
            <v>5.6533484857078939E-3</v>
          </cell>
          <cell r="N66">
            <v>1.2602048246697438E-2</v>
          </cell>
          <cell r="O66">
            <v>2.0333871557039862E-2</v>
          </cell>
          <cell r="P66">
            <v>3.0831145705921794E-2</v>
          </cell>
        </row>
        <row r="67">
          <cell r="B67" t="str">
            <v>RHES-SHSTG-CHPNGA</v>
          </cell>
          <cell r="C67" t="str">
            <v>VAR_fout</v>
          </cell>
          <cell r="D67" t="str">
            <v>AUX_RES_CHPNGA_OUT</v>
          </cell>
          <cell r="E67">
            <v>7.353740102072878E-3</v>
          </cell>
          <cell r="F67">
            <v>8.7593326080066594E-5</v>
          </cell>
          <cell r="G67">
            <v>3.0718761204681392E-3</v>
          </cell>
          <cell r="H67">
            <v>3.5075817220536023E-3</v>
          </cell>
          <cell r="I67">
            <v>4.5937682293128203E-3</v>
          </cell>
          <cell r="J67">
            <v>4.6525177285089521E-3</v>
          </cell>
          <cell r="K67">
            <v>4.6125484286906058E-3</v>
          </cell>
          <cell r="L67">
            <v>1.1227696491157938E-2</v>
          </cell>
          <cell r="M67">
            <v>5.6533484857079009E-3</v>
          </cell>
          <cell r="N67">
            <v>1.2602048246697454E-2</v>
          </cell>
          <cell r="O67">
            <v>2.0333871557039886E-2</v>
          </cell>
          <cell r="P67">
            <v>3.0831145705921818E-2</v>
          </cell>
        </row>
        <row r="68">
          <cell r="B68" t="str">
            <v>RHES-SHSTG-CHPNGA</v>
          </cell>
          <cell r="C68" t="str">
            <v>VAR_fin</v>
          </cell>
          <cell r="D68" t="str">
            <v>RHES_LTH_CHPNGA</v>
          </cell>
          <cell r="E68">
            <v>9.7537925643679056E-3</v>
          </cell>
          <cell r="F68">
            <v>1.175976242680971E-4</v>
          </cell>
          <cell r="G68">
            <v>3.9692176116700633E-3</v>
          </cell>
          <cell r="H68">
            <v>4.386143631681657E-3</v>
          </cell>
          <cell r="I68">
            <v>5.578210087534027E-3</v>
          </cell>
          <cell r="J68">
            <v>5.4752834071156251E-3</v>
          </cell>
          <cell r="K68">
            <v>5.2781015374468573E-3</v>
          </cell>
          <cell r="L68">
            <v>1.2483839575456897E-2</v>
          </cell>
          <cell r="M68">
            <v>6.2848312756864644E-3</v>
          </cell>
          <cell r="N68">
            <v>1.4011785870453415E-2</v>
          </cell>
          <cell r="O68">
            <v>2.2598434473213254E-2</v>
          </cell>
          <cell r="P68">
            <v>3.4268560575085198E-2</v>
          </cell>
        </row>
        <row r="69">
          <cell r="B69" t="str">
            <v>RHES-SHSTG-CHPNGA</v>
          </cell>
          <cell r="C69" t="str">
            <v>VAR_fin</v>
          </cell>
          <cell r="D69" t="str">
            <v>AUX_RES_CHPNGA_IN</v>
          </cell>
          <cell r="E69">
            <v>9.7537925643679056E-3</v>
          </cell>
          <cell r="F69">
            <v>1.175976242680971E-4</v>
          </cell>
          <cell r="G69">
            <v>3.9692176116700633E-3</v>
          </cell>
          <cell r="H69">
            <v>4.386143631681657E-3</v>
          </cell>
          <cell r="I69">
            <v>5.578210087534027E-3</v>
          </cell>
          <cell r="J69">
            <v>5.4752834071156251E-3</v>
          </cell>
          <cell r="K69">
            <v>5.2781015374468573E-3</v>
          </cell>
          <cell r="L69">
            <v>1.2483839575456897E-2</v>
          </cell>
          <cell r="M69">
            <v>6.2848312756864644E-3</v>
          </cell>
          <cell r="N69">
            <v>1.4011785870453415E-2</v>
          </cell>
          <cell r="O69">
            <v>2.2598434473213254E-2</v>
          </cell>
          <cell r="P69">
            <v>3.4268560575085198E-2</v>
          </cell>
        </row>
        <row r="70">
          <cell r="B70" t="str">
            <v>RHES-SHSTG-CHPNGA</v>
          </cell>
          <cell r="C70" t="str">
            <v>VAR_ncap</v>
          </cell>
          <cell r="D70" t="str">
            <v>-</v>
          </cell>
          <cell r="E70">
            <v>2.2966613103106298E-3</v>
          </cell>
          <cell r="F70">
            <v>1.99357998959493E-5</v>
          </cell>
          <cell r="G70">
            <v>2.2851693322761099E-5</v>
          </cell>
          <cell r="H70">
            <v>1.6185073862495501E-5</v>
          </cell>
          <cell r="I70">
            <v>1.3462098894674601E-3</v>
          </cell>
          <cell r="J70">
            <v>7.5470531993395904E-4</v>
          </cell>
          <cell r="K70">
            <v>1.30345100141457E-4</v>
          </cell>
          <cell r="L70">
            <v>2.3004353372042402E-3</v>
          </cell>
          <cell r="M70">
            <v>6.2139204685587906E-5</v>
          </cell>
          <cell r="N70">
            <v>1.80870800972813E-3</v>
          </cell>
          <cell r="O70">
            <v>6.1229588402804003E-3</v>
          </cell>
          <cell r="P70">
            <v>1.14498300009541E-3</v>
          </cell>
        </row>
        <row r="71">
          <cell r="B71" t="str">
            <v>RHES-SHSTG-CHPNGA</v>
          </cell>
          <cell r="C71" t="str">
            <v>VAR_cap</v>
          </cell>
          <cell r="D71" t="str">
            <v>-</v>
          </cell>
          <cell r="E71">
            <v>2.2966613103106298E-3</v>
          </cell>
          <cell r="F71">
            <v>2.312284482902154E-3</v>
          </cell>
          <cell r="G71">
            <v>2.3232418871417162E-3</v>
          </cell>
          <cell r="H71">
            <v>2.3083055835292393E-3</v>
          </cell>
          <cell r="I71">
            <v>1.9540318404820773E-3</v>
          </cell>
          <cell r="J71">
            <v>2.1024082712823521E-3</v>
          </cell>
          <cell r="K71">
            <v>2.2090703031848692E-3</v>
          </cell>
          <cell r="L71">
            <v>3.1615941648711833E-3</v>
          </cell>
          <cell r="M71">
            <v>2.5288245982675881E-3</v>
          </cell>
          <cell r="N71">
            <v>4.1355892976342361E-3</v>
          </cell>
          <cell r="O71">
            <v>8.3318352208461132E-3</v>
          </cell>
          <cell r="P71">
            <v>9.0381867398673585E-3</v>
          </cell>
        </row>
        <row r="72">
          <cell r="B72" t="str">
            <v>RHNS-CHPWOD</v>
          </cell>
          <cell r="C72" t="str">
            <v>VAR_fout</v>
          </cell>
          <cell r="D72" t="str">
            <v>RHNS_LTH_CHPWOD</v>
          </cell>
          <cell r="H72">
            <v>2.1635924737552509E-3</v>
          </cell>
          <cell r="I72">
            <v>4.5123213402949499E-3</v>
          </cell>
          <cell r="J72">
            <v>4.4206953820080056E-3</v>
          </cell>
          <cell r="K72">
            <v>4.2772507276242124E-3</v>
          </cell>
          <cell r="L72">
            <v>1.1466029773677401E-2</v>
          </cell>
          <cell r="M72">
            <v>1.0965659536791902E-2</v>
          </cell>
          <cell r="N72">
            <v>1.4241737769995376E-2</v>
          </cell>
          <cell r="O72">
            <v>6.8701776683362942E-3</v>
          </cell>
          <cell r="P72">
            <v>1.1761780131432434E-2</v>
          </cell>
        </row>
        <row r="73">
          <cell r="B73" t="str">
            <v>RHNS-CHPWOD</v>
          </cell>
          <cell r="C73" t="str">
            <v>VAR_fout</v>
          </cell>
          <cell r="D73" t="str">
            <v>RHNS_KEV_WOD_ELC_CHP</v>
          </cell>
          <cell r="H73">
            <v>8.0145883202900863E-4</v>
          </cell>
          <cell r="I73">
            <v>1.706761339786042E-3</v>
          </cell>
          <cell r="J73">
            <v>1.7081410434835506E-3</v>
          </cell>
          <cell r="K73">
            <v>1.6861702967732295E-3</v>
          </cell>
          <cell r="L73">
            <v>4.6135090638817879E-3</v>
          </cell>
          <cell r="M73">
            <v>4.4121784665666249E-3</v>
          </cell>
          <cell r="N73">
            <v>5.7303519687467519E-3</v>
          </cell>
          <cell r="O73">
            <v>2.7643070503890967E-3</v>
          </cell>
          <cell r="P73">
            <v>4.7325081405527247E-3</v>
          </cell>
        </row>
        <row r="74">
          <cell r="B74" t="str">
            <v>RHNS-CHPWOD</v>
          </cell>
          <cell r="C74" t="str">
            <v>VAR_fin</v>
          </cell>
          <cell r="D74" t="str">
            <v>RWOD</v>
          </cell>
          <cell r="H74">
            <v>4.0016232803143153E-3</v>
          </cell>
          <cell r="I74">
            <v>7.7837946012734695E-3</v>
          </cell>
          <cell r="J74">
            <v>7.6148464090502813E-3</v>
          </cell>
          <cell r="K74">
            <v>7.5033399310470705E-3</v>
          </cell>
          <cell r="L74">
            <v>2.0006001915251235E-2</v>
          </cell>
          <cell r="M74">
            <v>1.7929673865732802E-2</v>
          </cell>
          <cell r="N74">
            <v>2.4039023759458371E-2</v>
          </cell>
          <cell r="O74">
            <v>1.2407116930798798E-2</v>
          </cell>
          <cell r="P74">
            <v>2.2495259045975706E-2</v>
          </cell>
        </row>
        <row r="75">
          <cell r="B75" t="str">
            <v>RHNS-CHPWOD</v>
          </cell>
          <cell r="C75" t="str">
            <v>VAR_ncap</v>
          </cell>
          <cell r="D75" t="str">
            <v>-</v>
          </cell>
          <cell r="H75">
            <v>7.1287810311576597E-5</v>
          </cell>
          <cell r="I75">
            <v>8.0581206997201003E-5</v>
          </cell>
          <cell r="J75">
            <v>1.3754183059438001E-5</v>
          </cell>
          <cell r="K75">
            <v>5.5727475057635797E-5</v>
          </cell>
          <cell r="L75">
            <v>3.4094026452686799E-4</v>
          </cell>
          <cell r="M75">
            <v>1.10866269686166E-6</v>
          </cell>
          <cell r="N75">
            <v>1.67726915208834E-4</v>
          </cell>
          <cell r="O75">
            <v>1.72877038398295E-5</v>
          </cell>
          <cell r="P75">
            <v>2.36279683015793E-4</v>
          </cell>
        </row>
        <row r="76">
          <cell r="B76" t="str">
            <v>RHNS-CHPWOD</v>
          </cell>
          <cell r="C76" t="str">
            <v>VAR_cap</v>
          </cell>
          <cell r="D76" t="str">
            <v>-</v>
          </cell>
          <cell r="H76">
            <v>7.1287810311576597E-5</v>
          </cell>
          <cell r="I76">
            <v>1.5184062236615672E-4</v>
          </cell>
          <cell r="J76">
            <v>1.5194562223183489E-4</v>
          </cell>
          <cell r="K76">
            <v>1.4996515953197764E-4</v>
          </cell>
          <cell r="L76">
            <v>4.1025095586338581E-4</v>
          </cell>
          <cell r="M76">
            <v>3.9228446739895142E-4</v>
          </cell>
          <cell r="N76">
            <v>5.0957630216988306E-4</v>
          </cell>
          <cell r="O76">
            <v>2.4588143153055726E-4</v>
          </cell>
          <cell r="P76">
            <v>4.2107493242647063E-4</v>
          </cell>
        </row>
        <row r="77">
          <cell r="B77" t="str">
            <v>D-ICOA</v>
          </cell>
          <cell r="C77" t="str">
            <v>VAR_fout</v>
          </cell>
          <cell r="D77" t="str">
            <v>ICOA</v>
          </cell>
          <cell r="E77">
            <v>3.5600047542263824</v>
          </cell>
          <cell r="F77">
            <v>3.4647169635802859</v>
          </cell>
          <cell r="G77">
            <v>2.9081085473763579</v>
          </cell>
          <cell r="H77">
            <v>1.3322349892724663E-3</v>
          </cell>
          <cell r="I77">
            <v>1.5087891758493537E-3</v>
          </cell>
          <cell r="J77">
            <v>1.356355616750455E-3</v>
          </cell>
          <cell r="K77">
            <v>1.7821310339615763E-3</v>
          </cell>
          <cell r="L77">
            <v>4.4958159540471462E-3</v>
          </cell>
          <cell r="M77">
            <v>2.6600949992475072E-3</v>
          </cell>
          <cell r="N77">
            <v>4.0053278377095072E-3</v>
          </cell>
          <cell r="O77">
            <v>2.206658400013735E-3</v>
          </cell>
          <cell r="P77">
            <v>3.8655899619369095E-3</v>
          </cell>
        </row>
        <row r="78">
          <cell r="B78" t="str">
            <v>D-ICOA</v>
          </cell>
          <cell r="C78" t="str">
            <v>VAR_fout</v>
          </cell>
          <cell r="D78" t="str">
            <v>CO2</v>
          </cell>
          <cell r="E78">
            <v>330.01244071678599</v>
          </cell>
          <cell r="F78">
            <v>321.17926252389299</v>
          </cell>
          <cell r="G78">
            <v>269.58166234178799</v>
          </cell>
          <cell r="H78">
            <v>0.123498183505558</v>
          </cell>
          <cell r="I78">
            <v>0.13986475660123501</v>
          </cell>
          <cell r="J78">
            <v>0.12573416567276699</v>
          </cell>
          <cell r="K78">
            <v>0.16520354684823799</v>
          </cell>
          <cell r="L78">
            <v>0.41676213894017</v>
          </cell>
          <cell r="M78">
            <v>0.246590806430244</v>
          </cell>
          <cell r="N78">
            <v>0.37129389055567102</v>
          </cell>
          <cell r="O78">
            <v>0.20455723368127299</v>
          </cell>
          <cell r="P78">
            <v>0.358340189471552</v>
          </cell>
        </row>
        <row r="79">
          <cell r="B79" t="str">
            <v>D-ICOA</v>
          </cell>
          <cell r="C79" t="str">
            <v>VAR_fin</v>
          </cell>
          <cell r="D79" t="str">
            <v>COA</v>
          </cell>
          <cell r="E79">
            <v>3.5600047542263824</v>
          </cell>
          <cell r="F79">
            <v>3.4647169635802859</v>
          </cell>
          <cell r="G79">
            <v>2.9081085473763579</v>
          </cell>
          <cell r="H79">
            <v>1.3322349892724663E-3</v>
          </cell>
          <cell r="I79">
            <v>1.5087891758493537E-3</v>
          </cell>
          <cell r="J79">
            <v>1.356355616750455E-3</v>
          </cell>
          <cell r="K79">
            <v>1.7821310339615763E-3</v>
          </cell>
          <cell r="L79">
            <v>4.4958159540471462E-3</v>
          </cell>
          <cell r="M79">
            <v>2.6600949992475072E-3</v>
          </cell>
          <cell r="N79">
            <v>4.0053278377095072E-3</v>
          </cell>
          <cell r="O79">
            <v>2.206658400013735E-3</v>
          </cell>
          <cell r="P79">
            <v>3.8655899619369095E-3</v>
          </cell>
        </row>
        <row r="80">
          <cell r="B80" t="str">
            <v>RHNM-SHSTG-CHPWOD</v>
          </cell>
          <cell r="C80" t="str">
            <v>VAR_fout</v>
          </cell>
          <cell r="D80" t="str">
            <v>RHNM_LTH_CHPWOD</v>
          </cell>
          <cell r="E80">
            <v>3.3400220238616275E-4</v>
          </cell>
          <cell r="F80">
            <v>2.2676013405693721E-4</v>
          </cell>
          <cell r="G80">
            <v>3.1775566258628176E-4</v>
          </cell>
          <cell r="H80">
            <v>1.7957768509263847E-3</v>
          </cell>
          <cell r="I80">
            <v>2.9897617976837633E-3</v>
          </cell>
          <cell r="J80">
            <v>2.9664011193181196E-3</v>
          </cell>
          <cell r="K80">
            <v>5.3317124143109412E-3</v>
          </cell>
          <cell r="L80">
            <v>1.2016162186421934E-2</v>
          </cell>
          <cell r="M80">
            <v>6.5449055403830293E-3</v>
          </cell>
          <cell r="N80">
            <v>1.5033062956031198E-2</v>
          </cell>
          <cell r="O80">
            <v>1.1408540126713326E-2</v>
          </cell>
          <cell r="P80">
            <v>3.4307175850745671E-2</v>
          </cell>
        </row>
        <row r="81">
          <cell r="B81" t="str">
            <v>RHNM-SHSTG-CHPWOD</v>
          </cell>
          <cell r="C81" t="str">
            <v>VAR_fout</v>
          </cell>
          <cell r="D81" t="str">
            <v>AUX_RNM-CHPWOD_OUT</v>
          </cell>
          <cell r="E81">
            <v>3.3400220238616346E-4</v>
          </cell>
          <cell r="F81">
            <v>2.2660906134937121E-4</v>
          </cell>
          <cell r="G81">
            <v>3.1742501153260238E-4</v>
          </cell>
          <cell r="H81">
            <v>1.7957768509263847E-3</v>
          </cell>
          <cell r="I81">
            <v>2.9870163782184933E-3</v>
          </cell>
          <cell r="J81">
            <v>2.9664011193181309E-3</v>
          </cell>
          <cell r="K81">
            <v>5.3273599960135601E-3</v>
          </cell>
          <cell r="L81">
            <v>1.2016162186421948E-2</v>
          </cell>
          <cell r="M81">
            <v>6.5449055403830319E-3</v>
          </cell>
          <cell r="N81">
            <v>1.5033062956031212E-2</v>
          </cell>
          <cell r="O81">
            <v>1.1408540126713336E-2</v>
          </cell>
          <cell r="P81">
            <v>3.4307175850745705E-2</v>
          </cell>
        </row>
        <row r="82">
          <cell r="B82" t="str">
            <v>RHNM-SHSTG-CHPWOD</v>
          </cell>
          <cell r="C82" t="str">
            <v>VAR_fin</v>
          </cell>
          <cell r="D82" t="str">
            <v>RHNM_LTH_CHPWOD</v>
          </cell>
          <cell r="E82">
            <v>2.5762406236815629E-4</v>
          </cell>
          <cell r="F82">
            <v>6.887863565913507E-5</v>
          </cell>
          <cell r="G82">
            <v>2.4160762091521225E-4</v>
          </cell>
          <cell r="H82">
            <v>2.2403215587979584E-3</v>
          </cell>
          <cell r="I82">
            <v>3.6219539192315275E-3</v>
          </cell>
          <cell r="J82">
            <v>3.4876172581869268E-3</v>
          </cell>
          <cell r="K82">
            <v>6.097740681781154E-3</v>
          </cell>
          <cell r="L82">
            <v>1.3352802259310308E-2</v>
          </cell>
          <cell r="M82">
            <v>7.2778055158028146E-3</v>
          </cell>
          <cell r="N82">
            <v>1.6704292073359276E-2</v>
          </cell>
          <cell r="O82">
            <v>1.2677844395177829E-2</v>
          </cell>
          <cell r="P82">
            <v>3.8120328583082536E-2</v>
          </cell>
        </row>
        <row r="83">
          <cell r="B83" t="str">
            <v>RHNM-SHSTG-CHPWOD</v>
          </cell>
          <cell r="C83" t="str">
            <v>VAR_fin</v>
          </cell>
          <cell r="D83" t="str">
            <v>AUX_RNM-CHPWOD_IN</v>
          </cell>
          <cell r="E83">
            <v>2.5762406236815629E-4</v>
          </cell>
          <cell r="F83">
            <v>6.887863565913507E-5</v>
          </cell>
          <cell r="G83">
            <v>2.4160762091521225E-4</v>
          </cell>
          <cell r="H83">
            <v>2.2403215587979584E-3</v>
          </cell>
          <cell r="I83">
            <v>3.6219539192315275E-3</v>
          </cell>
          <cell r="J83">
            <v>3.4876172581869268E-3</v>
          </cell>
          <cell r="K83">
            <v>6.097740681781154E-3</v>
          </cell>
          <cell r="L83">
            <v>1.3352802259310308E-2</v>
          </cell>
          <cell r="M83">
            <v>7.2778055158028146E-3</v>
          </cell>
          <cell r="N83">
            <v>1.6704292073359276E-2</v>
          </cell>
          <cell r="O83">
            <v>1.2677844395177829E-2</v>
          </cell>
          <cell r="P83">
            <v>3.8120328583082536E-2</v>
          </cell>
        </row>
        <row r="84">
          <cell r="B84" t="str">
            <v>RHNM-SHSTG-CHPWOD</v>
          </cell>
          <cell r="C84" t="str">
            <v>VAR_ncap</v>
          </cell>
          <cell r="D84" t="str">
            <v>-</v>
          </cell>
          <cell r="E84">
            <v>2.0366407688033601E-3</v>
          </cell>
          <cell r="F84">
            <v>4.93942275290575E-5</v>
          </cell>
          <cell r="G84">
            <v>8.3152902680726194E-5</v>
          </cell>
          <cell r="H84">
            <v>7.1340505183301893E-5</v>
          </cell>
          <cell r="I84">
            <v>2.2718463399307698E-3</v>
          </cell>
          <cell r="J84">
            <v>9.78191577827909E-4</v>
          </cell>
          <cell r="K84">
            <v>1.8793421554394099E-4</v>
          </cell>
          <cell r="L84">
            <v>3.68831493514991E-3</v>
          </cell>
          <cell r="M84">
            <v>8.5940565929470706E-5</v>
          </cell>
          <cell r="N84">
            <v>2.8008225049828499E-3</v>
          </cell>
          <cell r="O84">
            <v>1.43611865346742E-3</v>
          </cell>
          <cell r="P84">
            <v>6.7419790881334801E-3</v>
          </cell>
        </row>
        <row r="85">
          <cell r="B85" t="str">
            <v>RHNM-SHSTG-CHPWOD</v>
          </cell>
          <cell r="C85" t="str">
            <v>VAR_cap</v>
          </cell>
          <cell r="D85" t="str">
            <v>-</v>
          </cell>
          <cell r="E85">
            <v>2.0366407688033601E-3</v>
          </cell>
          <cell r="F85">
            <v>2.0802783286703714E-3</v>
          </cell>
          <cell r="G85">
            <v>2.1485116882048964E-3</v>
          </cell>
          <cell r="H85">
            <v>2.189978249949823E-3</v>
          </cell>
          <cell r="I85">
            <v>2.9205073447279377E-3</v>
          </cell>
          <cell r="J85">
            <v>3.2871132383968582E-3</v>
          </cell>
          <cell r="K85">
            <v>3.4020674006914795E-3</v>
          </cell>
          <cell r="L85">
            <v>4.817893295000506E-3</v>
          </cell>
          <cell r="M85">
            <v>3.991925837790582E-3</v>
          </cell>
          <cell r="N85">
            <v>6.51894225456498E-3</v>
          </cell>
          <cell r="O85">
            <v>4.8658916845765099E-3</v>
          </cell>
          <cell r="P85">
            <v>1.0923665002765872E-2</v>
          </cell>
        </row>
        <row r="86">
          <cell r="B86" t="str">
            <v>ENGA-CCS</v>
          </cell>
          <cell r="C86" t="str">
            <v>VAR_fout</v>
          </cell>
          <cell r="D86" t="str">
            <v>CO2_E</v>
          </cell>
          <cell r="J86">
            <v>1.8814671844611799E-2</v>
          </cell>
          <cell r="K86">
            <v>2.5314649152201898E-2</v>
          </cell>
          <cell r="L86">
            <v>6.9589669277724198E-2</v>
          </cell>
          <cell r="M86">
            <v>3.2854644081508198E-2</v>
          </cell>
          <cell r="N86">
            <v>5.64101623269418E-2</v>
          </cell>
          <cell r="O86">
            <v>4.1029891623440798E-2</v>
          </cell>
          <cell r="P86">
            <v>8.20381334880564E-2</v>
          </cell>
        </row>
        <row r="87">
          <cell r="B87" t="str">
            <v>ENGA-CCS</v>
          </cell>
          <cell r="C87" t="str">
            <v>VAR_fin</v>
          </cell>
          <cell r="D87" t="str">
            <v>ENGA</v>
          </cell>
          <cell r="J87">
            <v>3.3359347242219411E-4</v>
          </cell>
          <cell r="K87">
            <v>4.4884129702485519E-4</v>
          </cell>
          <cell r="L87">
            <v>1.2338593843568128E-3</v>
          </cell>
          <cell r="M87">
            <v>5.8252915038135194E-4</v>
          </cell>
          <cell r="N87">
            <v>1.0001801831018059E-3</v>
          </cell>
          <cell r="O87">
            <v>7.2748034793334779E-4</v>
          </cell>
          <cell r="P87">
            <v>1.4545768348946167E-3</v>
          </cell>
        </row>
        <row r="88">
          <cell r="B88" t="str">
            <v>RHNS-CHPGFC</v>
          </cell>
          <cell r="C88" t="str">
            <v>VAR_fout</v>
          </cell>
          <cell r="D88" t="str">
            <v>CO2_R</v>
          </cell>
          <cell r="H88">
            <v>1.7558720616588901E-2</v>
          </cell>
          <cell r="I88">
            <v>6.0850037067911297E-2</v>
          </cell>
          <cell r="J88">
            <v>6.0617752123187103E-2</v>
          </cell>
          <cell r="K88">
            <v>6.3878698295563197E-2</v>
          </cell>
          <cell r="L88">
            <v>0.15020964812609899</v>
          </cell>
          <cell r="M88">
            <v>0.12183393443302799</v>
          </cell>
          <cell r="N88">
            <v>0.19313710024937999</v>
          </cell>
          <cell r="O88">
            <v>0.18491633183101</v>
          </cell>
          <cell r="P88">
            <v>0.33050854439609301</v>
          </cell>
        </row>
        <row r="89">
          <cell r="B89" t="str">
            <v>RHNS-CHPGFC</v>
          </cell>
          <cell r="C89" t="str">
            <v>VAR_fout</v>
          </cell>
          <cell r="D89" t="str">
            <v>RHNS_LTH_CHPNGA</v>
          </cell>
          <cell r="H89">
            <v>1.4644720173835903E-4</v>
          </cell>
          <cell r="I89">
            <v>5.0568107045620566E-4</v>
          </cell>
          <cell r="J89">
            <v>5.0127871613926396E-4</v>
          </cell>
          <cell r="K89">
            <v>5.1912768375481197E-4</v>
          </cell>
          <cell r="L89">
            <v>1.1984812350486628E-3</v>
          </cell>
          <cell r="M89">
            <v>9.7207926409331041E-4</v>
          </cell>
          <cell r="N89">
            <v>1.5409875019897332E-3</v>
          </cell>
          <cell r="O89">
            <v>1.4753962646091201E-3</v>
          </cell>
          <cell r="P89">
            <v>2.6370362584794611E-3</v>
          </cell>
        </row>
        <row r="90">
          <cell r="B90" t="str">
            <v>RHNS-CHPGFC</v>
          </cell>
          <cell r="C90" t="str">
            <v>VAR_fout</v>
          </cell>
          <cell r="D90" t="str">
            <v>RHNS_NKEV_GAS_ELC_CHP</v>
          </cell>
          <cell r="H90">
            <v>1.3075643012353476E-4</v>
          </cell>
          <cell r="I90">
            <v>4.6392758757450076E-4</v>
          </cell>
          <cell r="J90">
            <v>4.7290444918798494E-4</v>
          </cell>
          <cell r="K90">
            <v>5.0400745995612852E-4</v>
          </cell>
          <cell r="L90">
            <v>1.1984812350486628E-3</v>
          </cell>
          <cell r="M90">
            <v>9.7207926409331041E-4</v>
          </cell>
          <cell r="N90">
            <v>1.5409875019897332E-3</v>
          </cell>
          <cell r="O90">
            <v>1.4753962646091201E-3</v>
          </cell>
          <cell r="P90">
            <v>2.6370362584794611E-3</v>
          </cell>
        </row>
        <row r="91">
          <cell r="B91" t="str">
            <v>RHNS-CHPGFC</v>
          </cell>
          <cell r="C91" t="str">
            <v>VAR_fin</v>
          </cell>
          <cell r="D91" t="str">
            <v>RNGA</v>
          </cell>
          <cell r="H91">
            <v>3.1132483362746375E-4</v>
          </cell>
          <cell r="I91">
            <v>1.0789013664523268E-3</v>
          </cell>
          <cell r="J91">
            <v>1.0747828390636018E-3</v>
          </cell>
          <cell r="K91">
            <v>1.1326010336092775E-3</v>
          </cell>
          <cell r="L91">
            <v>2.6632916334414728E-3</v>
          </cell>
          <cell r="M91">
            <v>2.1601761424295787E-3</v>
          </cell>
          <cell r="N91">
            <v>3.4244166710882947E-3</v>
          </cell>
          <cell r="O91">
            <v>3.278658365798044E-3</v>
          </cell>
          <cell r="P91">
            <v>5.8600805743988117E-3</v>
          </cell>
        </row>
        <row r="92">
          <cell r="B92" t="str">
            <v>RHNS-CHPGFC</v>
          </cell>
          <cell r="C92" t="str">
            <v>VAR_ncap</v>
          </cell>
          <cell r="D92" t="str">
            <v>-</v>
          </cell>
          <cell r="H92">
            <v>1.15628370375374E-5</v>
          </cell>
          <cell r="I92">
            <v>2.9735889466892602E-5</v>
          </cell>
          <cell r="J92">
            <v>6.5524024223236196E-7</v>
          </cell>
          <cell r="K92">
            <v>6.4974516838088803E-6</v>
          </cell>
          <cell r="L92">
            <v>6.9794830544444596E-5</v>
          </cell>
          <cell r="M92">
            <v>6.5838363249869598E-7</v>
          </cell>
          <cell r="N92">
            <v>6.0277581957084897E-5</v>
          </cell>
          <cell r="O92">
            <v>7.3300053750537602E-7</v>
          </cell>
          <cell r="P92">
            <v>1.7320841082034001E-4</v>
          </cell>
        </row>
        <row r="93">
          <cell r="B93" t="str">
            <v>RHNS-CHPGFC</v>
          </cell>
          <cell r="C93" t="str">
            <v>VAR_cap</v>
          </cell>
          <cell r="D93" t="str">
            <v>-</v>
          </cell>
          <cell r="H93">
            <v>1.15628370375374E-5</v>
          </cell>
          <cell r="I93">
            <v>4.1286448701324276E-5</v>
          </cell>
          <cell r="J93">
            <v>4.1903836604146895E-5</v>
          </cell>
          <cell r="K93">
            <v>4.4681229121627102E-5</v>
          </cell>
          <cell r="L93">
            <v>1.0650189313220586E-4</v>
          </cell>
          <cell r="M93">
            <v>8.6238351414102512E-5</v>
          </cell>
          <cell r="N93">
            <v>1.3696462610530475E-4</v>
          </cell>
          <cell r="O93">
            <v>1.3116904008493777E-4</v>
          </cell>
          <cell r="P93">
            <v>2.3455835249944665E-4</v>
          </cell>
        </row>
        <row r="94">
          <cell r="B94" t="str">
            <v>D-ENGA</v>
          </cell>
          <cell r="C94" t="str">
            <v>VAR_fout</v>
          </cell>
          <cell r="D94" t="str">
            <v>CO2</v>
          </cell>
          <cell r="E94">
            <v>310.98649388236998</v>
          </cell>
          <cell r="F94">
            <v>132.90288191884599</v>
          </cell>
          <cell r="G94">
            <v>114.510660749256</v>
          </cell>
          <cell r="H94">
            <v>186.20417196685901</v>
          </cell>
          <cell r="I94">
            <v>127.06701533351399</v>
          </cell>
          <cell r="J94">
            <v>312.19044031670398</v>
          </cell>
          <cell r="K94">
            <v>672.046658800155</v>
          </cell>
          <cell r="L94">
            <v>961.26828484731004</v>
          </cell>
          <cell r="M94">
            <v>1066.3853125973901</v>
          </cell>
          <cell r="N94">
            <v>1146.9013590470599</v>
          </cell>
          <cell r="O94">
            <v>1116.39780015731</v>
          </cell>
          <cell r="P94">
            <v>1036.67749545161</v>
          </cell>
        </row>
        <row r="95">
          <cell r="B95" t="str">
            <v>D-ENGA</v>
          </cell>
          <cell r="C95" t="str">
            <v>VAR_fout</v>
          </cell>
          <cell r="D95" t="str">
            <v>ENGA</v>
          </cell>
          <cell r="E95">
            <v>5.7079398410162705</v>
          </cell>
          <cell r="F95">
            <v>2.3490620444928587</v>
          </cell>
          <cell r="G95">
            <v>2.4141425518801558</v>
          </cell>
          <cell r="H95">
            <v>3.7055036892095869</v>
          </cell>
          <cell r="I95">
            <v>2.6603257113501635</v>
          </cell>
          <cell r="J95">
            <v>5.9322083890076378</v>
          </cell>
          <cell r="K95">
            <v>12.29232977287054</v>
          </cell>
          <cell r="L95">
            <v>17.404038104451651</v>
          </cell>
          <cell r="M95">
            <v>19.261875749850741</v>
          </cell>
          <cell r="N95">
            <v>20.684792507304035</v>
          </cell>
          <cell r="O95">
            <v>20.145715114229372</v>
          </cell>
          <cell r="P95">
            <v>18.73677743097814</v>
          </cell>
        </row>
        <row r="96">
          <cell r="B96" t="str">
            <v>D-ENGA</v>
          </cell>
          <cell r="C96" t="str">
            <v>VAR_fout</v>
          </cell>
          <cell r="D96" t="str">
            <v>EH2</v>
          </cell>
          <cell r="J96">
            <v>2.6065585958002296E-3</v>
          </cell>
          <cell r="K96">
            <v>2.7887376236028082E-3</v>
          </cell>
          <cell r="L96">
            <v>4.5650778268551172E-3</v>
          </cell>
          <cell r="M96">
            <v>4.9290061840977914E-3</v>
          </cell>
          <cell r="N96">
            <v>4.9121825777189036E-2</v>
          </cell>
          <cell r="O96">
            <v>3.6551684111434606E-2</v>
          </cell>
          <cell r="P96">
            <v>3.6820735342988402E-2</v>
          </cell>
        </row>
        <row r="97">
          <cell r="B97" t="str">
            <v>D-ENGA</v>
          </cell>
          <cell r="C97" t="str">
            <v>VAR_fin</v>
          </cell>
          <cell r="D97" t="str">
            <v>NGA</v>
          </cell>
          <cell r="E97">
            <v>5.5139449269923713</v>
          </cell>
          <cell r="F97">
            <v>2.3564340765752787</v>
          </cell>
          <cell r="G97">
            <v>2.0303308643485032</v>
          </cell>
          <cell r="H97">
            <v>3.3014924107599208</v>
          </cell>
          <cell r="I97">
            <v>2.2529612647786226</v>
          </cell>
          <cell r="J97">
            <v>5.5352914949770184</v>
          </cell>
          <cell r="K97">
            <v>11.915720900711969</v>
          </cell>
          <cell r="L97">
            <v>17.043763915732441</v>
          </cell>
          <cell r="M97">
            <v>18.907541003499809</v>
          </cell>
          <cell r="N97">
            <v>20.335130479557783</v>
          </cell>
          <cell r="O97">
            <v>19.794287236831746</v>
          </cell>
          <cell r="P97">
            <v>18.380806656943459</v>
          </cell>
        </row>
        <row r="98">
          <cell r="B98" t="str">
            <v>D-ENGA</v>
          </cell>
          <cell r="C98" t="str">
            <v>VAR_fin</v>
          </cell>
          <cell r="D98" t="str">
            <v>BNGA</v>
          </cell>
          <cell r="E98">
            <v>0.21222961044749344</v>
          </cell>
          <cell r="F98">
            <v>1.1449713492527347E-4</v>
          </cell>
          <cell r="G98">
            <v>0.39142906614113787</v>
          </cell>
          <cell r="H98">
            <v>0.41587423359021342</v>
          </cell>
          <cell r="I98">
            <v>0.41587812232879795</v>
          </cell>
          <cell r="J98">
            <v>0.41588045236081561</v>
          </cell>
          <cell r="K98">
            <v>0.41588629029386548</v>
          </cell>
          <cell r="L98">
            <v>0.41589690060414425</v>
          </cell>
          <cell r="M98">
            <v>0.41589937882817579</v>
          </cell>
          <cell r="N98">
            <v>0.41589698807828224</v>
          </cell>
          <cell r="O98">
            <v>0.41590262276466339</v>
          </cell>
          <cell r="P98">
            <v>0.4159815570500251</v>
          </cell>
        </row>
        <row r="99">
          <cell r="B99" t="str">
            <v>D-ENGA</v>
          </cell>
          <cell r="C99" t="str">
            <v>VAR_fin</v>
          </cell>
          <cell r="D99" t="str">
            <v>H2</v>
          </cell>
          <cell r="J99">
            <v>2.5950932194909754E-3</v>
          </cell>
          <cell r="K99">
            <v>2.7775372810027021E-3</v>
          </cell>
          <cell r="L99">
            <v>4.5533458138874647E-3</v>
          </cell>
          <cell r="M99">
            <v>4.9175356911329415E-3</v>
          </cell>
          <cell r="N99">
            <v>4.9117559590655509E-2</v>
          </cell>
          <cell r="O99">
            <v>3.6547951198217098E-2</v>
          </cell>
          <cell r="P99">
            <v>3.6792116341657868E-2</v>
          </cell>
        </row>
        <row r="100">
          <cell r="B100" t="str">
            <v>D-ENGA</v>
          </cell>
          <cell r="C100" t="str">
            <v>VAR_ncap</v>
          </cell>
          <cell r="D100" t="str">
            <v>-</v>
          </cell>
          <cell r="E100">
            <v>7.1469561209137705E-7</v>
          </cell>
          <cell r="F100">
            <v>4.1436810567819798E-7</v>
          </cell>
          <cell r="G100">
            <v>5.6316032517904702E-7</v>
          </cell>
          <cell r="H100">
            <v>7.2531361125424795E-7</v>
          </cell>
          <cell r="I100">
            <v>1.71390528992796E-6</v>
          </cell>
          <cell r="J100">
            <v>2.62992385330054E-6</v>
          </cell>
          <cell r="K100">
            <v>5.0825397652311402E-6</v>
          </cell>
          <cell r="L100">
            <v>3.4124470974966098E-2</v>
          </cell>
          <cell r="M100">
            <v>0.82781649039165395</v>
          </cell>
          <cell r="N100">
            <v>0.32484613475471602</v>
          </cell>
          <cell r="O100">
            <v>1.6942959595677301E-5</v>
          </cell>
          <cell r="P100">
            <v>3.7887368876723598E-5</v>
          </cell>
        </row>
        <row r="101">
          <cell r="B101" t="str">
            <v>D-ENGA</v>
          </cell>
          <cell r="C101" t="str">
            <v>VAR_cap</v>
          </cell>
          <cell r="D101" t="str">
            <v>-</v>
          </cell>
          <cell r="E101">
            <v>1.0275127092365921</v>
          </cell>
          <cell r="F101">
            <v>1.0275131236046979</v>
          </cell>
          <cell r="G101">
            <v>1.027513686765023</v>
          </cell>
          <cell r="H101">
            <v>1.0275144120786344</v>
          </cell>
          <cell r="I101">
            <v>1.0275161259839243</v>
          </cell>
          <cell r="J101">
            <v>1.0275187559077774</v>
          </cell>
          <cell r="K101">
            <v>1.0275238384475427</v>
          </cell>
          <cell r="L101">
            <v>0.76307141000516265</v>
          </cell>
          <cell r="M101">
            <v>1.1201554988619149</v>
          </cell>
          <cell r="N101">
            <v>1.1867982086083499</v>
          </cell>
          <cell r="O101">
            <v>1.18681406057715</v>
          </cell>
          <cell r="P101">
            <v>1.1868513528187199</v>
          </cell>
        </row>
        <row r="102">
          <cell r="B102" t="str">
            <v>D-ILFO</v>
          </cell>
          <cell r="C102" t="str">
            <v>VAR_fout</v>
          </cell>
          <cell r="D102" t="str">
            <v>CO2</v>
          </cell>
          <cell r="E102">
            <v>689.06443498366195</v>
          </cell>
          <cell r="F102">
            <v>659.57550536185499</v>
          </cell>
          <cell r="G102">
            <v>600.61134199692697</v>
          </cell>
          <cell r="H102">
            <v>535.72493102853298</v>
          </cell>
          <cell r="I102">
            <v>419.34628579236801</v>
          </cell>
          <cell r="J102">
            <v>259.106187794275</v>
          </cell>
          <cell r="K102">
            <v>142.00575190212001</v>
          </cell>
          <cell r="L102">
            <v>26.966780108070399</v>
          </cell>
          <cell r="M102">
            <v>27.432299443734099</v>
          </cell>
          <cell r="N102">
            <v>27.386875796795501</v>
          </cell>
          <cell r="O102">
            <v>26.5680273729566</v>
          </cell>
          <cell r="P102">
            <v>26.667507271295001</v>
          </cell>
        </row>
        <row r="103">
          <cell r="B103" t="str">
            <v>D-ILFO</v>
          </cell>
          <cell r="C103" t="str">
            <v>VAR_fout</v>
          </cell>
          <cell r="D103" t="str">
            <v>ILFO</v>
          </cell>
          <cell r="E103">
            <v>9.193436307827735</v>
          </cell>
          <cell r="F103">
            <v>8.7999976357672196</v>
          </cell>
          <cell r="G103">
            <v>8.0134216662549456</v>
          </cell>
          <cell r="H103">
            <v>7.1481858417933033</v>
          </cell>
          <cell r="I103">
            <v>5.5955057737559244</v>
          </cell>
          <cell r="J103">
            <v>3.4575980307194074</v>
          </cell>
          <cell r="K103">
            <v>1.8952550709763174</v>
          </cell>
          <cell r="L103">
            <v>0.3604246007143545</v>
          </cell>
          <cell r="M103">
            <v>0.36663527166018328</v>
          </cell>
          <cell r="N103">
            <v>0.36610327328966447</v>
          </cell>
          <cell r="O103">
            <v>0.35520134779567797</v>
          </cell>
          <cell r="P103">
            <v>0.3574503691604618</v>
          </cell>
        </row>
        <row r="104">
          <cell r="B104" t="str">
            <v>D-ILFO</v>
          </cell>
          <cell r="C104" t="str">
            <v>VAR_fin</v>
          </cell>
          <cell r="D104" t="str">
            <v>LFO</v>
          </cell>
          <cell r="E104">
            <v>9.349585277933004</v>
          </cell>
          <cell r="F104">
            <v>8.9494641161717041</v>
          </cell>
          <cell r="G104">
            <v>8.1494076254671235</v>
          </cell>
          <cell r="H104">
            <v>7.2689949936028775</v>
          </cell>
          <cell r="I104">
            <v>5.6899088981325443</v>
          </cell>
          <cell r="J104">
            <v>3.5156877584026422</v>
          </cell>
          <cell r="K104">
            <v>1.9268080312363571</v>
          </cell>
          <cell r="L104">
            <v>0.36589932304030365</v>
          </cell>
          <cell r="M104">
            <v>0.37221573193669066</v>
          </cell>
          <cell r="N104">
            <v>0.37159940022789045</v>
          </cell>
          <cell r="O104">
            <v>0.36048883816766136</v>
          </cell>
          <cell r="P104">
            <v>0.36183863326044774</v>
          </cell>
        </row>
        <row r="105">
          <cell r="B105" t="str">
            <v>D-ILFO</v>
          </cell>
          <cell r="C105" t="str">
            <v>VAR_fin</v>
          </cell>
          <cell r="D105" t="str">
            <v>BDS</v>
          </cell>
          <cell r="G105">
            <v>1.2066058781348535E-4</v>
          </cell>
          <cell r="H105">
            <v>6.0582724139831906E-4</v>
          </cell>
          <cell r="I105">
            <v>6.3560048473718675E-4</v>
          </cell>
          <cell r="J105">
            <v>6.3699358366609785E-4</v>
          </cell>
          <cell r="K105">
            <v>6.4141598988132849E-4</v>
          </cell>
          <cell r="L105">
            <v>6.4702892327943155E-4</v>
          </cell>
          <cell r="M105">
            <v>6.4914729772159855E-4</v>
          </cell>
          <cell r="N105">
            <v>7.2207561000627463E-4</v>
          </cell>
          <cell r="O105">
            <v>7.4657361927878087E-4</v>
          </cell>
          <cell r="P105">
            <v>1.6878830951846449E-3</v>
          </cell>
        </row>
        <row r="106">
          <cell r="B106" t="str">
            <v>HPLNGA</v>
          </cell>
          <cell r="C106" t="str">
            <v>VAR_fout</v>
          </cell>
          <cell r="D106" t="str">
            <v>LTH</v>
          </cell>
          <cell r="E106">
            <v>1.7329121522592981</v>
          </cell>
          <cell r="F106">
            <v>2.0065190722600255</v>
          </cell>
          <cell r="G106">
            <v>2.0072508503352178</v>
          </cell>
          <cell r="H106">
            <v>6.7368137715825463E-2</v>
          </cell>
          <cell r="I106">
            <v>0.90928996471611534</v>
          </cell>
          <cell r="J106">
            <v>0.90973675288774358</v>
          </cell>
          <cell r="K106">
            <v>3.9708108991318998E-2</v>
          </cell>
          <cell r="L106">
            <v>4.0103121730691183E-3</v>
          </cell>
          <cell r="M106">
            <v>1.6980589666896798E-3</v>
          </cell>
          <cell r="N106">
            <v>5.3431905222040424E-3</v>
          </cell>
          <cell r="O106">
            <v>1.2375389116520245E-3</v>
          </cell>
          <cell r="P106">
            <v>1.6952288958827276E-3</v>
          </cell>
        </row>
        <row r="107">
          <cell r="B107" t="str">
            <v>HPLNGA</v>
          </cell>
          <cell r="C107" t="str">
            <v>VAR_fout</v>
          </cell>
          <cell r="D107" t="str">
            <v>CO2_E</v>
          </cell>
          <cell r="E107">
            <v>114.38430826253401</v>
          </cell>
          <cell r="F107">
            <v>132.444276414597</v>
          </cell>
          <cell r="G107">
            <v>132.492578879798</v>
          </cell>
          <cell r="H107">
            <v>4.4467677265193304</v>
          </cell>
          <cell r="I107">
            <v>60.019490017722198</v>
          </cell>
          <cell r="J107">
            <v>60.048981158334797</v>
          </cell>
          <cell r="K107">
            <v>2.6210125963186699</v>
          </cell>
          <cell r="L107">
            <v>0.26470861966965498</v>
          </cell>
          <cell r="M107">
            <v>0.112083754528792</v>
          </cell>
          <cell r="N107">
            <v>0.352687902269257</v>
          </cell>
          <cell r="O107">
            <v>8.1686213679517394E-2</v>
          </cell>
          <cell r="P107">
            <v>0.111896950084513</v>
          </cell>
        </row>
        <row r="108">
          <cell r="B108" t="str">
            <v>HPLNGA</v>
          </cell>
          <cell r="C108" t="str">
            <v>VAR_fin</v>
          </cell>
          <cell r="D108" t="str">
            <v>ENGA</v>
          </cell>
          <cell r="E108">
            <v>2.0280905720307381</v>
          </cell>
          <cell r="F108">
            <v>2.3483027733084469</v>
          </cell>
          <cell r="G108">
            <v>2.3491591999964276</v>
          </cell>
          <cell r="H108">
            <v>7.8843399406371042E-2</v>
          </cell>
          <cell r="I108">
            <v>1.0641753549241537</v>
          </cell>
          <cell r="J108">
            <v>1.0646982474882059</v>
          </cell>
          <cell r="K108">
            <v>4.647185454465734E-2</v>
          </cell>
          <cell r="L108">
            <v>4.6934152423697651E-3</v>
          </cell>
          <cell r="M108">
            <v>1.9873006122126243E-3</v>
          </cell>
          <cell r="N108">
            <v>6.253331600518738E-3</v>
          </cell>
          <cell r="O108">
            <v>1.4483371219772608E-3</v>
          </cell>
          <cell r="P108">
            <v>1.9839884766757608E-3</v>
          </cell>
        </row>
        <row r="109">
          <cell r="B109" t="str">
            <v>HPLNGA</v>
          </cell>
          <cell r="C109" t="str">
            <v>VAR_ncap</v>
          </cell>
          <cell r="D109" t="str">
            <v>-</v>
          </cell>
          <cell r="E109">
            <v>5.8985985513368202E-6</v>
          </cell>
          <cell r="F109">
            <v>4.5405124916966402E-6</v>
          </cell>
          <cell r="G109">
            <v>8.3634911804667806E-6</v>
          </cell>
          <cell r="H109">
            <v>1.68738122694141E-5</v>
          </cell>
          <cell r="I109">
            <v>0.11531139381833699</v>
          </cell>
          <cell r="J109">
            <v>5.7216996600113899E-5</v>
          </cell>
          <cell r="K109">
            <v>7.5007190237028299E-6</v>
          </cell>
          <cell r="L109">
            <v>8.5509929881146192E-6</v>
          </cell>
          <cell r="M109">
            <v>2.54964468545881E-5</v>
          </cell>
          <cell r="N109">
            <v>9.2769274514804703E-4</v>
          </cell>
          <cell r="O109">
            <v>4.4341695908213699E-5</v>
          </cell>
          <cell r="P109">
            <v>6.51982222432549E-4</v>
          </cell>
        </row>
        <row r="110">
          <cell r="B110" t="str">
            <v>HPLNGA</v>
          </cell>
          <cell r="C110" t="str">
            <v>VAR_cap</v>
          </cell>
          <cell r="D110" t="str">
            <v>-</v>
          </cell>
          <cell r="E110">
            <v>0.25485065242682736</v>
          </cell>
          <cell r="F110">
            <v>0.25469336937707904</v>
          </cell>
          <cell r="G110">
            <v>0.25462396385981451</v>
          </cell>
          <cell r="H110">
            <v>8.6376115614749116E-3</v>
          </cell>
          <cell r="I110">
            <v>0.11533514023686087</v>
          </cell>
          <cell r="J110">
            <v>0.11538871777772683</v>
          </cell>
          <cell r="K110">
            <v>6.2500890369029949E-3</v>
          </cell>
          <cell r="L110">
            <v>4.7872521701849968E-3</v>
          </cell>
          <cell r="M110">
            <v>1.4753298853159014E-3</v>
          </cell>
          <cell r="N110">
            <v>9.5738551527433009E-4</v>
          </cell>
          <cell r="O110">
            <v>9.9321457850427082E-4</v>
          </cell>
          <cell r="P110">
            <v>1.6315481591827876E-3</v>
          </cell>
        </row>
        <row r="111">
          <cell r="B111" t="str">
            <v>G-INTC-IMP00-AT</v>
          </cell>
          <cell r="C111" t="str">
            <v>VAR_fout</v>
          </cell>
          <cell r="D111" t="str">
            <v>ELC</v>
          </cell>
          <cell r="E111">
            <v>15.013805815136745</v>
          </cell>
          <cell r="F111">
            <v>1.1620573886542708E-2</v>
          </cell>
          <cell r="G111">
            <v>8.0952548738963907E-3</v>
          </cell>
          <cell r="H111">
            <v>9.1139312772712568E-3</v>
          </cell>
          <cell r="I111">
            <v>6.6300166370771357E-3</v>
          </cell>
          <cell r="J111">
            <v>4.9655039591475058E-3</v>
          </cell>
          <cell r="K111">
            <v>4.5653973262731783E-3</v>
          </cell>
          <cell r="L111">
            <v>5.3604693773963907E-3</v>
          </cell>
          <cell r="M111">
            <v>5.4103646195807868E-3</v>
          </cell>
          <cell r="N111">
            <v>7.9722990110929967E-3</v>
          </cell>
          <cell r="O111">
            <v>8.11648875967305E-3</v>
          </cell>
          <cell r="P111">
            <v>1.2883271993904304E-2</v>
          </cell>
        </row>
        <row r="112">
          <cell r="B112" t="str">
            <v>G-INTC-IMP00-AT</v>
          </cell>
          <cell r="C112" t="str">
            <v>VAR_fin</v>
          </cell>
          <cell r="D112" t="str">
            <v>ELC_I-AT</v>
          </cell>
          <cell r="E112">
            <v>15.013805815136745</v>
          </cell>
          <cell r="F112">
            <v>1.1620573886542708E-2</v>
          </cell>
          <cell r="G112">
            <v>8.0952548738963907E-3</v>
          </cell>
          <cell r="H112">
            <v>9.1139312772712568E-3</v>
          </cell>
          <cell r="I112">
            <v>6.6300166370771357E-3</v>
          </cell>
          <cell r="J112">
            <v>4.9655039591475058E-3</v>
          </cell>
          <cell r="K112">
            <v>4.5653973262731783E-3</v>
          </cell>
          <cell r="L112">
            <v>5.3604693773963907E-3</v>
          </cell>
          <cell r="M112">
            <v>5.4103646195807868E-3</v>
          </cell>
          <cell r="N112">
            <v>7.9722990110929967E-3</v>
          </cell>
          <cell r="O112">
            <v>8.11648875967305E-3</v>
          </cell>
          <cell r="P112">
            <v>1.2883271993904304E-2</v>
          </cell>
        </row>
        <row r="113">
          <cell r="B113" t="str">
            <v>G-INTC-IMP00-AT</v>
          </cell>
          <cell r="C113" t="str">
            <v>VAR_ncap</v>
          </cell>
          <cell r="D113" t="str">
            <v>-</v>
          </cell>
          <cell r="E113">
            <v>2.0085431891965601E-6</v>
          </cell>
          <cell r="F113">
            <v>1.9207068097591E-6</v>
          </cell>
          <cell r="G113">
            <v>2.0186544119158799E-6</v>
          </cell>
          <cell r="H113">
            <v>2.33782408484814E-6</v>
          </cell>
          <cell r="I113">
            <v>2.8339070520738802E-6</v>
          </cell>
          <cell r="J113">
            <v>3.8977812451861802E-6</v>
          </cell>
          <cell r="K113">
            <v>8.5326485845501694E-6</v>
          </cell>
          <cell r="L113">
            <v>2.8515372136658898E-4</v>
          </cell>
          <cell r="M113">
            <v>7.9832498132390497E-5</v>
          </cell>
          <cell r="N113">
            <v>6.8107864812016799E-4</v>
          </cell>
        </row>
        <row r="114">
          <cell r="B114" t="str">
            <v>G-INTC-IMP00-AT</v>
          </cell>
          <cell r="C114" t="str">
            <v>VAR_cap</v>
          </cell>
          <cell r="D114" t="str">
            <v>-</v>
          </cell>
          <cell r="E114">
            <v>0.54303070979476398</v>
          </cell>
          <cell r="F114">
            <v>9.9502818111996127E-4</v>
          </cell>
          <cell r="G114">
            <v>9.8515664762000021E-4</v>
          </cell>
          <cell r="H114">
            <v>9.8688413414316223E-4</v>
          </cell>
          <cell r="I114">
            <v>9.8767657641118944E-4</v>
          </cell>
          <cell r="J114">
            <v>9.859411405557239E-4</v>
          </cell>
          <cell r="K114">
            <v>9.8648747912633006E-4</v>
          </cell>
          <cell r="L114">
            <v>9.8766283454287951E-4</v>
          </cell>
          <cell r="M114">
            <v>9.932314092471195E-4</v>
          </cell>
          <cell r="N114">
            <v>1.2963419493932093E-3</v>
          </cell>
          <cell r="O114">
            <v>1.3536589969465052E-3</v>
          </cell>
          <cell r="P114">
            <v>2.0315513897766202E-3</v>
          </cell>
        </row>
        <row r="115">
          <cell r="B115" t="str">
            <v>CHPWST</v>
          </cell>
          <cell r="C115" t="str">
            <v>VAR_fout</v>
          </cell>
          <cell r="D115" t="str">
            <v>ELC35</v>
          </cell>
          <cell r="E115">
            <v>1.4274868940160754</v>
          </cell>
          <cell r="F115">
            <v>1.2995356125462463</v>
          </cell>
          <cell r="G115">
            <v>1.2807249007045902</v>
          </cell>
          <cell r="H115">
            <v>1.2901763323658459</v>
          </cell>
          <cell r="I115">
            <v>1.2798569482721471</v>
          </cell>
          <cell r="J115">
            <v>1.2826615956206189</v>
          </cell>
          <cell r="K115">
            <v>1.2849078159945333</v>
          </cell>
          <cell r="L115">
            <v>1.2865764786628751</v>
          </cell>
          <cell r="M115">
            <v>1.2865770220570463</v>
          </cell>
          <cell r="N115">
            <v>1.2865773990072857</v>
          </cell>
          <cell r="O115">
            <v>1.286576066742519</v>
          </cell>
          <cell r="P115">
            <v>1.2865724827047609</v>
          </cell>
        </row>
        <row r="116">
          <cell r="B116" t="str">
            <v>CHPWST</v>
          </cell>
          <cell r="C116" t="str">
            <v>VAR_fout</v>
          </cell>
          <cell r="D116" t="str">
            <v>LTH</v>
          </cell>
          <cell r="E116">
            <v>14.385946699015747</v>
          </cell>
          <cell r="F116">
            <v>13.051650229730351</v>
          </cell>
          <cell r="G116">
            <v>12.796460591393965</v>
          </cell>
          <cell r="H116">
            <v>12.779634117947209</v>
          </cell>
          <cell r="I116">
            <v>12.342945979537426</v>
          </cell>
          <cell r="J116">
            <v>12.034789919581511</v>
          </cell>
          <cell r="K116">
            <v>11.72007435641949</v>
          </cell>
          <cell r="L116">
            <v>11.399067600953073</v>
          </cell>
          <cell r="M116">
            <v>11.399072415425429</v>
          </cell>
          <cell r="N116">
            <v>11.399075755204553</v>
          </cell>
          <cell r="O116">
            <v>11.39906395133872</v>
          </cell>
          <cell r="P116">
            <v>11.399032196764191</v>
          </cell>
        </row>
        <row r="117">
          <cell r="B117" t="str">
            <v>CHPWST</v>
          </cell>
          <cell r="C117" t="str">
            <v>VAR_fout</v>
          </cell>
          <cell r="D117" t="str">
            <v>CO2_E</v>
          </cell>
          <cell r="E117">
            <v>2828.4480352770402</v>
          </cell>
          <cell r="F117">
            <v>2574.9230801957701</v>
          </cell>
          <cell r="G117">
            <v>2537.6511996806398</v>
          </cell>
          <cell r="H117">
            <v>2556.3784352334801</v>
          </cell>
          <cell r="I117">
            <v>2535.93142322416</v>
          </cell>
          <cell r="J117">
            <v>2541.4886015882398</v>
          </cell>
          <cell r="K117">
            <v>2545.9393027680699</v>
          </cell>
          <cell r="L117">
            <v>2549.2456207914402</v>
          </cell>
          <cell r="M117">
            <v>2549.2466974823601</v>
          </cell>
          <cell r="N117">
            <v>2549.2474443782999</v>
          </cell>
          <cell r="O117">
            <v>2549.2448046050899</v>
          </cell>
          <cell r="P117">
            <v>2549.2377031286501</v>
          </cell>
        </row>
        <row r="118">
          <cell r="B118" t="str">
            <v>CHPWST</v>
          </cell>
          <cell r="C118" t="str">
            <v>VAR_fin</v>
          </cell>
          <cell r="D118" t="str">
            <v>EWST</v>
          </cell>
          <cell r="E118">
            <v>30.478965897381865</v>
          </cell>
          <cell r="F118">
            <v>27.747015950385514</v>
          </cell>
          <cell r="G118">
            <v>27.345379306903428</v>
          </cell>
          <cell r="H118">
            <v>27.547181414153894</v>
          </cell>
          <cell r="I118">
            <v>27.326847233018974</v>
          </cell>
          <cell r="J118">
            <v>27.386730620562922</v>
          </cell>
          <cell r="K118">
            <v>27.434690762587014</v>
          </cell>
          <cell r="L118">
            <v>27.470319189562961</v>
          </cell>
          <cell r="M118">
            <v>27.470330791835792</v>
          </cell>
          <cell r="N118">
            <v>27.470338840283432</v>
          </cell>
          <cell r="O118">
            <v>27.470310394451417</v>
          </cell>
          <cell r="P118">
            <v>27.470233869920747</v>
          </cell>
        </row>
        <row r="119">
          <cell r="B119" t="str">
            <v>CHPWST</v>
          </cell>
          <cell r="C119" t="str">
            <v>VAR_ncap</v>
          </cell>
          <cell r="D119" t="str">
            <v>-</v>
          </cell>
          <cell r="F119">
            <v>1.2068275025070999E-7</v>
          </cell>
          <cell r="G119">
            <v>1.5620222183165299E-7</v>
          </cell>
          <cell r="H119">
            <v>5.3223858198113398E-7</v>
          </cell>
          <cell r="I119">
            <v>5.66071823793746E-3</v>
          </cell>
          <cell r="J119">
            <v>1.8956362620595801E-2</v>
          </cell>
          <cell r="K119">
            <v>6.0405620990263602E-3</v>
          </cell>
          <cell r="L119">
            <v>3.9635580250825399E-2</v>
          </cell>
          <cell r="M119">
            <v>8.8764062342728996E-7</v>
          </cell>
          <cell r="N119">
            <v>2.2344358946342999E-6</v>
          </cell>
          <cell r="O119">
            <v>7.6243642586577096E-3</v>
          </cell>
          <cell r="P119">
            <v>1.6991590427918299E-2</v>
          </cell>
        </row>
        <row r="120">
          <cell r="B120" t="str">
            <v>CHPWST</v>
          </cell>
          <cell r="C120" t="str">
            <v>VAR_cap</v>
          </cell>
          <cell r="D120" t="str">
            <v>-</v>
          </cell>
          <cell r="E120">
            <v>7.7992499028188972E-2</v>
          </cell>
          <cell r="F120">
            <v>7.1001382247963735E-2</v>
          </cell>
          <cell r="G120">
            <v>7.0490331321610783E-2</v>
          </cell>
          <cell r="H120">
            <v>7.0489886811654107E-2</v>
          </cell>
          <cell r="I120">
            <v>6.9926040536123169E-2</v>
          </cell>
          <cell r="J120">
            <v>7.0079227968557242E-2</v>
          </cell>
          <cell r="K120">
            <v>7.0201977312065775E-2</v>
          </cell>
          <cell r="L120">
            <v>7.0293049972225366E-2</v>
          </cell>
          <cell r="M120">
            <v>7.0293382586497338E-2</v>
          </cell>
          <cell r="N120">
            <v>7.0294571883564944E-2</v>
          </cell>
          <cell r="O120">
            <v>7.0293292690386353E-2</v>
          </cell>
          <cell r="P120">
            <v>7.029377678500856E-2</v>
          </cell>
        </row>
        <row r="121">
          <cell r="B121" t="str">
            <v>RHES-CHPNGA</v>
          </cell>
          <cell r="C121" t="str">
            <v>VAR_fout</v>
          </cell>
          <cell r="D121" t="str">
            <v>CO2_R</v>
          </cell>
          <cell r="E121">
            <v>3.7582680079911199</v>
          </cell>
          <cell r="F121">
            <v>0.52642462256863898</v>
          </cell>
          <cell r="G121">
            <v>1.943627909498</v>
          </cell>
          <cell r="H121">
            <v>1.74994966826967</v>
          </cell>
          <cell r="I121">
            <v>1.95317241341436</v>
          </cell>
          <cell r="J121">
            <v>2.19918936080823</v>
          </cell>
          <cell r="K121">
            <v>2.1207030964714901</v>
          </cell>
          <cell r="L121">
            <v>2.4404766528378099</v>
          </cell>
          <cell r="M121">
            <v>2.0662250579599299</v>
          </cell>
          <cell r="N121">
            <v>2.23212922138348</v>
          </cell>
          <cell r="O121">
            <v>18.620168822208399</v>
          </cell>
          <cell r="P121">
            <v>21.088082239318101</v>
          </cell>
        </row>
        <row r="122">
          <cell r="B122" t="str">
            <v>RHES-CHPNGA</v>
          </cell>
          <cell r="C122" t="str">
            <v>VAR_fout</v>
          </cell>
          <cell r="D122" t="str">
            <v>RHES_NKEV_GAS_ELC_CHP</v>
          </cell>
          <cell r="E122">
            <v>1.4261770251983092E-2</v>
          </cell>
          <cell r="F122">
            <v>2.5319667538576877E-3</v>
          </cell>
          <cell r="G122">
            <v>8.857972037691118E-3</v>
          </cell>
          <cell r="H122">
            <v>8.2767791153947733E-3</v>
          </cell>
          <cell r="I122">
            <v>8.9186164994124444E-3</v>
          </cell>
          <cell r="J122">
            <v>1.0325218147271786E-2</v>
          </cell>
          <cell r="K122">
            <v>1.0029619499609533E-2</v>
          </cell>
          <cell r="L122">
            <v>1.0936656444772024E-2</v>
          </cell>
          <cell r="M122">
            <v>9.8330016133857494E-3</v>
          </cell>
          <cell r="N122">
            <v>9.8528744547873807E-3</v>
          </cell>
          <cell r="O122">
            <v>9.4164629036992673E-2</v>
          </cell>
          <cell r="P122">
            <v>0.10551805708489281</v>
          </cell>
        </row>
        <row r="123">
          <cell r="B123" t="str">
            <v>RHES-CHPNGA</v>
          </cell>
          <cell r="C123" t="str">
            <v>VAR_fout</v>
          </cell>
          <cell r="D123" t="str">
            <v>RHES_LTH_CHPNGA</v>
          </cell>
          <cell r="E123">
            <v>3.4333891347366752E-2</v>
          </cell>
          <cell r="F123">
            <v>6.0338509308862616E-3</v>
          </cell>
          <cell r="G123">
            <v>2.0785770363576834E-2</v>
          </cell>
          <cell r="H123">
            <v>1.8918352263759534E-2</v>
          </cell>
          <cell r="I123">
            <v>2.0206589763079832E-2</v>
          </cell>
          <cell r="J123">
            <v>2.3186454786855944E-2</v>
          </cell>
          <cell r="K123">
            <v>2.2155569027721866E-2</v>
          </cell>
          <cell r="L123">
            <v>2.3758943311056498E-2</v>
          </cell>
          <cell r="M123">
            <v>2.1361348332527688E-2</v>
          </cell>
          <cell r="N123">
            <v>2.1404520367296783E-2</v>
          </cell>
          <cell r="O123">
            <v>0.20456453894243248</v>
          </cell>
          <cell r="P123">
            <v>0.22922888263269856</v>
          </cell>
        </row>
        <row r="124">
          <cell r="B124" t="str">
            <v>RHES-CHPNGA</v>
          </cell>
          <cell r="C124" t="str">
            <v>VAR_fin</v>
          </cell>
          <cell r="D124" t="str">
            <v>RNGA</v>
          </cell>
          <cell r="E124">
            <v>6.6635957588494957E-2</v>
          </cell>
          <cell r="F124">
            <v>9.3337699036992738E-3</v>
          </cell>
          <cell r="G124">
            <v>3.4461487757056673E-2</v>
          </cell>
          <cell r="H124">
            <v>3.102747638776018E-2</v>
          </cell>
          <cell r="I124">
            <v>3.4630716549899986E-2</v>
          </cell>
          <cell r="J124">
            <v>3.8992719163266409E-2</v>
          </cell>
          <cell r="K124">
            <v>3.7601118731764083E-2</v>
          </cell>
          <cell r="L124">
            <v>4.3270862638968316E-2</v>
          </cell>
          <cell r="M124">
            <v>3.6635196063119387E-2</v>
          </cell>
          <cell r="N124">
            <v>3.9576759244387895E-2</v>
          </cell>
          <cell r="O124">
            <v>0.33014483727319943</v>
          </cell>
          <cell r="P124">
            <v>0.37390216736379589</v>
          </cell>
        </row>
        <row r="125">
          <cell r="B125" t="str">
            <v>RHES-CHPNGA</v>
          </cell>
          <cell r="C125" t="str">
            <v>VAR_ncap</v>
          </cell>
          <cell r="D125" t="str">
            <v>-</v>
          </cell>
          <cell r="F125">
            <v>1.40893831238227E-7</v>
          </cell>
          <cell r="G125">
            <v>2.7103989071472701E-5</v>
          </cell>
          <cell r="H125">
            <v>4.53904310148547E-7</v>
          </cell>
          <cell r="I125">
            <v>3.7648003539985899E-4</v>
          </cell>
          <cell r="J125">
            <v>3.6869342239775698E-4</v>
          </cell>
          <cell r="K125">
            <v>1.41381787963323E-4</v>
          </cell>
          <cell r="L125">
            <v>8.5895952827023502E-5</v>
          </cell>
          <cell r="M125">
            <v>2.1286969808551699E-4</v>
          </cell>
          <cell r="N125">
            <v>4.36014231467195E-4</v>
          </cell>
          <cell r="O125">
            <v>7.6358677303682001E-3</v>
          </cell>
          <cell r="P125">
            <v>1.09538784251073E-3</v>
          </cell>
        </row>
        <row r="126">
          <cell r="B126" t="str">
            <v>RHES-CHPNGA</v>
          </cell>
          <cell r="C126" t="str">
            <v>VAR_cap</v>
          </cell>
          <cell r="D126" t="str">
            <v>-</v>
          </cell>
          <cell r="E126">
            <v>4.1512403469719369E-3</v>
          </cell>
          <cell r="F126">
            <v>7.6194726605556822E-4</v>
          </cell>
          <cell r="G126">
            <v>7.8734320956187699E-4</v>
          </cell>
          <cell r="H126">
            <v>7.3579894083270034E-4</v>
          </cell>
          <cell r="I126">
            <v>7.9285730770118669E-4</v>
          </cell>
          <cell r="J126">
            <v>9.1783694260898945E-4</v>
          </cell>
          <cell r="K126">
            <v>8.9155114453555798E-4</v>
          </cell>
          <cell r="L126">
            <v>9.7231534641493565E-4</v>
          </cell>
          <cell r="M126">
            <v>8.7408300055915157E-4</v>
          </cell>
          <cell r="N126">
            <v>8.7597140930929535E-4</v>
          </cell>
          <cell r="O126">
            <v>8.3704564989190398E-3</v>
          </cell>
          <cell r="P126">
            <v>9.3798678165899433E-3</v>
          </cell>
        </row>
        <row r="127">
          <cell r="B127" t="str">
            <v>RHEM-CHPWOD</v>
          </cell>
          <cell r="C127" t="str">
            <v>VAR_fout</v>
          </cell>
          <cell r="D127" t="str">
            <v>RHEM_KEV_WOD_ELC_CHP</v>
          </cell>
          <cell r="H127">
            <v>1.6606535069266662E-3</v>
          </cell>
          <cell r="I127">
            <v>2.3958057784980724E-3</v>
          </cell>
          <cell r="J127">
            <v>2.1746019713624778E-3</v>
          </cell>
          <cell r="K127">
            <v>2.2987112072494109E-3</v>
          </cell>
          <cell r="L127">
            <v>6.1642440117759458E-3</v>
          </cell>
          <cell r="M127">
            <v>5.9110335495038135E-3</v>
          </cell>
          <cell r="N127">
            <v>4.9252119451761471E-3</v>
          </cell>
          <cell r="O127">
            <v>5.1181662133331319E-3</v>
          </cell>
          <cell r="P127">
            <v>1.056784764232997E-2</v>
          </cell>
        </row>
        <row r="128">
          <cell r="B128" t="str">
            <v>RHEM-CHPWOD</v>
          </cell>
          <cell r="C128" t="str">
            <v>VAR_fout</v>
          </cell>
          <cell r="D128" t="str">
            <v>RHEM_LTH_CHPWOD</v>
          </cell>
          <cell r="H128">
            <v>4.4175019396078818E-3</v>
          </cell>
          <cell r="I128">
            <v>6.3730794107830484E-3</v>
          </cell>
          <cell r="J128">
            <v>5.7846554903238402E-3</v>
          </cell>
          <cell r="K128">
            <v>6.1147982852940135E-3</v>
          </cell>
          <cell r="L128">
            <v>1.6397496386004996E-2</v>
          </cell>
          <cell r="M128">
            <v>1.5723931609517558E-2</v>
          </cell>
          <cell r="N128">
            <v>1.3101549016724728E-2</v>
          </cell>
          <cell r="O128">
            <v>1.3614826380295047E-2</v>
          </cell>
          <cell r="P128">
            <v>2.8111515895853163E-2</v>
          </cell>
        </row>
        <row r="129">
          <cell r="B129" t="str">
            <v>RHEM-CHPWOD</v>
          </cell>
          <cell r="C129" t="str">
            <v>VAR_fin</v>
          </cell>
          <cell r="D129" t="str">
            <v>RWOD</v>
          </cell>
          <cell r="H129">
            <v>7.0160142185596757E-3</v>
          </cell>
          <cell r="I129">
            <v>9.8244165154083799E-3</v>
          </cell>
          <cell r="J129">
            <v>8.811941083537651E-3</v>
          </cell>
          <cell r="K129">
            <v>9.1961834780959709E-3</v>
          </cell>
          <cell r="L129">
            <v>2.4128981160044537E-2</v>
          </cell>
          <cell r="M129">
            <v>2.1996836494192498E-2</v>
          </cell>
          <cell r="N129">
            <v>1.9571828094107332E-2</v>
          </cell>
          <cell r="O129">
            <v>1.9845550098210544E-2</v>
          </cell>
          <cell r="P129">
            <v>4.1528503098888774E-2</v>
          </cell>
        </row>
        <row r="130">
          <cell r="B130" t="str">
            <v>RHEM-CHPWOD</v>
          </cell>
          <cell r="C130" t="str">
            <v>VAR_ncap</v>
          </cell>
          <cell r="D130" t="str">
            <v>-</v>
          </cell>
          <cell r="H130">
            <v>1.23343069072919E-4</v>
          </cell>
          <cell r="I130">
            <v>5.4919158313149903E-5</v>
          </cell>
          <cell r="J130">
            <v>7.1966493140703196E-6</v>
          </cell>
          <cell r="K130">
            <v>1.0896879956922199E-4</v>
          </cell>
          <cell r="L130">
            <v>3.4197367531105098E-4</v>
          </cell>
          <cell r="M130">
            <v>1.62839590911657E-6</v>
          </cell>
          <cell r="N130">
            <v>2.30689195871888E-5</v>
          </cell>
          <cell r="O130">
            <v>2.95920314114346E-4</v>
          </cell>
          <cell r="P130">
            <v>4.6669739607426401E-4</v>
          </cell>
        </row>
        <row r="131">
          <cell r="B131" t="str">
            <v>RHEM-CHPWOD</v>
          </cell>
          <cell r="C131" t="str">
            <v>VAR_cap</v>
          </cell>
          <cell r="D131" t="str">
            <v>-</v>
          </cell>
          <cell r="H131">
            <v>1.23343069072919E-4</v>
          </cell>
          <cell r="I131">
            <v>1.7821263694774457E-4</v>
          </cell>
          <cell r="J131">
            <v>1.617706893477916E-4</v>
          </cell>
          <cell r="K131">
            <v>1.7089251467934611E-4</v>
          </cell>
          <cell r="L131">
            <v>4.5782936414081482E-4</v>
          </cell>
          <cell r="M131">
            <v>4.3884889496589733E-4</v>
          </cell>
          <cell r="N131">
            <v>3.662833484365509E-4</v>
          </cell>
          <cell r="O131">
            <v>3.8015103809374502E-4</v>
          </cell>
          <cell r="P131">
            <v>7.8527570714059087E-4</v>
          </cell>
        </row>
        <row r="132">
          <cell r="B132" t="str">
            <v>ENUC_LRG_BEZ</v>
          </cell>
          <cell r="C132" t="str">
            <v>VAR_fout</v>
          </cell>
          <cell r="D132" t="str">
            <v>LTH</v>
          </cell>
          <cell r="J132"/>
          <cell r="K132">
            <v>1.6724439920040772</v>
          </cell>
          <cell r="L132">
            <v>8.2653702571596419</v>
          </cell>
          <cell r="M132">
            <v>8.6136748649950938</v>
          </cell>
          <cell r="N132">
            <v>8.4414472042192923</v>
          </cell>
          <cell r="O132">
            <v>8.4068237204725662</v>
          </cell>
          <cell r="P132">
            <v>7.2510836054162873</v>
          </cell>
        </row>
        <row r="133">
          <cell r="B133" t="str">
            <v>ENUC_LRG_BEZ</v>
          </cell>
          <cell r="C133" t="str">
            <v>VAR_fout</v>
          </cell>
          <cell r="D133" t="str">
            <v>ELC</v>
          </cell>
          <cell r="J133"/>
          <cell r="K133">
            <v>0.78566434929501794</v>
          </cell>
          <cell r="L133">
            <v>5.3656423839725313</v>
          </cell>
          <cell r="M133">
            <v>5.3215409692353237</v>
          </cell>
          <cell r="N133">
            <v>5.1515049905066785</v>
          </cell>
          <cell r="O133">
            <v>4.8328755439184636</v>
          </cell>
          <cell r="P133">
            <v>5.0018892531852339</v>
          </cell>
        </row>
        <row r="134">
          <cell r="B134" t="str">
            <v>ENUC_LRG_BEZ</v>
          </cell>
          <cell r="C134" t="str">
            <v>VAR_fin</v>
          </cell>
          <cell r="D134" t="str">
            <v>URN</v>
          </cell>
          <cell r="J134"/>
          <cell r="K134">
            <v>3.1130454672301333</v>
          </cell>
          <cell r="L134">
            <v>19.856968301629614</v>
          </cell>
          <cell r="M134">
            <v>19.878834421738006</v>
          </cell>
          <cell r="N134">
            <v>19.28944417446619</v>
          </cell>
          <cell r="O134">
            <v>18.313109479081536</v>
          </cell>
          <cell r="P134">
            <v>18.308961546294224</v>
          </cell>
        </row>
        <row r="135">
          <cell r="B135" t="str">
            <v>ENUC_LRG_BEZ</v>
          </cell>
          <cell r="C135" t="str">
            <v>VAR_ncap</v>
          </cell>
          <cell r="D135" t="str">
            <v>-</v>
          </cell>
          <cell r="J135">
            <v>0.228213607783851</v>
          </cell>
          <cell r="K135">
            <v>6.6573460069714801E-7</v>
          </cell>
          <cell r="L135">
            <v>6.9652350545347595E-4</v>
          </cell>
          <cell r="M135">
            <v>4.59898513916957E-5</v>
          </cell>
          <cell r="N135">
            <v>1.20635388167833E-4</v>
          </cell>
        </row>
        <row r="136">
          <cell r="B136" t="str">
            <v>ENUC_LRG_BEZ</v>
          </cell>
          <cell r="C136" t="str">
            <v>VAR_cap</v>
          </cell>
          <cell r="D136" t="str">
            <v>-</v>
          </cell>
          <cell r="J136"/>
          <cell r="K136">
            <v>3.5726833396855201E-2</v>
          </cell>
          <cell r="L136">
            <v>0.228213607783851</v>
          </cell>
          <cell r="M136">
            <v>0.22821417122561499</v>
          </cell>
          <cell r="N136">
            <v>0.22892187220223001</v>
          </cell>
          <cell r="O136">
            <v>0.228956786875296</v>
          </cell>
          <cell r="P136">
            <v>0.229077422263464</v>
          </cell>
        </row>
        <row r="137">
          <cell r="B137" t="str">
            <v>G-INTC-IMP00-FR</v>
          </cell>
          <cell r="C137" t="str">
            <v>VAR_fout</v>
          </cell>
          <cell r="D137" t="str">
            <v>ELC</v>
          </cell>
          <cell r="E137">
            <v>28.948621077418558</v>
          </cell>
          <cell r="F137">
            <v>17.829886890416205</v>
          </cell>
          <cell r="G137">
            <v>21.482045717684951</v>
          </cell>
          <cell r="H137">
            <v>15.105816769185767</v>
          </cell>
          <cell r="I137">
            <v>21.079035856962488</v>
          </cell>
          <cell r="J137">
            <v>29.794655575365201</v>
          </cell>
          <cell r="K137">
            <v>33.875128784246577</v>
          </cell>
          <cell r="L137">
            <v>28.459363919749673</v>
          </cell>
          <cell r="M137">
            <v>63.162437098662565</v>
          </cell>
          <cell r="N137">
            <v>69.191615162257307</v>
          </cell>
          <cell r="O137">
            <v>69.193644350197133</v>
          </cell>
          <cell r="P137">
            <v>69.188336859708386</v>
          </cell>
        </row>
        <row r="138">
          <cell r="B138" t="str">
            <v>G-INTC-IMP00-FR</v>
          </cell>
          <cell r="C138" t="str">
            <v>VAR_fin</v>
          </cell>
          <cell r="D138" t="str">
            <v>ELC_I-FR</v>
          </cell>
          <cell r="E138">
            <v>28.948621077418558</v>
          </cell>
          <cell r="F138">
            <v>17.829886890416205</v>
          </cell>
          <cell r="G138">
            <v>21.482045717684951</v>
          </cell>
          <cell r="H138">
            <v>15.105816769185767</v>
          </cell>
          <cell r="I138">
            <v>21.079035856962488</v>
          </cell>
          <cell r="J138">
            <v>29.794655575365201</v>
          </cell>
          <cell r="K138">
            <v>33.875128784246577</v>
          </cell>
          <cell r="L138">
            <v>28.459363919749673</v>
          </cell>
          <cell r="M138">
            <v>63.162437098662565</v>
          </cell>
          <cell r="N138">
            <v>69.191615162257307</v>
          </cell>
          <cell r="O138">
            <v>69.193644350197133</v>
          </cell>
          <cell r="P138">
            <v>69.188336859708386</v>
          </cell>
        </row>
        <row r="139">
          <cell r="B139" t="str">
            <v>G-INTC-IMP00-FR</v>
          </cell>
          <cell r="C139" t="str">
            <v>VAR_ncap</v>
          </cell>
          <cell r="D139" t="str">
            <v>-</v>
          </cell>
          <cell r="E139">
            <v>1.7247352337349901E-5</v>
          </cell>
          <cell r="F139">
            <v>1.92739749996721E-5</v>
          </cell>
          <cell r="G139">
            <v>1.62472014895761E-3</v>
          </cell>
          <cell r="H139">
            <v>1.2983433395127999</v>
          </cell>
          <cell r="I139">
            <v>0.24183715729184099</v>
          </cell>
          <cell r="J139">
            <v>1.7016756049484101E-5</v>
          </cell>
          <cell r="K139">
            <v>4.8445391221484</v>
          </cell>
          <cell r="L139">
            <v>2.33609383064459</v>
          </cell>
          <cell r="M139">
            <v>0.562914487770939</v>
          </cell>
          <cell r="N139">
            <v>1.0731686490551501E-4</v>
          </cell>
        </row>
        <row r="140">
          <cell r="B140" t="str">
            <v>G-INTC-IMP00-FR</v>
          </cell>
          <cell r="C140" t="str">
            <v>VAR_cap</v>
          </cell>
          <cell r="D140" t="str">
            <v>-</v>
          </cell>
          <cell r="E140">
            <v>1.699998827697347</v>
          </cell>
          <cell r="F140">
            <v>1.6999978413327792</v>
          </cell>
          <cell r="G140">
            <v>1.6999976704898769</v>
          </cell>
          <cell r="H140">
            <v>1.700015535178802</v>
          </cell>
          <cell r="I140">
            <v>2.0143215591400656</v>
          </cell>
          <cell r="J140">
            <v>2.9999981615075408</v>
          </cell>
          <cell r="K140">
            <v>3.1990007618982634</v>
          </cell>
          <cell r="L140">
            <v>3.2418409453671493</v>
          </cell>
          <cell r="M140">
            <v>7.3419915053160407</v>
          </cell>
          <cell r="N140">
            <v>9.2988939707893881</v>
          </cell>
          <cell r="O140">
            <v>9.2853785715993613</v>
          </cell>
          <cell r="P140">
            <v>9.2854608509974046</v>
          </cell>
        </row>
        <row r="141">
          <cell r="B141" t="str">
            <v>RHEM-CHPGFC</v>
          </cell>
          <cell r="C141" t="str">
            <v>VAR_fout</v>
          </cell>
          <cell r="D141" t="str">
            <v>CO2_R</v>
          </cell>
          <cell r="H141">
            <v>7.7078008805392201E-2</v>
          </cell>
          <cell r="I141">
            <v>0.30274927703107901</v>
          </cell>
          <cell r="J141">
            <v>0.303553197950446</v>
          </cell>
          <cell r="K141">
            <v>0.337293735127352</v>
          </cell>
          <cell r="L141">
            <v>0.92293592760362198</v>
          </cell>
          <cell r="M141">
            <v>0.80395806221378596</v>
          </cell>
          <cell r="N141">
            <v>1.6229324577141799</v>
          </cell>
          <cell r="O141">
            <v>1.5820107396788401</v>
          </cell>
          <cell r="P141">
            <v>3.0818295222983698</v>
          </cell>
        </row>
        <row r="142">
          <cell r="B142" t="str">
            <v>RHEM-CHPGFC</v>
          </cell>
          <cell r="C142" t="str">
            <v>VAR_fout</v>
          </cell>
          <cell r="D142" t="str">
            <v>RHEM_LTH_CHPNGA</v>
          </cell>
          <cell r="H142">
            <v>6.4286339258965439E-4</v>
          </cell>
          <cell r="I142">
            <v>2.5159323784479906E-3</v>
          </cell>
          <cell r="J142">
            <v>2.5102342468809997E-3</v>
          </cell>
          <cell r="K142">
            <v>2.741109636447196E-3</v>
          </cell>
          <cell r="L142">
            <v>7.3638504861991182E-3</v>
          </cell>
          <cell r="M142">
            <v>6.414559007024887E-3</v>
          </cell>
          <cell r="N142">
            <v>1.2948929183889742E-2</v>
          </cell>
          <cell r="O142">
            <v>1.2622426114458849E-2</v>
          </cell>
          <cell r="P142">
            <v>2.4589065337486962E-2</v>
          </cell>
        </row>
        <row r="143">
          <cell r="B143" t="str">
            <v>RHEM-CHPGFC</v>
          </cell>
          <cell r="C143" t="str">
            <v>VAR_fout</v>
          </cell>
          <cell r="D143" t="str">
            <v>RHEM_NKEV_GAS_ELC_CHP</v>
          </cell>
          <cell r="H143">
            <v>5.7398517195504835E-4</v>
          </cell>
          <cell r="I143">
            <v>2.3081948426128345E-3</v>
          </cell>
          <cell r="J143">
            <v>2.3681455159254685E-3</v>
          </cell>
          <cell r="K143">
            <v>2.6612714916963084E-3</v>
          </cell>
          <cell r="L143">
            <v>7.3638504861991182E-3</v>
          </cell>
          <cell r="M143">
            <v>6.414559007024887E-3</v>
          </cell>
          <cell r="N143">
            <v>1.2948929183889742E-2</v>
          </cell>
          <cell r="O143">
            <v>1.2622426114458849E-2</v>
          </cell>
          <cell r="P143">
            <v>2.4589065337486962E-2</v>
          </cell>
        </row>
        <row r="144">
          <cell r="B144" t="str">
            <v>RHEM-CHPGFC</v>
          </cell>
          <cell r="C144" t="str">
            <v>VAR_fin</v>
          </cell>
          <cell r="D144" t="str">
            <v>RNGA</v>
          </cell>
          <cell r="H144">
            <v>1.3666313617977347E-3</v>
          </cell>
          <cell r="I144">
            <v>5.367894982820553E-3</v>
          </cell>
          <cell r="J144">
            <v>5.3821488998306143E-3</v>
          </cell>
          <cell r="K144">
            <v>5.9803853745984455E-3</v>
          </cell>
          <cell r="L144">
            <v>1.6364112191553582E-2</v>
          </cell>
          <cell r="M144">
            <v>1.4254575571166411E-2</v>
          </cell>
          <cell r="N144">
            <v>2.8775398186421643E-2</v>
          </cell>
          <cell r="O144">
            <v>2.8049835809908552E-2</v>
          </cell>
          <cell r="P144">
            <v>5.4642367416637701E-2</v>
          </cell>
        </row>
        <row r="145">
          <cell r="B145" t="str">
            <v>RHEM-CHPGFC</v>
          </cell>
          <cell r="C145" t="str">
            <v>VAR_ncap</v>
          </cell>
          <cell r="D145" t="str">
            <v>-</v>
          </cell>
          <cell r="H145">
            <v>5.1045959293986501E-5</v>
          </cell>
          <cell r="I145">
            <v>1.5445393278350401E-4</v>
          </cell>
          <cell r="J145">
            <v>5.20553599837438E-6</v>
          </cell>
          <cell r="K145">
            <v>4.2418895985116998E-5</v>
          </cell>
          <cell r="L145">
            <v>4.5356005823891297E-4</v>
          </cell>
          <cell r="M145">
            <v>2.3905103117072399E-5</v>
          </cell>
          <cell r="N145">
            <v>6.3243771301129499E-4</v>
          </cell>
          <cell r="O145">
            <v>1.3360343713257299E-5</v>
          </cell>
          <cell r="P145">
            <v>1.51828864972017E-3</v>
          </cell>
        </row>
        <row r="146">
          <cell r="B146" t="str">
            <v>RHEM-CHPGFC</v>
          </cell>
          <cell r="C146" t="str">
            <v>VAR_cap</v>
          </cell>
          <cell r="D146" t="str">
            <v>-</v>
          </cell>
          <cell r="H146">
            <v>5.1045959293986501E-5</v>
          </cell>
          <cell r="I146">
            <v>2.0545728806412329E-4</v>
          </cell>
          <cell r="J146">
            <v>2.1054091455915914E-4</v>
          </cell>
          <cell r="K146">
            <v>2.365821387053302E-4</v>
          </cell>
          <cell r="L146">
            <v>6.5491478253118334E-4</v>
          </cell>
          <cell r="M146">
            <v>5.7024107644008059E-4</v>
          </cell>
          <cell r="N146">
            <v>1.1513477766398694E-3</v>
          </cell>
          <cell r="O146">
            <v>1.1222986913631788E-3</v>
          </cell>
          <cell r="P146">
            <v>2.1867021414605026E-3</v>
          </cell>
        </row>
        <row r="147">
          <cell r="B147" t="str">
            <v>EHYD-RUNS10</v>
          </cell>
          <cell r="C147" t="str">
            <v>VAR_fout</v>
          </cell>
          <cell r="D147" t="str">
            <v>ELC35</v>
          </cell>
          <cell r="F147">
            <v>1.6375349443143749E-3</v>
          </cell>
          <cell r="G147">
            <v>3.4766415501241775E-3</v>
          </cell>
          <cell r="H147">
            <v>3.6583667061143299E-3</v>
          </cell>
          <cell r="I147">
            <v>3.733262075973976E-3</v>
          </cell>
          <cell r="J147">
            <v>3.8014444302055489E-3</v>
          </cell>
          <cell r="K147">
            <v>3.7746984059979986E-3</v>
          </cell>
          <cell r="L147">
            <v>3.6611963431567459E-3</v>
          </cell>
          <cell r="M147">
            <v>3.8007161913888843E-3</v>
          </cell>
          <cell r="N147">
            <v>3.7352712884912427E-3</v>
          </cell>
          <cell r="O147">
            <v>3.7958153082456926E-3</v>
          </cell>
          <cell r="P147">
            <v>5.8992667112879229E-3</v>
          </cell>
        </row>
        <row r="148">
          <cell r="B148" t="str">
            <v>EHYD-RUNS10</v>
          </cell>
          <cell r="C148" t="str">
            <v>VAR_fin</v>
          </cell>
          <cell r="D148" t="str">
            <v>HYDR</v>
          </cell>
          <cell r="F148">
            <v>1.6375349443143749E-3</v>
          </cell>
          <cell r="G148">
            <v>3.4766415501241775E-3</v>
          </cell>
          <cell r="H148">
            <v>3.6583667061143299E-3</v>
          </cell>
          <cell r="I148">
            <v>3.733262075973976E-3</v>
          </cell>
          <cell r="J148">
            <v>3.8014444302055489E-3</v>
          </cell>
          <cell r="K148">
            <v>3.7746984059979986E-3</v>
          </cell>
          <cell r="L148">
            <v>3.6611963431567459E-3</v>
          </cell>
          <cell r="M148">
            <v>3.8007161913888843E-3</v>
          </cell>
          <cell r="N148">
            <v>3.7352712884912427E-3</v>
          </cell>
          <cell r="O148">
            <v>3.7958153082456926E-3</v>
          </cell>
          <cell r="P148">
            <v>5.8992667112879229E-3</v>
          </cell>
        </row>
        <row r="149">
          <cell r="B149" t="str">
            <v>EHYD-RUNS10</v>
          </cell>
          <cell r="C149" t="str">
            <v>VAR_ncap</v>
          </cell>
          <cell r="D149" t="str">
            <v>-</v>
          </cell>
          <cell r="F149">
            <v>1.48514183438895E-4</v>
          </cell>
          <cell r="G149">
            <v>1.64158264993938E-4</v>
          </cell>
          <cell r="H149">
            <v>2.36601882270105E-6</v>
          </cell>
          <cell r="I149">
            <v>5.4207497491710695E-7</v>
          </cell>
          <cell r="J149">
            <v>1.0218785131108201E-6</v>
          </cell>
          <cell r="K149">
            <v>1.2368170319810899E-6</v>
          </cell>
          <cell r="L149">
            <v>2.46873024806983E-6</v>
          </cell>
          <cell r="M149">
            <v>2.9263692881652899E-7</v>
          </cell>
          <cell r="N149">
            <v>1.83092918772381E-6</v>
          </cell>
          <cell r="O149">
            <v>7.4487731461376699E-7</v>
          </cell>
          <cell r="P149">
            <v>1.87065788973881E-4</v>
          </cell>
        </row>
        <row r="150">
          <cell r="B150" t="str">
            <v>EHYD-RUNS10</v>
          </cell>
          <cell r="C150" t="str">
            <v>VAR_cap</v>
          </cell>
          <cell r="D150" t="str">
            <v>-</v>
          </cell>
          <cell r="F150">
            <v>1.48514183438895E-4</v>
          </cell>
          <cell r="G150">
            <v>3.1267244843283303E-4</v>
          </cell>
          <cell r="H150">
            <v>3.1503846725553398E-4</v>
          </cell>
          <cell r="I150">
            <v>3.1558054223045101E-4</v>
          </cell>
          <cell r="J150">
            <v>3.1660242074356198E-4</v>
          </cell>
          <cell r="K150">
            <v>3.1783923777554301E-4</v>
          </cell>
          <cell r="L150">
            <v>3.2030796802361199E-4</v>
          </cell>
          <cell r="M150">
            <v>3.2060060495242901E-4</v>
          </cell>
          <cell r="N150">
            <v>3.2243153414015298E-4</v>
          </cell>
          <cell r="O150">
            <v>3.2317641145476701E-4</v>
          </cell>
          <cell r="P150">
            <v>5.1024220042864801E-4</v>
          </cell>
        </row>
        <row r="151">
          <cell r="B151" t="str">
            <v>SUP_WSTBIO</v>
          </cell>
          <cell r="C151" t="str">
            <v>VAR_fout</v>
          </cell>
          <cell r="D151" t="str">
            <v>ELC35</v>
          </cell>
          <cell r="E151">
            <v>0.11258824636126216</v>
          </cell>
          <cell r="F151">
            <v>0.11553180445798404</v>
          </cell>
          <cell r="G151">
            <v>0.11134817169194305</v>
          </cell>
          <cell r="H151">
            <v>0.11514226274887034</v>
          </cell>
          <cell r="I151">
            <v>0.11489885711995818</v>
          </cell>
          <cell r="J151">
            <v>0.11167326228067016</v>
          </cell>
          <cell r="K151">
            <v>0.10845856583026467</v>
          </cell>
          <cell r="L151">
            <v>0.10524450604020437</v>
          </cell>
          <cell r="M151">
            <v>0.1052430351407083</v>
          </cell>
          <cell r="N151">
            <v>0.10524086081775975</v>
          </cell>
          <cell r="O151">
            <v>0.10524017208257606</v>
          </cell>
          <cell r="P151">
            <v>0.10522793071428067</v>
          </cell>
        </row>
        <row r="152">
          <cell r="B152" t="str">
            <v>SUP_WSTBIO</v>
          </cell>
          <cell r="C152" t="str">
            <v>VAR_fout</v>
          </cell>
          <cell r="D152" t="str">
            <v>BIO</v>
          </cell>
          <cell r="E152">
            <v>5.629412318063113</v>
          </cell>
          <cell r="F152">
            <v>5.7765902228992028</v>
          </cell>
          <cell r="G152">
            <v>5.5674085845971435</v>
          </cell>
          <cell r="H152">
            <v>5.7571131374435156</v>
          </cell>
          <cell r="I152">
            <v>5.7449428559978983</v>
          </cell>
          <cell r="J152">
            <v>5.5836631140335156</v>
          </cell>
          <cell r="K152">
            <v>5.4229282915132302</v>
          </cell>
          <cell r="L152">
            <v>5.2622253020102132</v>
          </cell>
          <cell r="M152">
            <v>5.2621517570354168</v>
          </cell>
          <cell r="N152">
            <v>5.2620430408879866</v>
          </cell>
          <cell r="O152">
            <v>5.2620086041287983</v>
          </cell>
          <cell r="P152">
            <v>5.26139653571403</v>
          </cell>
        </row>
        <row r="153">
          <cell r="B153" t="str">
            <v>SUP_WSTBIO</v>
          </cell>
          <cell r="C153" t="str">
            <v>VAR_fin</v>
          </cell>
          <cell r="D153" t="str">
            <v>CWST</v>
          </cell>
          <cell r="E153">
            <v>9.6793723800296494</v>
          </cell>
          <cell r="F153">
            <v>9.9324342746878234</v>
          </cell>
          <cell r="G153">
            <v>9.5727613891730403</v>
          </cell>
          <cell r="H153">
            <v>9.8989448174671626</v>
          </cell>
          <cell r="I153">
            <v>9.8780188878272526</v>
          </cell>
          <cell r="J153">
            <v>9.6007098915010474</v>
          </cell>
          <cell r="K153">
            <v>9.3243378452361814</v>
          </cell>
          <cell r="L153">
            <v>9.0480205335707105</v>
          </cell>
          <cell r="M153">
            <v>9.0478940782397448</v>
          </cell>
          <cell r="N153">
            <v>9.0477071485896854</v>
          </cell>
          <cell r="O153">
            <v>9.0476479370420346</v>
          </cell>
          <cell r="P153">
            <v>9.0465955291220101</v>
          </cell>
        </row>
        <row r="154">
          <cell r="B154" t="str">
            <v>SUP_WSTBIO</v>
          </cell>
          <cell r="C154" t="str">
            <v>VAR_ncap</v>
          </cell>
          <cell r="D154" t="str">
            <v>-</v>
          </cell>
          <cell r="E154">
            <v>4.0984051952070704E-3</v>
          </cell>
          <cell r="F154">
            <v>5.5588652772563599E-3</v>
          </cell>
          <cell r="G154">
            <v>7.39336302356916E-7</v>
          </cell>
          <cell r="H154">
            <v>7.28497254800409E-2</v>
          </cell>
          <cell r="I154">
            <v>0.116853823084095</v>
          </cell>
          <cell r="J154">
            <v>1.6118280016528898E-2</v>
          </cell>
          <cell r="K154">
            <v>2.2139561855725E-2</v>
          </cell>
          <cell r="L154">
            <v>4.3686050808823998E-2</v>
          </cell>
          <cell r="M154">
            <v>8.35134994469761E-2</v>
          </cell>
          <cell r="N154">
            <v>4.9452015765266102E-2</v>
          </cell>
          <cell r="O154">
            <v>2.2138098413933601E-2</v>
          </cell>
          <cell r="P154">
            <v>4.3664578339752999E-2</v>
          </cell>
        </row>
        <row r="155">
          <cell r="B155" t="str">
            <v>SUP_WSTBIO</v>
          </cell>
          <cell r="C155" t="str">
            <v>VAR_cap</v>
          </cell>
          <cell r="D155" t="str">
            <v>-</v>
          </cell>
          <cell r="E155">
            <v>0.21266855635489149</v>
          </cell>
          <cell r="F155">
            <v>0.21822700662646866</v>
          </cell>
          <cell r="G155">
            <v>0.21822530539747093</v>
          </cell>
          <cell r="H155">
            <v>0.21749105654027476</v>
          </cell>
          <cell r="I155">
            <v>0.21703158171059761</v>
          </cell>
          <cell r="J155">
            <v>0.21093811355704423</v>
          </cell>
          <cell r="K155">
            <v>0.20486600817361103</v>
          </cell>
          <cell r="L155">
            <v>0.19879616537336264</v>
          </cell>
          <cell r="M155">
            <v>0.19879209139921425</v>
          </cell>
          <cell r="N155">
            <v>0.19878926114192447</v>
          </cell>
          <cell r="O155">
            <v>0.19878771566203424</v>
          </cell>
          <cell r="P155">
            <v>0.1987656744316432</v>
          </cell>
        </row>
        <row r="156">
          <cell r="B156" t="str">
            <v>ITOT-CHPNGACCS</v>
          </cell>
          <cell r="C156" t="str">
            <v>VAR_fout</v>
          </cell>
          <cell r="D156" t="str">
            <v>CO2_I</v>
          </cell>
          <cell r="J156">
            <v>1.5840813409263101E-2</v>
          </cell>
          <cell r="K156">
            <v>1.9758273133215501E-2</v>
          </cell>
          <cell r="L156">
            <v>5.0121413763181098E-2</v>
          </cell>
          <cell r="M156">
            <v>2.46410163518247E-2</v>
          </cell>
          <cell r="N156">
            <v>4.2354435297318797E-2</v>
          </cell>
          <cell r="O156">
            <v>4.1292620930412E-2</v>
          </cell>
          <cell r="P156">
            <v>8.2824365942126998E-2</v>
          </cell>
        </row>
        <row r="157">
          <cell r="B157" t="str">
            <v>ITOT-CHPNGACCS</v>
          </cell>
          <cell r="C157" t="str">
            <v>VAR_fin</v>
          </cell>
          <cell r="D157" t="str">
            <v>INGA</v>
          </cell>
          <cell r="J157">
            <v>2.8086548597984137E-4</v>
          </cell>
          <cell r="K157">
            <v>3.5032399172367918E-4</v>
          </cell>
          <cell r="L157">
            <v>8.8867754899257302E-4</v>
          </cell>
          <cell r="M157">
            <v>4.3689745304653681E-4</v>
          </cell>
          <cell r="N157">
            <v>7.5096516484607855E-4</v>
          </cell>
          <cell r="O157">
            <v>7.3213866897893682E-4</v>
          </cell>
          <cell r="P157">
            <v>1.4685171266334562E-3</v>
          </cell>
        </row>
        <row r="158">
          <cell r="B158" t="str">
            <v>SCOM-ESOLPV</v>
          </cell>
          <cell r="C158" t="str">
            <v>VAR_fout</v>
          </cell>
          <cell r="D158" t="str">
            <v>SCOM_SOL_ELC</v>
          </cell>
          <cell r="E158">
            <v>2.8396236857719668</v>
          </cell>
          <cell r="F158">
            <v>3.2944551386163567</v>
          </cell>
          <cell r="G158">
            <v>3.9362047310641173</v>
          </cell>
          <cell r="H158">
            <v>4.4088901557220552</v>
          </cell>
          <cell r="I158">
            <v>4.6337904350980068</v>
          </cell>
          <cell r="J158">
            <v>4.8701588541244414</v>
          </cell>
          <cell r="K158">
            <v>5.1185867382733212</v>
          </cell>
          <cell r="L158">
            <v>5.3796875317432953</v>
          </cell>
          <cell r="M158">
            <v>5.6541069341514083</v>
          </cell>
          <cell r="N158">
            <v>5.9425271688172998</v>
          </cell>
          <cell r="O158">
            <v>6.2456608388504664</v>
          </cell>
          <cell r="P158">
            <v>6.5643056511261717</v>
          </cell>
        </row>
        <row r="159">
          <cell r="B159" t="str">
            <v>SCOM-ESOLPV</v>
          </cell>
          <cell r="C159" t="str">
            <v>VAR_fin</v>
          </cell>
          <cell r="D159" t="str">
            <v>SOL</v>
          </cell>
          <cell r="E159">
            <v>2.8396236857719668</v>
          </cell>
          <cell r="F159">
            <v>3.2944551386163567</v>
          </cell>
          <cell r="G159">
            <v>3.9362047310641173</v>
          </cell>
          <cell r="H159">
            <v>4.4088901557220552</v>
          </cell>
          <cell r="I159">
            <v>4.6337904350980068</v>
          </cell>
          <cell r="J159">
            <v>4.8701588541244414</v>
          </cell>
          <cell r="K159">
            <v>5.1185867382733212</v>
          </cell>
          <cell r="L159">
            <v>5.3796875317432953</v>
          </cell>
          <cell r="M159">
            <v>5.6541069341514083</v>
          </cell>
          <cell r="N159">
            <v>5.9425271688172998</v>
          </cell>
          <cell r="O159">
            <v>6.2456608388504664</v>
          </cell>
          <cell r="P159">
            <v>6.5643056511261717</v>
          </cell>
        </row>
        <row r="160">
          <cell r="B160" t="str">
            <v>SCOM-ESOLPV</v>
          </cell>
          <cell r="C160" t="str">
            <v>VAR_fin</v>
          </cell>
          <cell r="D160" t="str">
            <v>SOLPVC</v>
          </cell>
          <cell r="E160">
            <v>2.8396236857719699</v>
          </cell>
          <cell r="F160">
            <v>3.2944551386163599</v>
          </cell>
          <cell r="G160">
            <v>3.9362047310641199</v>
          </cell>
          <cell r="H160">
            <v>4.4088901557220597</v>
          </cell>
          <cell r="I160">
            <v>4.6337904350980104</v>
          </cell>
          <cell r="J160">
            <v>4.8701588541244396</v>
          </cell>
          <cell r="K160">
            <v>5.1185867382733203</v>
          </cell>
          <cell r="L160">
            <v>5.37968753174329</v>
          </cell>
          <cell r="M160">
            <v>5.6541069341514101</v>
          </cell>
          <cell r="N160">
            <v>5.9425271688172998</v>
          </cell>
          <cell r="O160">
            <v>6.2456608388504602</v>
          </cell>
          <cell r="P160">
            <v>6.5643056511261699</v>
          </cell>
        </row>
        <row r="161">
          <cell r="B161" t="str">
            <v>SCOM-ESOLPV</v>
          </cell>
          <cell r="C161" t="str">
            <v>VAR_ncap</v>
          </cell>
          <cell r="D161" t="str">
            <v>-</v>
          </cell>
          <cell r="F161">
            <v>3.4394732199287799E-8</v>
          </cell>
          <cell r="G161">
            <v>4.7057409900130399E-5</v>
          </cell>
          <cell r="H161">
            <v>4.0910965369647797E-6</v>
          </cell>
          <cell r="I161">
            <v>0.52246573742781299</v>
          </cell>
          <cell r="J161">
            <v>0.42576360481942399</v>
          </cell>
          <cell r="K161">
            <v>0.318037149769825</v>
          </cell>
          <cell r="L161">
            <v>6.4603527837525307E-2</v>
          </cell>
          <cell r="M161">
            <v>0.48816554795654099</v>
          </cell>
          <cell r="N161">
            <v>0.59930336909269799</v>
          </cell>
          <cell r="O161">
            <v>0.393028632203546</v>
          </cell>
          <cell r="P161">
            <v>0.14343447241798299</v>
          </cell>
        </row>
        <row r="162">
          <cell r="B162" t="str">
            <v>SCOM-ESOLPV</v>
          </cell>
          <cell r="C162" t="str">
            <v>VAR_cap</v>
          </cell>
          <cell r="D162" t="str">
            <v>-</v>
          </cell>
          <cell r="E162">
            <v>0.90292899999999998</v>
          </cell>
          <cell r="F162">
            <v>1.1231012959627422</v>
          </cell>
          <cell r="G162">
            <v>1.1752760918046323</v>
          </cell>
          <cell r="H162">
            <v>1.0907103611418494</v>
          </cell>
          <cell r="I162">
            <v>1.146347741193531</v>
          </cell>
          <cell r="J162">
            <v>1.204822719824161</v>
          </cell>
          <cell r="K162">
            <v>1.2662776210789299</v>
          </cell>
          <cell r="L162">
            <v>1.33087001985459</v>
          </cell>
          <cell r="M162">
            <v>1.3987580571860601</v>
          </cell>
          <cell r="N162">
            <v>1.4701095946565901</v>
          </cell>
          <cell r="O162">
            <v>1.54510107709031</v>
          </cell>
          <cell r="P162">
            <v>1.62393202167077</v>
          </cell>
        </row>
        <row r="163">
          <cell r="B163" t="str">
            <v>D-SCOM_LTH</v>
          </cell>
          <cell r="C163" t="str">
            <v>VAR_fout</v>
          </cell>
          <cell r="D163" t="str">
            <v>SCOM_LTH_DH</v>
          </cell>
          <cell r="E163">
            <v>5.610011319169578</v>
          </cell>
          <cell r="F163">
            <v>6.0767076295886868</v>
          </cell>
          <cell r="G163">
            <v>6.0767080236263613</v>
          </cell>
          <cell r="H163">
            <v>6.0767068975635397</v>
          </cell>
          <cell r="I163">
            <v>6.0767072700448495</v>
          </cell>
          <cell r="J163">
            <v>6.0767092881839373</v>
          </cell>
          <cell r="K163">
            <v>6.0767349937821242</v>
          </cell>
          <cell r="L163">
            <v>9.0347042453006576</v>
          </cell>
          <cell r="M163">
            <v>9.0347410381682138</v>
          </cell>
          <cell r="N163">
            <v>9.0347558673583741</v>
          </cell>
          <cell r="O163">
            <v>9.0347782851569303</v>
          </cell>
          <cell r="P163">
            <v>9.0347931848942871</v>
          </cell>
        </row>
        <row r="164">
          <cell r="B164" t="str">
            <v>D-SCOM_LTH</v>
          </cell>
          <cell r="C164" t="str">
            <v>VAR_fin</v>
          </cell>
          <cell r="D164" t="str">
            <v>LTH</v>
          </cell>
          <cell r="E164">
            <v>6.0987880390614011</v>
          </cell>
          <cell r="F164">
            <v>6.6044094635872606</v>
          </cell>
          <cell r="G164">
            <v>6.6018073396725052</v>
          </cell>
          <cell r="H164">
            <v>6.5974730852489634</v>
          </cell>
          <cell r="I164">
            <v>6.5931461424852191</v>
          </cell>
          <cell r="J164">
            <v>6.5888266565150397</v>
          </cell>
          <cell r="K164">
            <v>6.5845384964132956</v>
          </cell>
          <cell r="L164">
            <v>9.7832824612820541</v>
          </cell>
          <cell r="M164">
            <v>9.7833223026543941</v>
          </cell>
          <cell r="N164">
            <v>9.7833383605299051</v>
          </cell>
          <cell r="O164">
            <v>9.7833626357744912</v>
          </cell>
          <cell r="P164">
            <v>9.7833787700424519</v>
          </cell>
        </row>
        <row r="165">
          <cell r="B165" t="str">
            <v>D-SCOM_LTH</v>
          </cell>
          <cell r="C165" t="str">
            <v>VAR_ncap</v>
          </cell>
          <cell r="D165" t="str">
            <v>-</v>
          </cell>
          <cell r="E165">
            <v>0.84970000147062497</v>
          </cell>
          <cell r="F165">
            <v>9.1590030563182497E-8</v>
          </cell>
          <cell r="G165">
            <v>6.9406740575731898E-8</v>
          </cell>
          <cell r="H165">
            <v>6.9779236802082803E-8</v>
          </cell>
          <cell r="I165">
            <v>7.8525745033852002E-8</v>
          </cell>
          <cell r="J165">
            <v>9.5795764217970202E-8</v>
          </cell>
          <cell r="K165">
            <v>1.2571819264336101E-7</v>
          </cell>
          <cell r="L165">
            <v>1.8841959334900301E-7</v>
          </cell>
          <cell r="M165">
            <v>1.84642854796168E-7</v>
          </cell>
          <cell r="N165">
            <v>3.9289622101298298E-7</v>
          </cell>
          <cell r="O165">
            <v>4.47011527437293E-7</v>
          </cell>
          <cell r="P165">
            <v>2.1590563598018001E-6</v>
          </cell>
        </row>
        <row r="166">
          <cell r="B166" t="str">
            <v>D-SCOM_LTH</v>
          </cell>
          <cell r="C166" t="str">
            <v>VAR_cap</v>
          </cell>
          <cell r="D166" t="str">
            <v>-</v>
          </cell>
          <cell r="E166">
            <v>0.84970000147062497</v>
          </cell>
          <cell r="F166">
            <v>0.84970009306065497</v>
          </cell>
          <cell r="G166">
            <v>0.84970016246739599</v>
          </cell>
          <cell r="H166">
            <v>0.84970023224663205</v>
          </cell>
          <cell r="I166">
            <v>0.84970031077237795</v>
          </cell>
          <cell r="J166">
            <v>0.84970040656814205</v>
          </cell>
          <cell r="K166">
            <v>0.84970053228633402</v>
          </cell>
          <cell r="L166">
            <v>0.84970072070592795</v>
          </cell>
          <cell r="M166">
            <v>0.84970090534878295</v>
          </cell>
          <cell r="N166">
            <v>0.84970129824500396</v>
          </cell>
          <cell r="O166">
            <v>0.84970174525653097</v>
          </cell>
          <cell r="P166">
            <v>0.849703904312891</v>
          </cell>
        </row>
        <row r="167">
          <cell r="B167" t="str">
            <v>EHYD-RUNS15</v>
          </cell>
          <cell r="C167" t="str">
            <v>VAR_fout</v>
          </cell>
          <cell r="D167" t="str">
            <v>ELC35</v>
          </cell>
          <cell r="F167">
            <v>5.1942192318781011E-4</v>
          </cell>
          <cell r="G167">
            <v>3.0825114501876563E-3</v>
          </cell>
          <cell r="H167">
            <v>3.0414614371680874E-3</v>
          </cell>
          <cell r="I167">
            <v>2.878243010928021E-3</v>
          </cell>
          <cell r="J167">
            <v>2.9418966317512544E-3</v>
          </cell>
          <cell r="K167">
            <v>3.352458033190819E-3</v>
          </cell>
          <cell r="L167">
            <v>3.2071105930799237E-3</v>
          </cell>
          <cell r="M167">
            <v>3.20395781541389E-3</v>
          </cell>
          <cell r="N167">
            <v>3.1424858024321741E-3</v>
          </cell>
          <cell r="O167">
            <v>3.0882784171872468E-3</v>
          </cell>
          <cell r="P167">
            <v>3.4700309966868505E-3</v>
          </cell>
        </row>
        <row r="168">
          <cell r="B168" t="str">
            <v>EHYD-RUNS15</v>
          </cell>
          <cell r="C168" t="str">
            <v>VAR_fin</v>
          </cell>
          <cell r="D168" t="str">
            <v>HYDR</v>
          </cell>
          <cell r="F168">
            <v>5.1942192318781011E-4</v>
          </cell>
          <cell r="G168">
            <v>3.0825114501876563E-3</v>
          </cell>
          <cell r="H168">
            <v>3.0414614371680874E-3</v>
          </cell>
          <cell r="I168">
            <v>2.878243010928021E-3</v>
          </cell>
          <cell r="J168">
            <v>2.9418966317512544E-3</v>
          </cell>
          <cell r="K168">
            <v>3.352458033190819E-3</v>
          </cell>
          <cell r="L168">
            <v>3.2071105930799237E-3</v>
          </cell>
          <cell r="M168">
            <v>3.20395781541389E-3</v>
          </cell>
          <cell r="N168">
            <v>3.1424858024321741E-3</v>
          </cell>
          <cell r="O168">
            <v>3.0882784171872468E-3</v>
          </cell>
          <cell r="P168">
            <v>3.4700309966868505E-3</v>
          </cell>
        </row>
        <row r="169">
          <cell r="B169" t="str">
            <v>EHYD-RUNS15</v>
          </cell>
          <cell r="C169" t="str">
            <v>VAR_ncap</v>
          </cell>
          <cell r="D169" t="str">
            <v>-</v>
          </cell>
          <cell r="F169">
            <v>4.4481933705243598E-5</v>
          </cell>
          <cell r="G169">
            <v>1.75192263722909E-4</v>
          </cell>
          <cell r="H169">
            <v>4.0197742654431701E-7</v>
          </cell>
          <cell r="I169">
            <v>9.73091906544209E-8</v>
          </cell>
          <cell r="J169">
            <v>6.1520885518337198E-8</v>
          </cell>
          <cell r="K169">
            <v>9.8271712912374203E-8</v>
          </cell>
          <cell r="L169">
            <v>1.9066291621930999E-7</v>
          </cell>
          <cell r="M169">
            <v>6.8804873230885699E-8</v>
          </cell>
          <cell r="N169">
            <v>6.0877237549785902E-7</v>
          </cell>
          <cell r="O169">
            <v>2.5724981891367901E-7</v>
          </cell>
          <cell r="P169">
            <v>4.9301842463309998E-5</v>
          </cell>
        </row>
        <row r="170">
          <cell r="B170" t="str">
            <v>EHYD-RUNS15</v>
          </cell>
          <cell r="C170" t="str">
            <v>VAR_cap</v>
          </cell>
          <cell r="D170" t="str">
            <v>-</v>
          </cell>
          <cell r="F170">
            <v>4.4481933705243598E-5</v>
          </cell>
          <cell r="G170">
            <v>2.1967419742815301E-4</v>
          </cell>
          <cell r="H170">
            <v>2.20076174854697E-4</v>
          </cell>
          <cell r="I170">
            <v>2.20173484045352E-4</v>
          </cell>
          <cell r="J170">
            <v>2.2023500493087E-4</v>
          </cell>
          <cell r="K170">
            <v>2.2033327664378201E-4</v>
          </cell>
          <cell r="L170">
            <v>2.2052393956000199E-4</v>
          </cell>
          <cell r="M170">
            <v>2.20592744433232E-4</v>
          </cell>
          <cell r="N170">
            <v>2.2120151680873001E-4</v>
          </cell>
          <cell r="O170">
            <v>2.21458766627644E-4</v>
          </cell>
          <cell r="P170">
            <v>2.7076060909095399E-4</v>
          </cell>
        </row>
        <row r="171">
          <cell r="B171" t="str">
            <v>EHYD-RUN10</v>
          </cell>
          <cell r="C171" t="str">
            <v>VAR_fout</v>
          </cell>
          <cell r="D171" t="str">
            <v>ELC13</v>
          </cell>
          <cell r="F171">
            <v>1.824376750230818E-3</v>
          </cell>
          <cell r="G171">
            <v>3.6794266242381611E-3</v>
          </cell>
          <cell r="H171">
            <v>3.8650961789316531E-3</v>
          </cell>
          <cell r="I171">
            <v>3.8074993163100582E-3</v>
          </cell>
          <cell r="J171">
            <v>3.8601603653130026E-3</v>
          </cell>
          <cell r="K171">
            <v>3.8021007084619736E-3</v>
          </cell>
          <cell r="L171">
            <v>3.6947384008829808E-3</v>
          </cell>
          <cell r="M171">
            <v>3.7605112287764008E-3</v>
          </cell>
          <cell r="N171">
            <v>3.7720560540045996E-3</v>
          </cell>
          <cell r="O171">
            <v>3.843167137950936E-3</v>
          </cell>
          <cell r="P171">
            <v>6.1318531294184287E-3</v>
          </cell>
        </row>
        <row r="172">
          <cell r="B172" t="str">
            <v>EHYD-RUN10</v>
          </cell>
          <cell r="C172" t="str">
            <v>VAR_fin</v>
          </cell>
          <cell r="D172" t="str">
            <v>HYDR</v>
          </cell>
          <cell r="F172">
            <v>1.824376750230818E-3</v>
          </cell>
          <cell r="G172">
            <v>3.6794266242381611E-3</v>
          </cell>
          <cell r="H172">
            <v>3.8650961789316531E-3</v>
          </cell>
          <cell r="I172">
            <v>3.8074993163100582E-3</v>
          </cell>
          <cell r="J172">
            <v>3.8601603653130026E-3</v>
          </cell>
          <cell r="K172">
            <v>3.8021007084619736E-3</v>
          </cell>
          <cell r="L172">
            <v>3.6947384008829808E-3</v>
          </cell>
          <cell r="M172">
            <v>3.7605112287764008E-3</v>
          </cell>
          <cell r="N172">
            <v>3.7720560540045996E-3</v>
          </cell>
          <cell r="O172">
            <v>3.843167137950936E-3</v>
          </cell>
          <cell r="P172">
            <v>6.1318531294184287E-3</v>
          </cell>
        </row>
        <row r="173">
          <cell r="B173" t="str">
            <v>EHYD-RUN10</v>
          </cell>
          <cell r="C173" t="str">
            <v>VAR_ncap</v>
          </cell>
          <cell r="D173" t="str">
            <v>-</v>
          </cell>
          <cell r="F173">
            <v>1.5514583158365801E-4</v>
          </cell>
          <cell r="G173">
            <v>1.54838492106068E-4</v>
          </cell>
          <cell r="H173">
            <v>1.7264221535519799E-6</v>
          </cell>
          <cell r="I173">
            <v>7.7131463115643699E-7</v>
          </cell>
          <cell r="J173">
            <v>2.0875342764785E-7</v>
          </cell>
          <cell r="K173">
            <v>6.1452491011022805E-7</v>
          </cell>
          <cell r="L173">
            <v>1.1841807810440699E-6</v>
          </cell>
          <cell r="M173">
            <v>6.78395129294126E-7</v>
          </cell>
          <cell r="N173">
            <v>1.80500196896605E-6</v>
          </cell>
          <cell r="O173">
            <v>5.0594399381093198E-6</v>
          </cell>
          <cell r="P173">
            <v>1.96440853750887E-4</v>
          </cell>
        </row>
        <row r="174">
          <cell r="B174" t="str">
            <v>EHYD-RUN10</v>
          </cell>
          <cell r="C174" t="str">
            <v>VAR_cap</v>
          </cell>
          <cell r="D174" t="str">
            <v>-</v>
          </cell>
          <cell r="F174">
            <v>1.5514583158365801E-4</v>
          </cell>
          <cell r="G174">
            <v>3.0998432368972598E-4</v>
          </cell>
          <cell r="H174">
            <v>3.1171074584327802E-4</v>
          </cell>
          <cell r="I174">
            <v>3.1248206047443399E-4</v>
          </cell>
          <cell r="J174">
            <v>3.1269081390208198E-4</v>
          </cell>
          <cell r="K174">
            <v>3.13305338812192E-4</v>
          </cell>
          <cell r="L174">
            <v>3.1448951959323702E-4</v>
          </cell>
          <cell r="M174">
            <v>3.15167914722531E-4</v>
          </cell>
          <cell r="N174">
            <v>3.1697291669149702E-4</v>
          </cell>
          <cell r="O174">
            <v>3.2203235662960598E-4</v>
          </cell>
          <cell r="P174">
            <v>5.1847321038049296E-4</v>
          </cell>
        </row>
        <row r="175">
          <cell r="B175" t="str">
            <v>ITOT-CHPWOD</v>
          </cell>
          <cell r="C175" t="str">
            <v>VAR_fout</v>
          </cell>
          <cell r="D175" t="str">
            <v>ITOT_LTH_CHP</v>
          </cell>
          <cell r="E175">
            <v>0.65988362536169198</v>
          </cell>
          <cell r="F175">
            <v>1.8165910149088584</v>
          </cell>
          <cell r="G175">
            <v>3.4334172848948183</v>
          </cell>
          <cell r="H175">
            <v>4.3340595226111684</v>
          </cell>
          <cell r="I175">
            <v>5.3649708129766145</v>
          </cell>
          <cell r="J175">
            <v>6.3150029916097248</v>
          </cell>
          <cell r="K175">
            <v>8.34982844492799</v>
          </cell>
          <cell r="L175">
            <v>10.6718039876924</v>
          </cell>
          <cell r="M175">
            <v>11.627270334370458</v>
          </cell>
          <cell r="N175">
            <v>11.60727045854185</v>
          </cell>
          <cell r="O175">
            <v>11.549141238348669</v>
          </cell>
          <cell r="P175">
            <v>11.627512601713196</v>
          </cell>
        </row>
        <row r="176">
          <cell r="B176" t="str">
            <v>ITOT-CHPWOD</v>
          </cell>
          <cell r="C176" t="str">
            <v>VAR_fout</v>
          </cell>
          <cell r="D176" t="str">
            <v>ITOT_KEV_WOD_ELC_CHP</v>
          </cell>
          <cell r="E176">
            <v>0.17254438545275039</v>
          </cell>
          <cell r="F176">
            <v>0.52161627045213488</v>
          </cell>
          <cell r="G176">
            <v>1.1560691731524171</v>
          </cell>
          <cell r="H176">
            <v>2.0488281379616402</v>
          </cell>
          <cell r="I176">
            <v>2.5361680206798507</v>
          </cell>
          <cell r="J176">
            <v>2.9852741414882238</v>
          </cell>
          <cell r="K176">
            <v>3.9471916285114048</v>
          </cell>
          <cell r="L176">
            <v>5.0448527941818462</v>
          </cell>
          <cell r="M176">
            <v>5.496527794429662</v>
          </cell>
          <cell r="N176">
            <v>5.4870733076743186</v>
          </cell>
          <cell r="O176">
            <v>5.4595940399466318</v>
          </cell>
          <cell r="P176">
            <v>5.4966423208098583</v>
          </cell>
        </row>
        <row r="177">
          <cell r="B177" t="str">
            <v>ITOT-CHPWOD</v>
          </cell>
          <cell r="C177" t="str">
            <v>VAR_fin</v>
          </cell>
          <cell r="D177" t="str">
            <v>IWOD</v>
          </cell>
          <cell r="E177">
            <v>0.87378944781891155</v>
          </cell>
          <cell r="F177">
            <v>2.3099170345829769</v>
          </cell>
          <cell r="G177">
            <v>4.5387208857873249</v>
          </cell>
          <cell r="H177">
            <v>6.0547008375490154</v>
          </cell>
          <cell r="I177">
            <v>7.3360383388000372</v>
          </cell>
          <cell r="J177">
            <v>8.4556678731820956</v>
          </cell>
          <cell r="K177">
            <v>10.953724386283396</v>
          </cell>
          <cell r="L177">
            <v>13.722702218759069</v>
          </cell>
          <cell r="M177">
            <v>14.950496905505201</v>
          </cell>
          <cell r="N177">
            <v>14.925743441850148</v>
          </cell>
          <cell r="O177">
            <v>14.850752349281169</v>
          </cell>
          <cell r="P177">
            <v>14.953487699018808</v>
          </cell>
        </row>
        <row r="178">
          <cell r="B178" t="str">
            <v>ITOT-CHPWOD</v>
          </cell>
          <cell r="C178" t="str">
            <v>VAR_ncap</v>
          </cell>
          <cell r="D178" t="str">
            <v>-</v>
          </cell>
          <cell r="F178">
            <v>1.7607546649880498E-2</v>
          </cell>
          <cell r="G178">
            <v>2.34586685254261E-2</v>
          </cell>
          <cell r="H178">
            <v>3.3009901602845303E-2</v>
          </cell>
          <cell r="I178">
            <v>2.8272882606083401E-2</v>
          </cell>
          <cell r="J178">
            <v>5.2708800227085698E-2</v>
          </cell>
          <cell r="K178">
            <v>7.5097177428036399E-2</v>
          </cell>
          <cell r="L178">
            <v>7.7956758657070496E-2</v>
          </cell>
          <cell r="M178">
            <v>7.5331454694603006E-2</v>
          </cell>
          <cell r="N178">
            <v>7.3433017793488306E-2</v>
          </cell>
          <cell r="O178">
            <v>8.8034695641145203E-2</v>
          </cell>
          <cell r="P178">
            <v>6.4600307619886305E-2</v>
          </cell>
        </row>
        <row r="179">
          <cell r="B179" t="str">
            <v>ITOT-CHPWOD</v>
          </cell>
          <cell r="C179" t="str">
            <v>VAR_cap</v>
          </cell>
          <cell r="D179" t="str">
            <v>-</v>
          </cell>
          <cell r="E179">
            <v>6.4679695677718908E-3</v>
          </cell>
          <cell r="F179">
            <v>1.9286481076832972E-2</v>
          </cell>
          <cell r="G179">
            <v>4.2744953651719743E-2</v>
          </cell>
          <cell r="H179">
            <v>7.5754533715851904E-2</v>
          </cell>
          <cell r="I179">
            <v>9.3774762726174535E-2</v>
          </cell>
          <cell r="J179">
            <v>0.11263699603813594</v>
          </cell>
          <cell r="K179">
            <v>0.15607848955678125</v>
          </cell>
          <cell r="L179">
            <v>0.20576208243163169</v>
          </cell>
          <cell r="M179">
            <v>0.22653353259170353</v>
          </cell>
          <cell r="N179">
            <v>0.22672053056404959</v>
          </cell>
          <cell r="O179">
            <v>0.22672490749743285</v>
          </cell>
          <cell r="P179">
            <v>0.22606715624129042</v>
          </cell>
        </row>
        <row r="180">
          <cell r="B180" t="str">
            <v>EHYD-RUN15</v>
          </cell>
          <cell r="C180" t="str">
            <v>VAR_fout</v>
          </cell>
          <cell r="D180" t="str">
            <v>ELC13</v>
          </cell>
          <cell r="F180">
            <v>8.1833502658842786E-4</v>
          </cell>
          <cell r="G180">
            <v>8.3088127471473447E-4</v>
          </cell>
          <cell r="H180">
            <v>2.6145753465030889E-3</v>
          </cell>
          <cell r="I180">
            <v>3.3621085096419636E-3</v>
          </cell>
          <cell r="J180">
            <v>3.4084881321119619E-3</v>
          </cell>
          <cell r="K180">
            <v>3.5934130174484031E-3</v>
          </cell>
          <cell r="L180">
            <v>3.5914895586241159E-3</v>
          </cell>
          <cell r="M180">
            <v>3.5919686816161174E-3</v>
          </cell>
          <cell r="N180">
            <v>3.5962284291719574E-3</v>
          </cell>
          <cell r="O180">
            <v>3.6494026149498913E-3</v>
          </cell>
          <cell r="P180">
            <v>3.762086785678962E-3</v>
          </cell>
        </row>
        <row r="181">
          <cell r="B181" t="str">
            <v>EHYD-RUN15</v>
          </cell>
          <cell r="C181" t="str">
            <v>VAR_fin</v>
          </cell>
          <cell r="D181" t="str">
            <v>HYDR</v>
          </cell>
          <cell r="F181">
            <v>8.1833502658842786E-4</v>
          </cell>
          <cell r="G181">
            <v>8.3088127471473447E-4</v>
          </cell>
          <cell r="H181">
            <v>2.6145753465030889E-3</v>
          </cell>
          <cell r="I181">
            <v>3.3621085096419636E-3</v>
          </cell>
          <cell r="J181">
            <v>3.4084881321119619E-3</v>
          </cell>
          <cell r="K181">
            <v>3.5934130174484031E-3</v>
          </cell>
          <cell r="L181">
            <v>3.5914895586241159E-3</v>
          </cell>
          <cell r="M181">
            <v>3.5919686816161174E-3</v>
          </cell>
          <cell r="N181">
            <v>3.5962284291719574E-3</v>
          </cell>
          <cell r="O181">
            <v>3.6494026149498913E-3</v>
          </cell>
          <cell r="P181">
            <v>3.762086785678962E-3</v>
          </cell>
        </row>
        <row r="182">
          <cell r="B182" t="str">
            <v>EHYD-RUN15</v>
          </cell>
          <cell r="C182" t="str">
            <v>VAR_ncap</v>
          </cell>
          <cell r="D182" t="str">
            <v>-</v>
          </cell>
          <cell r="F182">
            <v>6.9252230749772799E-5</v>
          </cell>
          <cell r="G182">
            <v>1.8605938822738901E-4</v>
          </cell>
          <cell r="H182">
            <v>1.79737086977778E-7</v>
          </cell>
          <cell r="I182">
            <v>2.2384733986562701E-7</v>
          </cell>
          <cell r="J182">
            <v>1.5820602679804601E-7</v>
          </cell>
          <cell r="K182">
            <v>2.6378557282144301E-7</v>
          </cell>
          <cell r="L182">
            <v>1.2861965143532901E-7</v>
          </cell>
          <cell r="M182">
            <v>5.8256645158373805E-7</v>
          </cell>
          <cell r="N182">
            <v>5.5476705465049705E-7</v>
          </cell>
          <cell r="O182">
            <v>3.4759428944664798E-5</v>
          </cell>
        </row>
        <row r="183">
          <cell r="B183" t="str">
            <v>EHYD-RUN15</v>
          </cell>
          <cell r="C183" t="str">
            <v>VAR_cap</v>
          </cell>
          <cell r="D183" t="str">
            <v>-</v>
          </cell>
          <cell r="F183">
            <v>6.9252230749772799E-5</v>
          </cell>
          <cell r="G183">
            <v>6.9252230749772799E-5</v>
          </cell>
          <cell r="H183">
            <v>1.98879562962369E-4</v>
          </cell>
          <cell r="I183">
            <v>2.55491356064139E-4</v>
          </cell>
          <cell r="J183">
            <v>2.5566819614808401E-4</v>
          </cell>
          <cell r="K183">
            <v>2.5591470505425097E-4</v>
          </cell>
          <cell r="L183">
            <v>2.5613719500362401E-4</v>
          </cell>
          <cell r="M183">
            <v>2.56383075278803E-4</v>
          </cell>
          <cell r="N183">
            <v>2.5684838110664299E-4</v>
          </cell>
          <cell r="O183">
            <v>2.6274647430369398E-4</v>
          </cell>
          <cell r="P183">
            <v>2.9216257710595899E-4</v>
          </cell>
        </row>
        <row r="184">
          <cell r="B184" t="str">
            <v>SCOM-SWHSTG-CHPWOD</v>
          </cell>
          <cell r="C184" t="str">
            <v>VAR_fout</v>
          </cell>
          <cell r="D184" t="str">
            <v>AUX_SCOM-CHPWOD_OUT</v>
          </cell>
          <cell r="E184">
            <v>1.2440199932279615E-4</v>
          </cell>
          <cell r="F184">
            <v>6.3070943712573884E-5</v>
          </cell>
          <cell r="G184">
            <v>6.4422463935024689E-5</v>
          </cell>
          <cell r="H184">
            <v>1.0310202249109526E-2</v>
          </cell>
          <cell r="I184">
            <v>1.0642589906547286E-2</v>
          </cell>
          <cell r="J184">
            <v>1.1720911434642482E-2</v>
          </cell>
          <cell r="K184">
            <v>3.3612994946911466E-2</v>
          </cell>
          <cell r="L184">
            <v>8.1681962042917319E-2</v>
          </cell>
          <cell r="M184">
            <v>6.7804153422889285E-2</v>
          </cell>
          <cell r="N184">
            <v>0.10757099052677499</v>
          </cell>
          <cell r="O184">
            <v>8.6545741756924699E-2</v>
          </cell>
          <cell r="P184">
            <v>0.18899285302683666</v>
          </cell>
        </row>
        <row r="185">
          <cell r="B185" t="str">
            <v>SCOM-SWHSTG-CHPWOD</v>
          </cell>
          <cell r="C185" t="str">
            <v>VAR_fout</v>
          </cell>
          <cell r="D185" t="str">
            <v>SCOM_LTH_CHPWOD</v>
          </cell>
          <cell r="E185">
            <v>1.2440199932279637E-4</v>
          </cell>
          <cell r="F185">
            <v>6.3122495952645539E-5</v>
          </cell>
          <cell r="G185">
            <v>6.4504740389603269E-5</v>
          </cell>
          <cell r="H185">
            <v>1.0310202249109508E-2</v>
          </cell>
          <cell r="I185">
            <v>1.0654428160058441E-2</v>
          </cell>
          <cell r="J185">
            <v>1.1720911434642465E-2</v>
          </cell>
          <cell r="K185">
            <v>3.3645852224474401E-2</v>
          </cell>
          <cell r="L185">
            <v>8.1681962042917319E-2</v>
          </cell>
          <cell r="M185">
            <v>6.7804153422889285E-2</v>
          </cell>
          <cell r="N185">
            <v>0.10757099052677498</v>
          </cell>
          <cell r="O185">
            <v>8.6545741756924699E-2</v>
          </cell>
          <cell r="P185">
            <v>0.1889928530268366</v>
          </cell>
        </row>
        <row r="186">
          <cell r="B186" t="str">
            <v>SCOM-SWHSTG-CHPWOD</v>
          </cell>
          <cell r="C186" t="str">
            <v>VAR_fin</v>
          </cell>
          <cell r="D186" t="str">
            <v>AUX_SCOM-CHPWOD_IN</v>
          </cell>
          <cell r="E186">
            <v>1.2440199932279637E-4</v>
          </cell>
          <cell r="F186">
            <v>6.3122495952645539E-5</v>
          </cell>
          <cell r="G186">
            <v>6.4504740389603269E-5</v>
          </cell>
          <cell r="H186">
            <v>1.1844653485812543E-2</v>
          </cell>
          <cell r="I186">
            <v>1.1844652790966751E-2</v>
          </cell>
          <cell r="J186">
            <v>1.2609529854686155E-2</v>
          </cell>
          <cell r="K186">
            <v>3.5054073134738163E-2</v>
          </cell>
          <cell r="L186">
            <v>8.2517608954041879E-2</v>
          </cell>
          <cell r="M186">
            <v>6.8495043186314275E-2</v>
          </cell>
          <cell r="N186">
            <v>0.10866769838168262</v>
          </cell>
          <cell r="O186">
            <v>8.7426073811765079E-2</v>
          </cell>
          <cell r="P186">
            <v>0.19091413703056395</v>
          </cell>
        </row>
        <row r="187">
          <cell r="B187" t="str">
            <v>SCOM-SWHSTG-CHPWOD</v>
          </cell>
          <cell r="C187" t="str">
            <v>VAR_fin</v>
          </cell>
          <cell r="D187" t="str">
            <v>SCOM_LTH_CHPWOD</v>
          </cell>
          <cell r="E187">
            <v>1.2440199932279637E-4</v>
          </cell>
          <cell r="F187">
            <v>6.3122495952645539E-5</v>
          </cell>
          <cell r="G187">
            <v>6.4504740389603269E-5</v>
          </cell>
          <cell r="H187">
            <v>1.1844653485812543E-2</v>
          </cell>
          <cell r="I187">
            <v>1.1844652790966751E-2</v>
          </cell>
          <cell r="J187">
            <v>1.2609529854686155E-2</v>
          </cell>
          <cell r="K187">
            <v>3.5054073134738163E-2</v>
          </cell>
          <cell r="L187">
            <v>8.2517608954041879E-2</v>
          </cell>
          <cell r="M187">
            <v>6.8495043186314275E-2</v>
          </cell>
          <cell r="N187">
            <v>0.10866769838168262</v>
          </cell>
          <cell r="O187">
            <v>8.7426073811765079E-2</v>
          </cell>
          <cell r="P187">
            <v>0.19091413703056395</v>
          </cell>
        </row>
        <row r="188">
          <cell r="B188" t="str">
            <v>SCOM-SWHSTG-CHPWOD</v>
          </cell>
          <cell r="C188" t="str">
            <v>VAR_ncap</v>
          </cell>
          <cell r="D188" t="str">
            <v>-</v>
          </cell>
          <cell r="E188">
            <v>1.15179525411031E-3</v>
          </cell>
          <cell r="F188">
            <v>3.1859611930713798E-5</v>
          </cell>
          <cell r="G188">
            <v>8.0772591061786705E-5</v>
          </cell>
          <cell r="H188">
            <v>8.1709124455562202E-5</v>
          </cell>
          <cell r="I188">
            <v>1.2501303829530301E-3</v>
          </cell>
          <cell r="J188">
            <v>9.4427336949800297E-4</v>
          </cell>
          <cell r="K188">
            <v>1.3277094254482999E-4</v>
          </cell>
          <cell r="L188">
            <v>4.0475214676196298E-3</v>
          </cell>
          <cell r="M188">
            <v>3.8496571322470201E-5</v>
          </cell>
          <cell r="N188">
            <v>2.70760616925353E-3</v>
          </cell>
          <cell r="O188">
            <v>2.0214936596309298E-3</v>
          </cell>
          <cell r="P188">
            <v>7.17835930591535E-3</v>
          </cell>
        </row>
        <row r="189">
          <cell r="B189" t="str">
            <v>SCOM-SWHSTG-CHPWOD</v>
          </cell>
          <cell r="C189" t="str">
            <v>VAR_cap</v>
          </cell>
          <cell r="D189" t="str">
            <v>-</v>
          </cell>
          <cell r="E189">
            <v>1.15179525411031E-3</v>
          </cell>
          <cell r="F189">
            <v>1.1796086836581151E-3</v>
          </cell>
          <cell r="G189">
            <v>1.2513973917201769E-3</v>
          </cell>
          <cell r="H189">
            <v>1.318608924476406E-3</v>
          </cell>
          <cell r="I189">
            <v>1.6931393270444555E-3</v>
          </cell>
          <cell r="J189">
            <v>2.2469600678277032E-3</v>
          </cell>
          <cell r="K189">
            <v>2.3038928191895132E-3</v>
          </cell>
          <cell r="L189">
            <v>5.1046931507027762E-3</v>
          </cell>
          <cell r="M189">
            <v>4.2707368816830406E-3</v>
          </cell>
          <cell r="N189">
            <v>6.7577260952673933E-3</v>
          </cell>
          <cell r="O189">
            <v>5.4216111855648627E-3</v>
          </cell>
          <cell r="P189">
            <v>1.1870793830358337E-2</v>
          </cell>
        </row>
        <row r="190">
          <cell r="B190" t="str">
            <v>RHNM-ESOLPV</v>
          </cell>
          <cell r="C190" t="str">
            <v>VAR_fout</v>
          </cell>
          <cell r="D190" t="str">
            <v>RHNM_SOL_ELC</v>
          </cell>
          <cell r="F190">
            <v>3.6212607604498492E-5</v>
          </cell>
          <cell r="G190">
            <v>2.8825351140988613</v>
          </cell>
          <cell r="H190">
            <v>6.6924526317035165</v>
          </cell>
          <cell r="I190">
            <v>7.0338401096248839</v>
          </cell>
          <cell r="J190">
            <v>7.3926366553331953</v>
          </cell>
          <cell r="K190">
            <v>7.7697355562439991</v>
          </cell>
          <cell r="L190">
            <v>8.1660713691949205</v>
          </cell>
          <cell r="M190">
            <v>8.5826237707098674</v>
          </cell>
          <cell r="N190">
            <v>9.0204260215880332</v>
          </cell>
          <cell r="O190">
            <v>9.4805609586794386</v>
          </cell>
          <cell r="P190">
            <v>9.9641876473804114</v>
          </cell>
        </row>
        <row r="191">
          <cell r="B191" t="str">
            <v>RHNM-ESOLPV</v>
          </cell>
          <cell r="C191" t="str">
            <v>VAR_fin</v>
          </cell>
          <cell r="D191" t="str">
            <v>SOL</v>
          </cell>
          <cell r="F191">
            <v>3.6212607604498492E-5</v>
          </cell>
          <cell r="G191">
            <v>2.8825351140988613</v>
          </cell>
          <cell r="H191">
            <v>6.6924526317035165</v>
          </cell>
          <cell r="I191">
            <v>7.0338401096248839</v>
          </cell>
          <cell r="J191">
            <v>7.3926366553331953</v>
          </cell>
          <cell r="K191">
            <v>7.7697355562439991</v>
          </cell>
          <cell r="L191">
            <v>8.1660713691949205</v>
          </cell>
          <cell r="M191">
            <v>8.5826237707098674</v>
          </cell>
          <cell r="N191">
            <v>9.0204260215880332</v>
          </cell>
          <cell r="O191">
            <v>9.4805609586794386</v>
          </cell>
          <cell r="P191">
            <v>9.9641876473804114</v>
          </cell>
        </row>
        <row r="192">
          <cell r="B192" t="str">
            <v>RHNM-ESOLPV</v>
          </cell>
          <cell r="C192" t="str">
            <v>VAR_fin</v>
          </cell>
          <cell r="D192" t="str">
            <v>SOLPVC</v>
          </cell>
          <cell r="F192">
            <v>3.6212607604498499E-5</v>
          </cell>
          <cell r="G192">
            <v>2.88253511409886</v>
          </cell>
          <cell r="H192">
            <v>6.69245263170352</v>
          </cell>
          <cell r="I192">
            <v>7.0338401096248804</v>
          </cell>
          <cell r="J192">
            <v>7.3926366553331997</v>
          </cell>
          <cell r="K192">
            <v>7.7697355562439903</v>
          </cell>
          <cell r="L192">
            <v>8.1660713691949294</v>
          </cell>
          <cell r="M192">
            <v>8.5826237707098603</v>
          </cell>
          <cell r="N192">
            <v>9.0204260215880296</v>
          </cell>
          <cell r="O192">
            <v>9.4805609586794297</v>
          </cell>
          <cell r="P192">
            <v>9.9641876473804007</v>
          </cell>
        </row>
        <row r="193">
          <cell r="B193" t="str">
            <v>RHNM-ESOLPV</v>
          </cell>
          <cell r="C193" t="str">
            <v>VAR_ncap</v>
          </cell>
          <cell r="D193" t="str">
            <v>-</v>
          </cell>
          <cell r="F193">
            <v>1.2370608485346901E-5</v>
          </cell>
          <cell r="G193">
            <v>0.86065799351987504</v>
          </cell>
          <cell r="H193">
            <v>0.79496468988325897</v>
          </cell>
          <cell r="I193">
            <v>8.4454804075825396E-2</v>
          </cell>
          <cell r="J193">
            <v>8.8766678860831102E-2</v>
          </cell>
          <cell r="K193">
            <v>1.0535259268570101</v>
          </cell>
          <cell r="L193">
            <v>0.79343904502715201</v>
          </cell>
          <cell r="M193">
            <v>0.17362888776642799</v>
          </cell>
          <cell r="N193">
            <v>0.210949428024192</v>
          </cell>
          <cell r="O193">
            <v>1.16735759129418</v>
          </cell>
          <cell r="P193">
            <v>0.91308454615853796</v>
          </cell>
        </row>
        <row r="194">
          <cell r="B194" t="str">
            <v>RHNM-ESOLPV</v>
          </cell>
          <cell r="C194" t="str">
            <v>VAR_cap</v>
          </cell>
          <cell r="D194" t="str">
            <v>-</v>
          </cell>
          <cell r="F194">
            <v>1.2370608485346901E-5</v>
          </cell>
          <cell r="G194">
            <v>0.86067036412836095</v>
          </cell>
          <cell r="H194">
            <v>1.65563505401162</v>
          </cell>
          <cell r="I194">
            <v>1.74008985808745</v>
          </cell>
          <cell r="J194">
            <v>1.8288517711726899</v>
          </cell>
          <cell r="K194">
            <v>1.9221388087259299</v>
          </cell>
          <cell r="L194">
            <v>2.0201864548208102</v>
          </cell>
          <cell r="M194">
            <v>2.1232365015199699</v>
          </cell>
          <cell r="N194">
            <v>2.2315432876747798</v>
          </cell>
          <cell r="O194">
            <v>2.3453749521119498</v>
          </cell>
          <cell r="P194">
            <v>2.4650204532433402</v>
          </cell>
        </row>
        <row r="195">
          <cell r="B195" t="str">
            <v>CHPNGA</v>
          </cell>
          <cell r="C195" t="str">
            <v>VAR_fout</v>
          </cell>
          <cell r="D195" t="str">
            <v>ELC35</v>
          </cell>
          <cell r="E195">
            <v>0.96588301732439241</v>
          </cell>
          <cell r="F195">
            <v>1.6129721411806288E-4</v>
          </cell>
          <cell r="G195">
            <v>1.6000437752145696E-2</v>
          </cell>
          <cell r="H195">
            <v>0.89402526351358602</v>
          </cell>
          <cell r="I195">
            <v>0.38984307859184086</v>
          </cell>
          <cell r="J195">
            <v>0.87175234151642411</v>
          </cell>
          <cell r="K195">
            <v>0.71046902973611759</v>
          </cell>
          <cell r="L195">
            <v>0.11410852025251426</v>
          </cell>
          <cell r="M195">
            <v>0.11952215299446435</v>
          </cell>
          <cell r="N195">
            <v>1.5806241040524121E-2</v>
          </cell>
          <cell r="O195">
            <v>5.0466428884738341E-3</v>
          </cell>
          <cell r="P195">
            <v>5.8451699989088887E-3</v>
          </cell>
        </row>
        <row r="196">
          <cell r="B196" t="str">
            <v>CHPNGA</v>
          </cell>
          <cell r="C196" t="str">
            <v>VAR_fout</v>
          </cell>
          <cell r="D196" t="str">
            <v>LTH</v>
          </cell>
          <cell r="E196">
            <v>1.8035554543685344</v>
          </cell>
          <cell r="F196">
            <v>3.0994146267992513E-4</v>
          </cell>
          <cell r="G196">
            <v>3.2048817253881492E-2</v>
          </cell>
          <cell r="H196">
            <v>1.9120802588180641</v>
          </cell>
          <cell r="I196">
            <v>0.82928715493805949</v>
          </cell>
          <cell r="J196">
            <v>1.8443966625102697</v>
          </cell>
          <cell r="K196">
            <v>1.495168413238777</v>
          </cell>
          <cell r="L196">
            <v>0.23885502018745283</v>
          </cell>
          <cell r="M196">
            <v>0.25018698168344355</v>
          </cell>
          <cell r="N196">
            <v>3.3086048390316813E-2</v>
          </cell>
          <cell r="O196">
            <v>1.0563768475288084E-2</v>
          </cell>
          <cell r="P196">
            <v>1.2235266875767864E-2</v>
          </cell>
        </row>
        <row r="197">
          <cell r="B197" t="str">
            <v>CHPNGA</v>
          </cell>
          <cell r="C197" t="str">
            <v>VAR_fout</v>
          </cell>
          <cell r="D197" t="str">
            <v>CO2_E</v>
          </cell>
          <cell r="E197">
            <v>207.543498770784</v>
          </cell>
          <cell r="F197">
            <v>4.2822894800742299E-2</v>
          </cell>
          <cell r="G197">
            <v>3.6650610462423399</v>
          </cell>
          <cell r="H197">
            <v>204.543917271499</v>
          </cell>
          <cell r="I197">
            <v>88.7605857272858</v>
          </cell>
          <cell r="J197">
            <v>197.662544819685</v>
          </cell>
          <cell r="K197">
            <v>160.479397305454</v>
          </cell>
          <cell r="L197">
            <v>25.815163961546101</v>
          </cell>
          <cell r="M197">
            <v>26.896318519337299</v>
          </cell>
          <cell r="N197">
            <v>3.6884365112147002</v>
          </cell>
          <cell r="O197">
            <v>1.2714989276986099</v>
          </cell>
          <cell r="P197">
            <v>1.5527545800389899</v>
          </cell>
        </row>
        <row r="198">
          <cell r="B198" t="str">
            <v>CHPNGA</v>
          </cell>
          <cell r="C198" t="str">
            <v>VAR_fin</v>
          </cell>
          <cell r="D198" t="str">
            <v>ENGA</v>
          </cell>
          <cell r="E198">
            <v>3.6798492689855324</v>
          </cell>
          <cell r="F198">
            <v>7.5927118441032485E-4</v>
          </cell>
          <cell r="G198">
            <v>6.4983351883729515E-2</v>
          </cell>
          <cell r="H198">
            <v>3.6266651998492709</v>
          </cell>
          <cell r="I198">
            <v>1.5737692504837901</v>
          </cell>
          <cell r="J198">
            <v>3.5046550499944202</v>
          </cell>
          <cell r="K198">
            <v>2.8453793848484685</v>
          </cell>
          <cell r="L198">
            <v>0.45771567307705879</v>
          </cell>
          <cell r="M198">
            <v>0.47688508013009362</v>
          </cell>
          <cell r="N198">
            <v>6.5397810482530142E-2</v>
          </cell>
          <cell r="O198">
            <v>2.254430722869873E-2</v>
          </cell>
          <cell r="P198">
            <v>2.7531109575159342E-2</v>
          </cell>
        </row>
        <row r="199">
          <cell r="B199" t="str">
            <v>CHPNGA</v>
          </cell>
          <cell r="C199" t="str">
            <v>VAR_ncap</v>
          </cell>
          <cell r="D199" t="str">
            <v>-</v>
          </cell>
          <cell r="F199">
            <v>4.2084101575249801E-7</v>
          </cell>
          <cell r="G199">
            <v>1.07132135328946E-3</v>
          </cell>
          <cell r="H199">
            <v>4.75496715096013E-2</v>
          </cell>
          <cell r="I199">
            <v>1.9140209626227201E-5</v>
          </cell>
          <cell r="J199">
            <v>2.71416733830445E-2</v>
          </cell>
          <cell r="K199">
            <v>3.1546156647107597E-5</v>
          </cell>
          <cell r="L199">
            <v>5.2457891530642802E-6</v>
          </cell>
          <cell r="M199">
            <v>7.0015910503200704E-6</v>
          </cell>
          <cell r="N199">
            <v>1.36272079081812E-3</v>
          </cell>
          <cell r="O199">
            <v>8.7655687867685304E-6</v>
          </cell>
          <cell r="P199">
            <v>8.2604019700809205E-5</v>
          </cell>
        </row>
        <row r="200">
          <cell r="B200" t="str">
            <v>CHPNGA</v>
          </cell>
          <cell r="C200" t="str">
            <v>VAR_cap</v>
          </cell>
          <cell r="D200" t="str">
            <v>-</v>
          </cell>
          <cell r="E200">
            <v>4.7677296022689497E-2</v>
          </cell>
          <cell r="F200">
            <v>5.480427047074854E-5</v>
          </cell>
          <cell r="G200">
            <v>1.1256405597013242E-3</v>
          </cell>
          <cell r="H200">
            <v>4.8673957518656705E-2</v>
          </cell>
          <cell r="I200">
            <v>4.8664196778069949E-2</v>
          </cell>
          <cell r="J200">
            <v>7.5779323017724831E-2</v>
          </cell>
          <cell r="K200">
            <v>5.985453133971512E-2</v>
          </cell>
          <cell r="L200">
            <v>2.7180462413119902E-2</v>
          </cell>
          <cell r="M200">
            <v>2.3580550656632424E-2</v>
          </cell>
          <cell r="N200">
            <v>1.402897305977955E-3</v>
          </cell>
          <cell r="O200">
            <v>1.3794889282079772E-3</v>
          </cell>
          <cell r="P200">
            <v>1.4562309347690089E-3</v>
          </cell>
        </row>
        <row r="201">
          <cell r="B201" t="str">
            <v>EHYD-PUM00</v>
          </cell>
          <cell r="C201" t="str">
            <v>VAR_fout</v>
          </cell>
          <cell r="D201" t="str">
            <v>ELC</v>
          </cell>
          <cell r="E201">
            <v>12.841926677204274</v>
          </cell>
          <cell r="F201">
            <v>16.032965649559724</v>
          </cell>
          <cell r="G201">
            <v>5.796328061266987</v>
          </cell>
          <cell r="H201">
            <v>12.736196390193971</v>
          </cell>
          <cell r="I201">
            <v>12.773392503403111</v>
          </cell>
          <cell r="J201">
            <v>12.803906585674357</v>
          </cell>
          <cell r="K201">
            <v>12.833564629697468</v>
          </cell>
          <cell r="L201">
            <v>12.865018818141495</v>
          </cell>
          <cell r="M201">
            <v>12.894718247972319</v>
          </cell>
          <cell r="N201">
            <v>12.929335166813265</v>
          </cell>
          <cell r="O201">
            <v>12.968717569772137</v>
          </cell>
          <cell r="P201">
            <v>13.163210860060031</v>
          </cell>
        </row>
        <row r="202">
          <cell r="B202" t="str">
            <v>EHYD-PUM00</v>
          </cell>
          <cell r="C202" t="str">
            <v>VAR_fout</v>
          </cell>
          <cell r="D202" t="str">
            <v>AUX_PUMP_OUT</v>
          </cell>
          <cell r="E202">
            <v>12.841926677204274</v>
          </cell>
          <cell r="F202">
            <v>16.032965649559724</v>
          </cell>
          <cell r="G202">
            <v>5.7963280612669887</v>
          </cell>
          <cell r="H202">
            <v>12.736196390193971</v>
          </cell>
          <cell r="I202">
            <v>12.773392503403111</v>
          </cell>
          <cell r="J202">
            <v>12.803906585674357</v>
          </cell>
          <cell r="K202">
            <v>12.83356462969747</v>
          </cell>
          <cell r="L202">
            <v>12.865018818141495</v>
          </cell>
          <cell r="M202">
            <v>12.894718247972319</v>
          </cell>
          <cell r="N202">
            <v>12.929335166813265</v>
          </cell>
          <cell r="O202">
            <v>12.968717569772139</v>
          </cell>
          <cell r="P202">
            <v>13.163210860060031</v>
          </cell>
        </row>
        <row r="203">
          <cell r="B203" t="str">
            <v>EHYD-PUM00</v>
          </cell>
          <cell r="C203" t="str">
            <v>VAR_fin</v>
          </cell>
          <cell r="D203" t="str">
            <v>AUX_PUMP_IN</v>
          </cell>
          <cell r="E203">
            <v>16.052414035077803</v>
          </cell>
          <cell r="F203">
            <v>20.041210295813347</v>
          </cell>
          <cell r="G203">
            <v>7.2454101057023914</v>
          </cell>
          <cell r="H203">
            <v>15.920245621384723</v>
          </cell>
          <cell r="I203">
            <v>15.966742835815939</v>
          </cell>
          <cell r="J203">
            <v>16.004882319161894</v>
          </cell>
          <cell r="K203">
            <v>16.041953979364088</v>
          </cell>
          <cell r="L203">
            <v>16.08127227867843</v>
          </cell>
          <cell r="M203">
            <v>16.118397190717989</v>
          </cell>
          <cell r="N203">
            <v>16.161667452934559</v>
          </cell>
          <cell r="O203">
            <v>16.210895234536899</v>
          </cell>
          <cell r="P203">
            <v>16.454011470998374</v>
          </cell>
        </row>
        <row r="204">
          <cell r="B204" t="str">
            <v>EHYD-PUM00</v>
          </cell>
          <cell r="C204" t="str">
            <v>VAR_fin</v>
          </cell>
          <cell r="D204" t="str">
            <v>ELC</v>
          </cell>
          <cell r="E204">
            <v>16.052414035077803</v>
          </cell>
          <cell r="F204">
            <v>20.041210295813347</v>
          </cell>
          <cell r="G204">
            <v>7.2454101057023914</v>
          </cell>
          <cell r="H204">
            <v>15.920245621384723</v>
          </cell>
          <cell r="I204">
            <v>15.966742835815939</v>
          </cell>
          <cell r="J204">
            <v>16.004882319161894</v>
          </cell>
          <cell r="K204">
            <v>16.041953979364088</v>
          </cell>
          <cell r="L204">
            <v>16.08127227867843</v>
          </cell>
          <cell r="M204">
            <v>16.118397190717989</v>
          </cell>
          <cell r="N204">
            <v>16.161667452934559</v>
          </cell>
          <cell r="O204">
            <v>16.210895234536899</v>
          </cell>
          <cell r="P204">
            <v>16.454011470998374</v>
          </cell>
        </row>
        <row r="205">
          <cell r="B205" t="str">
            <v>EHYD-PUM00</v>
          </cell>
          <cell r="C205" t="str">
            <v>VAR_cap</v>
          </cell>
          <cell r="D205" t="str">
            <v>-</v>
          </cell>
          <cell r="E205">
            <v>3.3394499999999998</v>
          </cell>
          <cell r="F205">
            <v>3.97102894612105</v>
          </cell>
          <cell r="G205">
            <v>4.3594499999999998</v>
          </cell>
          <cell r="H205">
            <v>4.3594499999999998</v>
          </cell>
          <cell r="I205">
            <v>4.3594499999999998</v>
          </cell>
          <cell r="J205">
            <v>4.3594499999999998</v>
          </cell>
          <cell r="K205">
            <v>4.3594499999999998</v>
          </cell>
          <cell r="L205">
            <v>4.3594499999999998</v>
          </cell>
          <cell r="M205">
            <v>4.3594499999999998</v>
          </cell>
          <cell r="N205">
            <v>4.3594499999999998</v>
          </cell>
          <cell r="O205">
            <v>4.3594499999999998</v>
          </cell>
          <cell r="P205">
            <v>4.3594499999999998</v>
          </cell>
        </row>
        <row r="206">
          <cell r="B206" t="str">
            <v>RHNS-SHSTG-CHPNGA</v>
          </cell>
          <cell r="C206" t="str">
            <v>VAR_fout</v>
          </cell>
          <cell r="D206" t="str">
            <v>RHNS_LTH_CHPNGA</v>
          </cell>
          <cell r="E206">
            <v>3.3397978076458144E-4</v>
          </cell>
          <cell r="F206">
            <v>1.0012696488166575E-4</v>
          </cell>
          <cell r="G206">
            <v>1.2973836902786372E-3</v>
          </cell>
          <cell r="H206">
            <v>1.728217842048236E-3</v>
          </cell>
          <cell r="I206">
            <v>3.2547128878180195E-3</v>
          </cell>
          <cell r="J206">
            <v>3.1121926970884358E-3</v>
          </cell>
          <cell r="K206">
            <v>4.7155357466486256E-3</v>
          </cell>
          <cell r="L206">
            <v>1.015459534488301E-2</v>
          </cell>
          <cell r="M206">
            <v>5.5347032783721172E-3</v>
          </cell>
          <cell r="N206">
            <v>9.1895288260853657E-3</v>
          </cell>
          <cell r="O206">
            <v>9.4617297415521256E-3</v>
          </cell>
          <cell r="P206">
            <v>2.3137948126136534E-2</v>
          </cell>
        </row>
        <row r="207">
          <cell r="B207" t="str">
            <v>RHNS-SHSTG-CHPNGA</v>
          </cell>
          <cell r="C207" t="str">
            <v>VAR_fout</v>
          </cell>
          <cell r="D207" t="str">
            <v>AUX_RNS-CHPNGA_OUT</v>
          </cell>
          <cell r="E207">
            <v>3.3397978076458231E-4</v>
          </cell>
          <cell r="F207">
            <v>1.0006025804297074E-4</v>
          </cell>
          <cell r="G207">
            <v>1.2960336552211183E-3</v>
          </cell>
          <cell r="H207">
            <v>1.728217842048236E-3</v>
          </cell>
          <cell r="I207">
            <v>3.2517241707493202E-3</v>
          </cell>
          <cell r="J207">
            <v>3.1121926970884466E-3</v>
          </cell>
          <cell r="K207">
            <v>4.7116863297125963E-3</v>
          </cell>
          <cell r="L207">
            <v>1.0154595344883015E-2</v>
          </cell>
          <cell r="M207">
            <v>5.5347032783721242E-3</v>
          </cell>
          <cell r="N207">
            <v>9.1895288260853743E-3</v>
          </cell>
          <cell r="O207">
            <v>9.4617297415521412E-3</v>
          </cell>
          <cell r="P207">
            <v>2.3137948126136561E-2</v>
          </cell>
        </row>
        <row r="208">
          <cell r="B208" t="str">
            <v>RHNS-SHSTG-CHPNGA</v>
          </cell>
          <cell r="C208" t="str">
            <v>VAR_fin</v>
          </cell>
          <cell r="D208" t="str">
            <v>RHNS_LTH_CHPNGA</v>
          </cell>
          <cell r="E208">
            <v>2.5759416687030977E-4</v>
          </cell>
          <cell r="F208">
            <v>1.3539004075943201E-4</v>
          </cell>
          <cell r="G208">
            <v>1.6785346991980146E-3</v>
          </cell>
          <cell r="H208">
            <v>2.160961113924957E-3</v>
          </cell>
          <cell r="I208">
            <v>3.9506170216270196E-3</v>
          </cell>
          <cell r="J208">
            <v>3.6626030380051168E-3</v>
          </cell>
          <cell r="K208">
            <v>5.3892725893420288E-3</v>
          </cell>
          <cell r="L208">
            <v>1.1292127120704831E-2</v>
          </cell>
          <cell r="M208">
            <v>6.1530032675331889E-3</v>
          </cell>
          <cell r="N208">
            <v>1.0221164171983644E-2</v>
          </cell>
          <cell r="O208">
            <v>1.0518810173766109E-2</v>
          </cell>
          <cell r="P208">
            <v>2.5716652593219272E-2</v>
          </cell>
        </row>
        <row r="209">
          <cell r="B209" t="str">
            <v>RHNS-SHSTG-CHPNGA</v>
          </cell>
          <cell r="C209" t="str">
            <v>VAR_fin</v>
          </cell>
          <cell r="D209" t="str">
            <v>AUX_RNS-CHPNGA_IN</v>
          </cell>
          <cell r="E209">
            <v>2.5759416687030977E-4</v>
          </cell>
          <cell r="F209">
            <v>1.3539004075943201E-4</v>
          </cell>
          <cell r="G209">
            <v>1.6785346991980146E-3</v>
          </cell>
          <cell r="H209">
            <v>2.160961113924957E-3</v>
          </cell>
          <cell r="I209">
            <v>3.9506170216270196E-3</v>
          </cell>
          <cell r="J209">
            <v>3.6626030380051168E-3</v>
          </cell>
          <cell r="K209">
            <v>5.3892725893420288E-3</v>
          </cell>
          <cell r="L209">
            <v>1.1292127120704831E-2</v>
          </cell>
          <cell r="M209">
            <v>6.1530032675331889E-3</v>
          </cell>
          <cell r="N209">
            <v>1.0221164171983644E-2</v>
          </cell>
          <cell r="O209">
            <v>1.0518810173766109E-2</v>
          </cell>
          <cell r="P209">
            <v>2.5716652593219272E-2</v>
          </cell>
        </row>
        <row r="210">
          <cell r="B210" t="str">
            <v>RHNS-SHSTG-CHPNGA</v>
          </cell>
          <cell r="C210" t="str">
            <v>VAR_ncap</v>
          </cell>
          <cell r="D210" t="str">
            <v>-</v>
          </cell>
          <cell r="E210">
            <v>1.7375129093738599E-3</v>
          </cell>
          <cell r="F210">
            <v>5.1576923830625201E-5</v>
          </cell>
          <cell r="G210">
            <v>4.3726122301050602E-5</v>
          </cell>
          <cell r="H210">
            <v>2.0344844970675E-5</v>
          </cell>
          <cell r="I210">
            <v>1.3551495781108701E-3</v>
          </cell>
          <cell r="J210">
            <v>6.8164269456679198E-4</v>
          </cell>
          <cell r="K210">
            <v>1.41865640457832E-4</v>
          </cell>
          <cell r="L210">
            <v>2.2915362957456201E-3</v>
          </cell>
          <cell r="M210">
            <v>5.5431131650227E-5</v>
          </cell>
          <cell r="N210">
            <v>1.79775730466025E-3</v>
          </cell>
          <cell r="O210">
            <v>8.8914530179616796E-4</v>
          </cell>
          <cell r="P210">
            <v>4.2114724900974903E-3</v>
          </cell>
        </row>
        <row r="211">
          <cell r="B211" t="str">
            <v>RHNS-SHSTG-CHPNGA</v>
          </cell>
          <cell r="C211" t="str">
            <v>VAR_cap</v>
          </cell>
          <cell r="D211" t="str">
            <v>-</v>
          </cell>
          <cell r="E211">
            <v>1.7375129093738599E-3</v>
          </cell>
          <cell r="F211">
            <v>1.7860187666355763E-3</v>
          </cell>
          <cell r="G211">
            <v>1.8208073382872494E-3</v>
          </cell>
          <cell r="H211">
            <v>1.8134206607615189E-3</v>
          </cell>
          <cell r="I211">
            <v>1.855258289955735E-3</v>
          </cell>
          <cell r="J211">
            <v>2.0424526503557347E-3</v>
          </cell>
          <cell r="K211">
            <v>2.1566719364827804E-3</v>
          </cell>
          <cell r="L211">
            <v>3.0916667207779012E-3</v>
          </cell>
          <cell r="M211">
            <v>2.5128439407970582E-3</v>
          </cell>
          <cell r="N211">
            <v>4.1108550029619762E-3</v>
          </cell>
          <cell r="O211">
            <v>3.07925519706454E-3</v>
          </cell>
          <cell r="P211">
            <v>6.8625835350672026E-3</v>
          </cell>
        </row>
        <row r="212">
          <cell r="B212" t="str">
            <v>ITOT-CHPGFC</v>
          </cell>
          <cell r="C212" t="str">
            <v>VAR_fout</v>
          </cell>
          <cell r="D212" t="str">
            <v>ITOT_NKEV_GAS_ELC_CHP</v>
          </cell>
          <cell r="H212">
            <v>1.4548904266495379E-3</v>
          </cell>
          <cell r="I212">
            <v>2.0988607968315054E-3</v>
          </cell>
          <cell r="J212">
            <v>3.6714416118286326E-3</v>
          </cell>
          <cell r="K212">
            <v>4.8275675366552208E-3</v>
          </cell>
          <cell r="L212">
            <v>9.5217780900371841E-3</v>
          </cell>
          <cell r="M212">
            <v>7.6681833883452712E-3</v>
          </cell>
          <cell r="N212">
            <v>1.1564967236619617E-2</v>
          </cell>
          <cell r="O212">
            <v>1.2972675775143811E-2</v>
          </cell>
          <cell r="P212">
            <v>2.3478610850418608E-2</v>
          </cell>
        </row>
        <row r="213">
          <cell r="B213" t="str">
            <v>ITOT-CHPGFC</v>
          </cell>
          <cell r="C213" t="str">
            <v>VAR_fout</v>
          </cell>
          <cell r="D213" t="str">
            <v>ITOT_LTH_CHP</v>
          </cell>
          <cell r="H213">
            <v>7.2744521332476894E-4</v>
          </cell>
          <cell r="I213">
            <v>9.964774884039494E-4</v>
          </cell>
          <cell r="J213">
            <v>1.6504645777945235E-3</v>
          </cell>
          <cell r="K213">
            <v>2.0590783795487403E-3</v>
          </cell>
          <cell r="L213">
            <v>3.8421209836992185E-3</v>
          </cell>
          <cell r="M213">
            <v>3.0941792619638836E-3</v>
          </cell>
          <cell r="N213">
            <v>4.6665657270570423E-3</v>
          </cell>
          <cell r="O213">
            <v>5.2345884706720674E-3</v>
          </cell>
          <cell r="P213">
            <v>9.4738254308706846E-3</v>
          </cell>
        </row>
        <row r="214">
          <cell r="B214" t="str">
            <v>ITOT-CHPGFC</v>
          </cell>
          <cell r="C214" t="str">
            <v>VAR_fout</v>
          </cell>
          <cell r="D214" t="str">
            <v>CO2_I</v>
          </cell>
          <cell r="H214">
            <v>0.157799653967373</v>
          </cell>
          <cell r="I214">
            <v>0.22230187594609699</v>
          </cell>
          <cell r="J214">
            <v>0.37994368239841197</v>
          </cell>
          <cell r="K214">
            <v>0.48838530774413302</v>
          </cell>
          <cell r="L214">
            <v>0.94215488469841602</v>
          </cell>
          <cell r="M214">
            <v>0.75874656684679498</v>
          </cell>
          <cell r="N214">
            <v>1.1443230739392001</v>
          </cell>
          <cell r="O214">
            <v>1.28361212933002</v>
          </cell>
          <cell r="P214">
            <v>2.32314675783089</v>
          </cell>
        </row>
        <row r="215">
          <cell r="B215" t="str">
            <v>ITOT-CHPGFC</v>
          </cell>
          <cell r="C215" t="str">
            <v>VAR_fin</v>
          </cell>
          <cell r="D215" t="str">
            <v>INGA</v>
          </cell>
          <cell r="H215">
            <v>2.7978662050952628E-3</v>
          </cell>
          <cell r="I215">
            <v>3.9415226231577566E-3</v>
          </cell>
          <cell r="J215">
            <v>6.7365901134470302E-3</v>
          </cell>
          <cell r="K215">
            <v>8.6593139670945573E-3</v>
          </cell>
          <cell r="L215">
            <v>1.6704873842170509E-2</v>
          </cell>
          <cell r="M215">
            <v>1.3452953312886439E-2</v>
          </cell>
          <cell r="N215">
            <v>2.0289416204595841E-2</v>
          </cell>
          <cell r="O215">
            <v>2.2759080307269825E-2</v>
          </cell>
          <cell r="P215">
            <v>4.119054535161161E-2</v>
          </cell>
        </row>
        <row r="216">
          <cell r="B216" t="str">
            <v>ITOT-CHPGFC</v>
          </cell>
          <cell r="C216" t="str">
            <v>VAR_ncap</v>
          </cell>
          <cell r="D216" t="str">
            <v>-</v>
          </cell>
          <cell r="H216">
            <v>1.05742662686646E-4</v>
          </cell>
          <cell r="I216">
            <v>7.8936479800793095E-5</v>
          </cell>
          <cell r="J216">
            <v>7.2771067924143603E-5</v>
          </cell>
          <cell r="K216">
            <v>1.02727080617513E-4</v>
          </cell>
          <cell r="L216">
            <v>3.0457931921268902E-4</v>
          </cell>
          <cell r="M216">
            <v>2.3662113635884801E-6</v>
          </cell>
          <cell r="N216">
            <v>3.4381695382691902E-4</v>
          </cell>
          <cell r="O216">
            <v>2.1841179461505101E-4</v>
          </cell>
          <cell r="P216">
            <v>6.5242639638683796E-4</v>
          </cell>
        </row>
        <row r="217">
          <cell r="B217" t="str">
            <v>ITOT-CHPGFC</v>
          </cell>
          <cell r="C217" t="str">
            <v>VAR_cap</v>
          </cell>
          <cell r="D217" t="str">
            <v>-</v>
          </cell>
          <cell r="H217">
            <v>1.05742662686646E-4</v>
          </cell>
          <cell r="I217">
            <v>1.8462426172456873E-4</v>
          </cell>
          <cell r="J217">
            <v>2.3712447682675887E-4</v>
          </cell>
          <cell r="K217">
            <v>2.5425237975847044E-4</v>
          </cell>
          <cell r="L217">
            <v>4.7975688811357402E-4</v>
          </cell>
          <cell r="M217">
            <v>4.0677242714902813E-4</v>
          </cell>
          <cell r="N217">
            <v>6.5036023758455891E-4</v>
          </cell>
          <cell r="O217">
            <v>6.1731502909891176E-4</v>
          </cell>
          <cell r="P217">
            <v>1.2142005026368006E-3</v>
          </cell>
        </row>
        <row r="218">
          <cell r="B218" t="str">
            <v>ITOT-SWSTG-CHP</v>
          </cell>
          <cell r="C218" t="str">
            <v>VAR_fout</v>
          </cell>
          <cell r="D218" t="str">
            <v>ITOT_LTH_CHP</v>
          </cell>
          <cell r="E218">
            <v>1.3407430840123573E-3</v>
          </cell>
          <cell r="F218">
            <v>2.0558774581383424E-4</v>
          </cell>
          <cell r="G218">
            <v>0.15009305902815981</v>
          </cell>
          <cell r="H218">
            <v>3.3434539333873983E-2</v>
          </cell>
          <cell r="I218">
            <v>4.704898217445707E-2</v>
          </cell>
          <cell r="J218">
            <v>0.23684610222774474</v>
          </cell>
          <cell r="K218">
            <v>0.45857757993857223</v>
          </cell>
          <cell r="L218">
            <v>0.65831847898672802</v>
          </cell>
          <cell r="M218">
            <v>0.71658175601557361</v>
          </cell>
          <cell r="N218">
            <v>0.71567575125622496</v>
          </cell>
          <cell r="O218">
            <v>0.76747858228545851</v>
          </cell>
          <cell r="P218">
            <v>0.76857844124066488</v>
          </cell>
        </row>
        <row r="219">
          <cell r="B219" t="str">
            <v>ITOT-SWSTG-CHP</v>
          </cell>
          <cell r="C219" t="str">
            <v>VAR_fout</v>
          </cell>
          <cell r="D219" t="str">
            <v>AUX_ITOT-CHP_OUT</v>
          </cell>
          <cell r="E219">
            <v>1.3407430840123549E-3</v>
          </cell>
          <cell r="F219">
            <v>2.0541984198385992E-4</v>
          </cell>
          <cell r="G219">
            <v>0.14990161379980749</v>
          </cell>
          <cell r="H219">
            <v>3.3434539333874053E-2</v>
          </cell>
          <cell r="I219">
            <v>4.6996705527596633E-2</v>
          </cell>
          <cell r="J219">
            <v>0.23684610222774505</v>
          </cell>
          <cell r="K219">
            <v>0.45812975027066422</v>
          </cell>
          <cell r="L219">
            <v>0.65831847898672813</v>
          </cell>
          <cell r="M219">
            <v>0.71658175601557372</v>
          </cell>
          <cell r="N219">
            <v>0.71567575125622507</v>
          </cell>
          <cell r="O219">
            <v>0.76747858228545851</v>
          </cell>
          <cell r="P219">
            <v>0.76857844124066488</v>
          </cell>
        </row>
        <row r="220">
          <cell r="B220" t="str">
            <v>ITOT-SWSTG-CHP</v>
          </cell>
          <cell r="C220" t="str">
            <v>VAR_fin</v>
          </cell>
          <cell r="D220" t="str">
            <v>ITOT_LTH_CHP</v>
          </cell>
          <cell r="E220">
            <v>1.6808354945492734E-3</v>
          </cell>
          <cell r="F220">
            <v>2.5658128622078983E-4</v>
          </cell>
          <cell r="G220">
            <v>0.17869502311432192</v>
          </cell>
          <cell r="H220">
            <v>3.8437350274404126E-2</v>
          </cell>
          <cell r="I220">
            <v>5.2283326550358007E-2</v>
          </cell>
          <cell r="J220">
            <v>0.25467962748164413</v>
          </cell>
          <cell r="K220">
            <v>0.47769766603914771</v>
          </cell>
          <cell r="L220">
            <v>0.66498095915223909</v>
          </cell>
          <cell r="M220">
            <v>0.72382786579240099</v>
          </cell>
          <cell r="N220">
            <v>0.72292221951037938</v>
          </cell>
          <cell r="O220">
            <v>0.77524368975710556</v>
          </cell>
          <cell r="P220">
            <v>0.77636745695840248</v>
          </cell>
        </row>
        <row r="221">
          <cell r="B221" t="str">
            <v>ITOT-SWSTG-CHP</v>
          </cell>
          <cell r="C221" t="str">
            <v>VAR_fin</v>
          </cell>
          <cell r="D221" t="str">
            <v>AUX_ITOT-CHP_IN</v>
          </cell>
          <cell r="E221">
            <v>1.6808354945492734E-3</v>
          </cell>
          <cell r="F221">
            <v>2.5658128622078983E-4</v>
          </cell>
          <cell r="G221">
            <v>0.17869502311432192</v>
          </cell>
          <cell r="H221">
            <v>3.8437350274404126E-2</v>
          </cell>
          <cell r="I221">
            <v>5.2283326550358007E-2</v>
          </cell>
          <cell r="J221">
            <v>0.25467962748164413</v>
          </cell>
          <cell r="K221">
            <v>0.47769766603914771</v>
          </cell>
          <cell r="L221">
            <v>0.66498095915223909</v>
          </cell>
          <cell r="M221">
            <v>0.72382786579240099</v>
          </cell>
          <cell r="N221">
            <v>0.72292221951037938</v>
          </cell>
          <cell r="O221">
            <v>0.77524368975710556</v>
          </cell>
          <cell r="P221">
            <v>0.77636745695840248</v>
          </cell>
        </row>
        <row r="222">
          <cell r="B222" t="str">
            <v>ITOT-SWSTG-CHP</v>
          </cell>
          <cell r="C222" t="str">
            <v>VAR_ncap</v>
          </cell>
          <cell r="D222" t="str">
            <v>-</v>
          </cell>
          <cell r="E222">
            <v>2.8380518872594298E-3</v>
          </cell>
          <cell r="F222">
            <v>3.64807755123822E-5</v>
          </cell>
          <cell r="G222">
            <v>6.5515559780043604E-3</v>
          </cell>
          <cell r="H222">
            <v>1.6357982296209501E-5</v>
          </cell>
          <cell r="I222">
            <v>3.3390739522271098E-3</v>
          </cell>
          <cell r="J222">
            <v>5.6070536051217597E-2</v>
          </cell>
          <cell r="K222">
            <v>4.1769674607041597E-2</v>
          </cell>
          <cell r="L222">
            <v>3.8050623368300597E-2</v>
          </cell>
          <cell r="M222">
            <v>5.7566849803908901E-2</v>
          </cell>
          <cell r="N222">
            <v>5.6680790128363502E-2</v>
          </cell>
          <cell r="O222">
            <v>4.45412906379671E-2</v>
          </cell>
          <cell r="P222">
            <v>5.0811369973681401E-2</v>
          </cell>
        </row>
        <row r="223">
          <cell r="B223" t="str">
            <v>ITOT-SWSTG-CHP</v>
          </cell>
          <cell r="C223" t="str">
            <v>VAR_cap</v>
          </cell>
          <cell r="D223" t="str">
            <v>-</v>
          </cell>
          <cell r="E223">
            <v>2.847540789619895E-3</v>
          </cell>
          <cell r="F223">
            <v>2.8764360389097374E-3</v>
          </cell>
          <cell r="G223">
            <v>9.4185636009953208E-3</v>
          </cell>
          <cell r="H223">
            <v>9.3885513443376523E-3</v>
          </cell>
          <cell r="I223">
            <v>1.0612830915746767E-2</v>
          </cell>
          <cell r="J223">
            <v>6.0774970279400313E-2</v>
          </cell>
          <cell r="K223">
            <v>0.10115948998168582</v>
          </cell>
          <cell r="L223">
            <v>0.13586184505598611</v>
          </cell>
          <cell r="M223">
            <v>0.1404110372211908</v>
          </cell>
          <cell r="N223">
            <v>0.15226368240880109</v>
          </cell>
          <cell r="O223">
            <v>0.14722016302756219</v>
          </cell>
          <cell r="P223">
            <v>0.15199507290424918</v>
          </cell>
        </row>
        <row r="224">
          <cell r="B224" t="str">
            <v>D-ELFO</v>
          </cell>
          <cell r="C224" t="str">
            <v>VAR_fout</v>
          </cell>
          <cell r="D224" t="str">
            <v>CO2</v>
          </cell>
          <cell r="E224">
            <v>26.7911390171218</v>
          </cell>
          <cell r="F224">
            <v>16.3487996060109</v>
          </cell>
          <cell r="G224">
            <v>1.9190813430198801</v>
          </cell>
          <cell r="H224">
            <v>1.08158626912505</v>
          </cell>
          <cell r="I224">
            <v>1.38710899598334</v>
          </cell>
          <cell r="J224">
            <v>1.56016429212257</v>
          </cell>
          <cell r="K224">
            <v>3.1007773933080802</v>
          </cell>
          <cell r="L224">
            <v>5.7559048886095399</v>
          </cell>
          <cell r="M224">
            <v>3.3472841617183202</v>
          </cell>
          <cell r="N224">
            <v>4.1394341401786896</v>
          </cell>
          <cell r="O224">
            <v>4.4110588799709198</v>
          </cell>
          <cell r="P224">
            <v>6.1866037898374797</v>
          </cell>
        </row>
        <row r="225">
          <cell r="B225" t="str">
            <v>D-ELFO</v>
          </cell>
          <cell r="C225" t="str">
            <v>VAR_fout</v>
          </cell>
          <cell r="D225" t="str">
            <v>ELFO</v>
          </cell>
          <cell r="E225">
            <v>0.35744499013928555</v>
          </cell>
          <cell r="F225">
            <v>0.21812422794809277</v>
          </cell>
          <cell r="G225">
            <v>2.5604212321612675E-2</v>
          </cell>
          <cell r="H225">
            <v>1.4430427652035125E-2</v>
          </cell>
          <cell r="I225">
            <v>1.8506684656987203E-2</v>
          </cell>
          <cell r="J225">
            <v>2.0815573001842794E-2</v>
          </cell>
          <cell r="K225">
            <v>4.1370295755876335E-2</v>
          </cell>
          <cell r="L225">
            <v>7.679477027224707E-2</v>
          </cell>
          <cell r="M225">
            <v>4.4659167100515831E-2</v>
          </cell>
          <cell r="N225">
            <v>5.5227961546270667E-2</v>
          </cell>
          <cell r="O225">
            <v>5.8851954627511791E-2</v>
          </cell>
          <cell r="P225">
            <v>8.2541116644606727E-2</v>
          </cell>
        </row>
        <row r="226">
          <cell r="B226" t="str">
            <v>D-ELFO</v>
          </cell>
          <cell r="C226" t="str">
            <v>VAR_fin</v>
          </cell>
          <cell r="D226" t="str">
            <v>LFO</v>
          </cell>
          <cell r="E226">
            <v>0.3635161332038232</v>
          </cell>
          <cell r="F226">
            <v>0.22182903128915715</v>
          </cell>
          <cell r="G226">
            <v>2.6039095563363368E-2</v>
          </cell>
          <cell r="H226">
            <v>1.4675526039688634E-2</v>
          </cell>
          <cell r="I226">
            <v>1.8821017584577181E-2</v>
          </cell>
          <cell r="J226">
            <v>2.116912200980418E-2</v>
          </cell>
          <cell r="K226">
            <v>4.2072963274193763E-2</v>
          </cell>
          <cell r="L226">
            <v>7.8099116534729174E-2</v>
          </cell>
          <cell r="M226">
            <v>4.5417695545703088E-2</v>
          </cell>
          <cell r="N226">
            <v>5.6165999188313193E-2</v>
          </cell>
          <cell r="O226">
            <v>5.9851545182780401E-2</v>
          </cell>
          <cell r="P226">
            <v>8.3943063634158363E-2</v>
          </cell>
        </row>
        <row r="227">
          <cell r="B227" t="str">
            <v>EHYD-DAM00</v>
          </cell>
          <cell r="C227" t="str">
            <v>VAR_fout</v>
          </cell>
          <cell r="D227" t="str">
            <v>ELC</v>
          </cell>
          <cell r="E227">
            <v>66.745679999996938</v>
          </cell>
          <cell r="F227">
            <v>49.783149494695635</v>
          </cell>
          <cell r="G227">
            <v>68.476487541131561</v>
          </cell>
          <cell r="H227">
            <v>68.886974841799201</v>
          </cell>
          <cell r="I227">
            <v>69.966243658379085</v>
          </cell>
          <cell r="J227">
            <v>71.047650846497987</v>
          </cell>
          <cell r="K227">
            <v>71.393264076865606</v>
          </cell>
          <cell r="L227">
            <v>71.33800925937804</v>
          </cell>
          <cell r="M227">
            <v>71.33800263068288</v>
          </cell>
          <cell r="N227">
            <v>71.338005639907735</v>
          </cell>
          <cell r="O227">
            <v>71.337996408919693</v>
          </cell>
          <cell r="P227">
            <v>71.337828397776818</v>
          </cell>
        </row>
        <row r="228">
          <cell r="B228" t="str">
            <v>EHYD-DAM00</v>
          </cell>
          <cell r="C228" t="str">
            <v>VAR_fin</v>
          </cell>
          <cell r="D228" t="str">
            <v>HYDD</v>
          </cell>
          <cell r="E228">
            <v>66.745679999996938</v>
          </cell>
          <cell r="F228">
            <v>49.783149494695635</v>
          </cell>
          <cell r="G228">
            <v>68.476487541131561</v>
          </cell>
          <cell r="H228">
            <v>68.886974841799201</v>
          </cell>
          <cell r="I228">
            <v>69.966243658379085</v>
          </cell>
          <cell r="J228">
            <v>71.047650846497987</v>
          </cell>
          <cell r="K228">
            <v>71.393264076865606</v>
          </cell>
          <cell r="L228">
            <v>71.33800925937804</v>
          </cell>
          <cell r="M228">
            <v>71.33800263068288</v>
          </cell>
          <cell r="N228">
            <v>71.338005639907735</v>
          </cell>
          <cell r="O228">
            <v>71.337996408919693</v>
          </cell>
          <cell r="P228">
            <v>71.337828397776818</v>
          </cell>
        </row>
        <row r="229">
          <cell r="B229" t="str">
            <v>EHYD-DAM00</v>
          </cell>
          <cell r="C229" t="str">
            <v>VAR_cap</v>
          </cell>
          <cell r="D229" t="str">
            <v>-</v>
          </cell>
          <cell r="E229">
            <v>7.3394300010600002</v>
          </cell>
          <cell r="F229">
            <v>7.3394300010600002</v>
          </cell>
          <cell r="G229">
            <v>7.3394300010600002</v>
          </cell>
          <cell r="H229">
            <v>7.3394300010600002</v>
          </cell>
          <cell r="I229">
            <v>7.3394300010600002</v>
          </cell>
          <cell r="J229">
            <v>7.3394300010600002</v>
          </cell>
          <cell r="K229">
            <v>7.3394300010600002</v>
          </cell>
          <cell r="L229">
            <v>7.3394300010600002</v>
          </cell>
          <cell r="M229">
            <v>7.3394300010600002</v>
          </cell>
          <cell r="N229">
            <v>7.3394300010600002</v>
          </cell>
          <cell r="O229">
            <v>7.3394300010600002</v>
          </cell>
          <cell r="P229">
            <v>7.3394300010600002</v>
          </cell>
        </row>
        <row r="230">
          <cell r="B230" t="str">
            <v>RHES-SHSTG-CHPWOD</v>
          </cell>
          <cell r="C230" t="str">
            <v>VAR_fout</v>
          </cell>
          <cell r="D230" t="str">
            <v>AUX_RES-CHPWOD_OUT</v>
          </cell>
          <cell r="E230">
            <v>3.1040513034524418E-4</v>
          </cell>
          <cell r="F230">
            <v>2.2655522405275113E-4</v>
          </cell>
          <cell r="G230">
            <v>3.1738079110350218E-4</v>
          </cell>
          <cell r="H230">
            <v>8.9064775580106588E-4</v>
          </cell>
          <cell r="I230">
            <v>1.4979216306292317E-3</v>
          </cell>
          <cell r="J230">
            <v>1.6543148558251313E-3</v>
          </cell>
          <cell r="K230">
            <v>2.2406454671327404E-3</v>
          </cell>
          <cell r="L230">
            <v>5.1636315648732559E-3</v>
          </cell>
          <cell r="M230">
            <v>2.8731580976384522E-3</v>
          </cell>
          <cell r="N230">
            <v>6.1625538240449723E-3</v>
          </cell>
          <cell r="O230">
            <v>4.2815612413324529E-3</v>
          </cell>
          <cell r="P230">
            <v>1.012111086258948E-2</v>
          </cell>
        </row>
        <row r="231">
          <cell r="B231" t="str">
            <v>RHES-SHSTG-CHPWOD</v>
          </cell>
          <cell r="C231" t="str">
            <v>VAR_fout</v>
          </cell>
          <cell r="D231" t="str">
            <v>RHES_LTH_CHPWOD</v>
          </cell>
          <cell r="E231">
            <v>3.1040513034524326E-4</v>
          </cell>
          <cell r="F231">
            <v>2.2670626086878582E-4</v>
          </cell>
          <cell r="G231">
            <v>3.177113960942346E-4</v>
          </cell>
          <cell r="H231">
            <v>8.9064775580106588E-4</v>
          </cell>
          <cell r="I231">
            <v>1.4992983968338521E-3</v>
          </cell>
          <cell r="J231">
            <v>1.6543148558251254E-3</v>
          </cell>
          <cell r="K231">
            <v>2.2424760598346405E-3</v>
          </cell>
          <cell r="L231">
            <v>5.1636315648732473E-3</v>
          </cell>
          <cell r="M231">
            <v>2.8731580976384483E-3</v>
          </cell>
          <cell r="N231">
            <v>6.1625538240449697E-3</v>
          </cell>
          <cell r="O231">
            <v>4.2815612413324485E-3</v>
          </cell>
          <cell r="P231">
            <v>1.0121110862589468E-2</v>
          </cell>
        </row>
        <row r="232">
          <cell r="B232" t="str">
            <v>RHES-SHSTG-CHPWOD</v>
          </cell>
          <cell r="C232" t="str">
            <v>VAR_fin</v>
          </cell>
          <cell r="D232" t="str">
            <v>AUX_RES-CHPWOD_IN</v>
          </cell>
          <cell r="E232">
            <v>2.396708903357626E-4</v>
          </cell>
          <cell r="F232">
            <v>6.8807749875210477E-5</v>
          </cell>
          <cell r="G232">
            <v>2.4155050286204971E-4</v>
          </cell>
          <cell r="H232">
            <v>1.1080214010241224E-3</v>
          </cell>
          <cell r="I232">
            <v>1.8225308049417586E-3</v>
          </cell>
          <cell r="J232">
            <v>1.9462972110018688E-3</v>
          </cell>
          <cell r="K232">
            <v>2.5650517548200737E-3</v>
          </cell>
          <cell r="L232">
            <v>5.7472339617653479E-3</v>
          </cell>
          <cell r="M232">
            <v>3.1960419205920346E-3</v>
          </cell>
          <cell r="N232">
            <v>6.856880946410915E-3</v>
          </cell>
          <cell r="O232">
            <v>4.7624452435403126E-3</v>
          </cell>
          <cell r="P232">
            <v>1.1257410749202426E-2</v>
          </cell>
        </row>
        <row r="233">
          <cell r="B233" t="str">
            <v>RHES-SHSTG-CHPWOD</v>
          </cell>
          <cell r="C233" t="str">
            <v>VAR_fin</v>
          </cell>
          <cell r="D233" t="str">
            <v>RHES_LTH_CHPWOD</v>
          </cell>
          <cell r="E233">
            <v>2.396708903357626E-4</v>
          </cell>
          <cell r="F233">
            <v>6.8807749875210477E-5</v>
          </cell>
          <cell r="G233">
            <v>2.4155050286204971E-4</v>
          </cell>
          <cell r="H233">
            <v>1.1080214010241224E-3</v>
          </cell>
          <cell r="I233">
            <v>1.8225308049417586E-3</v>
          </cell>
          <cell r="J233">
            <v>1.9462972110018688E-3</v>
          </cell>
          <cell r="K233">
            <v>2.5650517548200737E-3</v>
          </cell>
          <cell r="L233">
            <v>5.7472339617653479E-3</v>
          </cell>
          <cell r="M233">
            <v>3.1960419205920346E-3</v>
          </cell>
          <cell r="N233">
            <v>6.856880946410915E-3</v>
          </cell>
          <cell r="O233">
            <v>4.7624452435403126E-3</v>
          </cell>
          <cell r="P233">
            <v>1.1257410749202426E-2</v>
          </cell>
        </row>
        <row r="234">
          <cell r="B234" t="str">
            <v>RHES-SHSTG-CHPWOD</v>
          </cell>
          <cell r="C234" t="str">
            <v>VAR_ncap</v>
          </cell>
          <cell r="D234" t="str">
            <v>-</v>
          </cell>
          <cell r="E234">
            <v>1.2749988588378999E-3</v>
          </cell>
          <cell r="F234">
            <v>3.0490704753176899E-5</v>
          </cell>
          <cell r="G234">
            <v>5.3612275167425E-5</v>
          </cell>
          <cell r="H234">
            <v>4.5041827932041303E-5</v>
          </cell>
          <cell r="I234">
            <v>1.41551103620702E-3</v>
          </cell>
          <cell r="J234">
            <v>6.1559384935311095E-4</v>
          </cell>
          <cell r="K234">
            <v>1.3091470079321199E-4</v>
          </cell>
          <cell r="L234">
            <v>2.29321607066302E-3</v>
          </cell>
          <cell r="M234">
            <v>5.3583487790122298E-5</v>
          </cell>
          <cell r="N234">
            <v>1.7790972259703901E-3</v>
          </cell>
          <cell r="O234">
            <v>8.96622068497993E-4</v>
          </cell>
          <cell r="P234">
            <v>4.2193334750043896E-3</v>
          </cell>
        </row>
        <row r="235">
          <cell r="B235" t="str">
            <v>RHES-SHSTG-CHPWOD</v>
          </cell>
          <cell r="C235" t="str">
            <v>VAR_cap</v>
          </cell>
          <cell r="D235" t="str">
            <v>-</v>
          </cell>
          <cell r="E235">
            <v>1.2749988588378999E-3</v>
          </cell>
          <cell r="F235">
            <v>1.3019037240450994E-3</v>
          </cell>
          <cell r="G235">
            <v>1.34607515515335E-3</v>
          </cell>
          <cell r="H235">
            <v>1.3729564028319185E-3</v>
          </cell>
          <cell r="I235">
            <v>1.8235065239483284E-3</v>
          </cell>
          <cell r="J235">
            <v>2.0543245759966728E-3</v>
          </cell>
          <cell r="K235">
            <v>2.1399043204726105E-3</v>
          </cell>
          <cell r="L235">
            <v>3.0163223246808218E-3</v>
          </cell>
          <cell r="M235">
            <v>2.4910879725929488E-3</v>
          </cell>
          <cell r="N235">
            <v>4.0902335742700486E-3</v>
          </cell>
          <cell r="O235">
            <v>3.0672296206720388E-3</v>
          </cell>
          <cell r="P235">
            <v>6.8596371377068217E-3</v>
          </cell>
        </row>
        <row r="236">
          <cell r="B236" t="str">
            <v>ENUC_GOE_EXT</v>
          </cell>
          <cell r="C236" t="str">
            <v>VAR_fout</v>
          </cell>
          <cell r="D236" t="str">
            <v>ELC</v>
          </cell>
          <cell r="E236"/>
          <cell r="F236"/>
          <cell r="G236">
            <v>21.59857749359691</v>
          </cell>
          <cell r="H236">
            <v>23.798117429250986</v>
          </cell>
          <cell r="I236">
            <v>24.202322949164117</v>
          </cell>
          <cell r="J236"/>
          <cell r="K236"/>
          <cell r="L236"/>
          <cell r="M236"/>
          <cell r="N236"/>
          <cell r="O236"/>
          <cell r="P236"/>
        </row>
        <row r="237">
          <cell r="B237" t="str">
            <v>ENUC_GOE_EXT</v>
          </cell>
          <cell r="C237" t="str">
            <v>VAR_fin</v>
          </cell>
          <cell r="D237" t="str">
            <v>URN</v>
          </cell>
          <cell r="E237"/>
          <cell r="F237"/>
          <cell r="G237">
            <v>65.138491480027952</v>
          </cell>
          <cell r="H237">
            <v>71.772016924055961</v>
          </cell>
          <cell r="I237">
            <v>72.991048030287089</v>
          </cell>
          <cell r="J237"/>
          <cell r="K237"/>
          <cell r="L237"/>
          <cell r="M237"/>
          <cell r="N237"/>
          <cell r="O237"/>
          <cell r="P237"/>
        </row>
        <row r="238">
          <cell r="B238" t="str">
            <v>ENUC_GOE_EXT</v>
          </cell>
          <cell r="C238" t="str">
            <v>VAR_ncap</v>
          </cell>
          <cell r="D238" t="str">
            <v>-</v>
          </cell>
          <cell r="E238"/>
          <cell r="F238"/>
          <cell r="G238">
            <v>0.822642557586034</v>
          </cell>
          <cell r="H238"/>
          <cell r="I238"/>
          <cell r="J238"/>
          <cell r="K238"/>
          <cell r="L238"/>
          <cell r="M238"/>
          <cell r="N238"/>
          <cell r="O238"/>
          <cell r="P238"/>
        </row>
        <row r="239">
          <cell r="B239" t="str">
            <v>ENUC_GOE_EXT</v>
          </cell>
          <cell r="C239" t="str">
            <v>VAR_cap</v>
          </cell>
          <cell r="D239" t="str">
            <v>-</v>
          </cell>
          <cell r="E239"/>
          <cell r="F239"/>
          <cell r="G239">
            <v>0.822642557586034</v>
          </cell>
          <cell r="H239">
            <v>0.82264247066515228</v>
          </cell>
          <cell r="I239">
            <v>0.8226423773424687</v>
          </cell>
          <cell r="J239"/>
          <cell r="K239"/>
          <cell r="L239"/>
          <cell r="M239"/>
          <cell r="N239"/>
          <cell r="O239"/>
          <cell r="P239"/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4.0776149674452906E-4</v>
          </cell>
          <cell r="I240">
            <v>1.5199104333008507E-3</v>
          </cell>
          <cell r="J240">
            <v>1.5237089809413686E-3</v>
          </cell>
          <cell r="K240">
            <v>1.5247687842197507E-3</v>
          </cell>
          <cell r="L240">
            <v>1.5307558409737977E-3</v>
          </cell>
          <cell r="M240">
            <v>1.6285764640869519E-3</v>
          </cell>
          <cell r="N240">
            <v>1.8733774623194274E-3</v>
          </cell>
          <cell r="O240">
            <v>2.5806499439526942E-3</v>
          </cell>
          <cell r="P240">
            <v>6.0761044763754848E-3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4.0776149674452906E-4</v>
          </cell>
          <cell r="I241">
            <v>1.5199104333008507E-3</v>
          </cell>
          <cell r="J241">
            <v>1.5237089809413686E-3</v>
          </cell>
          <cell r="K241">
            <v>1.5247687842197507E-3</v>
          </cell>
          <cell r="L241">
            <v>1.5307558409737977E-3</v>
          </cell>
          <cell r="M241">
            <v>1.6285764640869519E-3</v>
          </cell>
          <cell r="N241">
            <v>1.8733774623194274E-3</v>
          </cell>
          <cell r="O241">
            <v>2.5806499439526942E-3</v>
          </cell>
          <cell r="P241">
            <v>6.0761044763754848E-3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4.07761496744529E-4</v>
          </cell>
          <cell r="I242">
            <v>1.51991043330085E-3</v>
          </cell>
          <cell r="J242">
            <v>1.5237089809413699E-3</v>
          </cell>
          <cell r="K242">
            <v>1.52476878421975E-3</v>
          </cell>
          <cell r="L242">
            <v>1.5307558409737999E-3</v>
          </cell>
          <cell r="M242">
            <v>1.6285764640869499E-3</v>
          </cell>
          <cell r="N242">
            <v>1.87337746231943E-3</v>
          </cell>
          <cell r="O242">
            <v>2.5806499439526998E-3</v>
          </cell>
          <cell r="P242">
            <v>6.0761044763754796E-3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/>
          <cell r="H243">
            <v>2.20455820442216E-4</v>
          </cell>
          <cell r="I243">
            <v>1.0554449660741901E-6</v>
          </cell>
          <cell r="J243">
            <v>4.4946888243997701E-7</v>
          </cell>
          <cell r="K243">
            <v>1.0812291143353999E-6</v>
          </cell>
          <cell r="L243">
            <v>2.8629700375029402E-6</v>
          </cell>
          <cell r="M243">
            <v>2.6816688216802501E-4</v>
          </cell>
          <cell r="N243">
            <v>1.23472465689727E-5</v>
          </cell>
          <cell r="O243">
            <v>6.0139393781460005E-4</v>
          </cell>
          <cell r="P243"/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5.9149011799169598E-5</v>
          </cell>
          <cell r="I244">
            <v>2.20455820442216E-4</v>
          </cell>
          <cell r="J244">
            <v>2.2128962519732799E-4</v>
          </cell>
          <cell r="K244">
            <v>2.2213000067588E-4</v>
          </cell>
          <cell r="L244">
            <v>2.23041963405066E-4</v>
          </cell>
          <cell r="M244">
            <v>2.3783688147890501E-4</v>
          </cell>
          <cell r="N244">
            <v>2.7361599516837701E-4</v>
          </cell>
          <cell r="O244">
            <v>3.7698560959166901E-4</v>
          </cell>
          <cell r="P244">
            <v>8.8585226570343605E-4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4.336901967176226E-3</v>
          </cell>
          <cell r="F245">
            <v>1.6542114719132345E-3</v>
          </cell>
          <cell r="G245">
            <v>1.7957147343271669E-3</v>
          </cell>
          <cell r="H245">
            <v>7.2571291128026793E-4</v>
          </cell>
          <cell r="I245">
            <v>1.8933891989777955E-3</v>
          </cell>
          <cell r="J245">
            <v>1.3878750507598171E-3</v>
          </cell>
          <cell r="K245">
            <v>1.7355200471836317E-3</v>
          </cell>
          <cell r="L245">
            <v>3.2560028454337495E-3</v>
          </cell>
          <cell r="M245">
            <v>1.9742690128781567E-3</v>
          </cell>
          <cell r="N245">
            <v>3.9075178311476335E-3</v>
          </cell>
          <cell r="O245">
            <v>2.9959044545586695E-3</v>
          </cell>
          <cell r="P245">
            <v>6.6418554638828162E-3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55.822548314805744</v>
          </cell>
          <cell r="F246">
            <v>57.472496339381728</v>
          </cell>
          <cell r="G246">
            <v>52.917295963266469</v>
          </cell>
          <cell r="H246">
            <v>52.101398421904207</v>
          </cell>
          <cell r="I246">
            <v>50.862184374004059</v>
          </cell>
          <cell r="J246">
            <v>51.242392588744131</v>
          </cell>
          <cell r="K246">
            <v>50.458883000840608</v>
          </cell>
          <cell r="L246">
            <v>49.516144972559339</v>
          </cell>
          <cell r="M246">
            <v>48.988694707171454</v>
          </cell>
          <cell r="N246">
            <v>50.150918282046369</v>
          </cell>
          <cell r="O246">
            <v>47.853875109846214</v>
          </cell>
          <cell r="P246">
            <v>47.208408727285345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4.0981045872340539E-3</v>
          </cell>
          <cell r="F247">
            <v>1.1755793255169966E-3</v>
          </cell>
          <cell r="G247">
            <v>1.3420908251375241E-3</v>
          </cell>
          <cell r="H247">
            <v>5.5209314902119645E-4</v>
          </cell>
          <cell r="I247">
            <v>1.3589635420501625E-3</v>
          </cell>
          <cell r="J247">
            <v>1.0695382171541225E-3</v>
          </cell>
          <cell r="K247">
            <v>1.2976206344683049E-3</v>
          </cell>
          <cell r="L247">
            <v>2.577970199296736E-3</v>
          </cell>
          <cell r="M247">
            <v>1.5163786650324836E-3</v>
          </cell>
          <cell r="N247">
            <v>3.023964385174284E-3</v>
          </cell>
          <cell r="O247">
            <v>2.3313345079988071E-3</v>
          </cell>
          <cell r="P247">
            <v>5.1229279736272303E-3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25.755148895133932</v>
          </cell>
          <cell r="F248">
            <v>57.471752657147483</v>
          </cell>
          <cell r="G248">
            <v>52.915194805997885</v>
          </cell>
          <cell r="H248">
            <v>23.871241368389345</v>
          </cell>
          <cell r="I248">
            <v>50.861279369332657</v>
          </cell>
          <cell r="J248">
            <v>23.275263317998572</v>
          </cell>
          <cell r="K248">
            <v>50.457945422851857</v>
          </cell>
          <cell r="L248">
            <v>22.347964884839953</v>
          </cell>
          <cell r="M248">
            <v>48.987188269533604</v>
          </cell>
          <cell r="N248">
            <v>50.148032796236308</v>
          </cell>
          <cell r="O248">
            <v>47.851985292983862</v>
          </cell>
          <cell r="P248">
            <v>47.204352571633081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30.075754777919673</v>
          </cell>
          <cell r="F249">
            <v>3.5010239600515003E-3</v>
          </cell>
          <cell r="G249">
            <v>5.1776406347899435E-3</v>
          </cell>
          <cell r="H249">
            <v>28.231414605624472</v>
          </cell>
          <cell r="I249">
            <v>4.1347396455923427E-3</v>
          </cell>
          <cell r="J249">
            <v>27.969586684013425</v>
          </cell>
          <cell r="K249">
            <v>3.9321884166796661E-3</v>
          </cell>
          <cell r="L249">
            <v>27.174014060764137</v>
          </cell>
          <cell r="M249">
            <v>4.9514367002015842E-3</v>
          </cell>
          <cell r="N249">
            <v>9.7642828755756111E-3</v>
          </cell>
          <cell r="O249">
            <v>7.1678496638714513E-3</v>
          </cell>
          <cell r="P249">
            <v>1.5768429126474432E-2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4.1165460970425999E-7</v>
          </cell>
          <cell r="F250">
            <v>2.7422859775264302E-7</v>
          </cell>
          <cell r="G250">
            <v>2.6494900434432799E-7</v>
          </cell>
          <cell r="H250">
            <v>2.9876192878956098E-7</v>
          </cell>
          <cell r="I250">
            <v>7.7250479947177698E-7</v>
          </cell>
          <cell r="J250">
            <v>8.5068837533252495E-7</v>
          </cell>
          <cell r="K250">
            <v>1.25337613460947E-6</v>
          </cell>
          <cell r="L250">
            <v>1.07827818512431E-6</v>
          </cell>
          <cell r="M250">
            <v>2.2575212084977499E-6</v>
          </cell>
          <cell r="N250">
            <v>4.4282087309987903E-6</v>
          </cell>
          <cell r="O250">
            <v>7.9814594897531297E-6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4.4927374970064227</v>
          </cell>
          <cell r="G251">
            <v>4.4927380490454167</v>
          </cell>
          <cell r="H251">
            <v>4.4927384783700504</v>
          </cell>
          <cell r="I251">
            <v>4.4927387987893148</v>
          </cell>
          <cell r="J251">
            <v>4.4927397129887545</v>
          </cell>
          <cell r="K251">
            <v>4.4927408394363519</v>
          </cell>
          <cell r="L251">
            <v>4.4927414893256596</v>
          </cell>
          <cell r="M251">
            <v>4.4927438096679513</v>
          </cell>
          <cell r="N251">
            <v>4.4927458915168739</v>
          </cell>
          <cell r="O251">
            <v>4.4927530963187641</v>
          </cell>
          <cell r="P251">
            <v>4.4927572347932738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8.5248287667995476E-4</v>
          </cell>
          <cell r="I252">
            <v>3.4244292022327615E-3</v>
          </cell>
          <cell r="J252">
            <v>4.8746452369290913E-3</v>
          </cell>
          <cell r="K252">
            <v>4.911422725804717E-3</v>
          </cell>
          <cell r="L252">
            <v>6.1833796730954484E-3</v>
          </cell>
          <cell r="M252">
            <v>4.0434176749297376E-3</v>
          </cell>
          <cell r="N252">
            <v>9.4236340851153611E-3</v>
          </cell>
          <cell r="O252">
            <v>7.2370073442995656E-3</v>
          </cell>
          <cell r="P252">
            <v>4.496885809565742E-2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8.5248287667995476E-4</v>
          </cell>
          <cell r="I253">
            <v>3.4244292022327615E-3</v>
          </cell>
          <cell r="J253">
            <v>4.8746452369290913E-3</v>
          </cell>
          <cell r="K253">
            <v>4.911422725804717E-3</v>
          </cell>
          <cell r="L253">
            <v>6.1833796730954484E-3</v>
          </cell>
          <cell r="M253">
            <v>4.0434176749297376E-3</v>
          </cell>
          <cell r="N253">
            <v>9.4236340851153611E-3</v>
          </cell>
          <cell r="O253">
            <v>7.2370073442995656E-3</v>
          </cell>
          <cell r="P253">
            <v>4.496885809565742E-2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1.52780630472009E-4</v>
          </cell>
          <cell r="I254">
            <v>2.5487222754748499E-4</v>
          </cell>
          <cell r="J254">
            <v>3.5779374298196802E-4</v>
          </cell>
          <cell r="K254">
            <v>4.01155797995154E-4</v>
          </cell>
          <cell r="L254">
            <v>6.1141081394127701E-5</v>
          </cell>
          <cell r="M254">
            <v>1.6113917358578201E-4</v>
          </cell>
          <cell r="N254">
            <v>4.6015722498623601E-4</v>
          </cell>
          <cell r="O254">
            <v>4.2076255110523098E-4</v>
          </cell>
          <cell r="P254">
            <v>2.83590921345616E-3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1.52780630472009E-4</v>
          </cell>
          <cell r="I255">
            <v>3.7086055110881498E-4</v>
          </cell>
          <cell r="J255">
            <v>4.1131613031403398E-4</v>
          </cell>
          <cell r="K255">
            <v>4.01155797995154E-4</v>
          </cell>
          <cell r="L255">
            <v>4.62296879389282E-4</v>
          </cell>
          <cell r="M255">
            <v>2.4133841477742699E-4</v>
          </cell>
          <cell r="N255">
            <v>5.8249120506296702E-4</v>
          </cell>
          <cell r="O255">
            <v>5.0226648379726995E-4</v>
          </cell>
          <cell r="P255">
            <v>3.2566717645613899E-3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1.4919139440579203E-5</v>
          </cell>
          <cell r="I256">
            <v>3.9507056631707122E-4</v>
          </cell>
          <cell r="J256">
            <v>1.2911172069829042E-3</v>
          </cell>
          <cell r="K256">
            <v>1.5559028937201164E-3</v>
          </cell>
          <cell r="L256">
            <v>1.5673088346550761E-3</v>
          </cell>
          <cell r="M256">
            <v>1.5713057425249511E-3</v>
          </cell>
          <cell r="N256">
            <v>1.6176459896816049E-3</v>
          </cell>
          <cell r="O256">
            <v>1.3253956669239976E-3</v>
          </cell>
          <cell r="P256">
            <v>2.6206427251063693E-3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1.4919139440579203E-5</v>
          </cell>
          <cell r="I257">
            <v>3.9507056631707122E-4</v>
          </cell>
          <cell r="J257">
            <v>1.2911172069829042E-3</v>
          </cell>
          <cell r="K257">
            <v>1.5559028937201164E-3</v>
          </cell>
          <cell r="L257">
            <v>1.5673088346550761E-3</v>
          </cell>
          <cell r="M257">
            <v>1.5713057425249511E-3</v>
          </cell>
          <cell r="N257">
            <v>1.6176459896816049E-3</v>
          </cell>
          <cell r="O257">
            <v>1.3253956669239976E-3</v>
          </cell>
          <cell r="P257">
            <v>2.6206427251063693E-3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1.4919139440579199E-5</v>
          </cell>
          <cell r="I258">
            <v>3.9507056631707101E-4</v>
          </cell>
          <cell r="J258">
            <v>1.2911172069829E-3</v>
          </cell>
          <cell r="K258">
            <v>1.5559028937201199E-3</v>
          </cell>
          <cell r="L258">
            <v>1.56730883465508E-3</v>
          </cell>
          <cell r="M258">
            <v>1.57130574252495E-3</v>
          </cell>
          <cell r="N258">
            <v>1.6176459896816099E-3</v>
          </cell>
          <cell r="O258">
            <v>1.325395666924E-3</v>
          </cell>
          <cell r="P258">
            <v>2.6206427251063702E-3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4.3242875201308199E-6</v>
          </cell>
          <cell r="I259">
            <v>1.0956648461849001E-4</v>
          </cell>
          <cell r="J259">
            <v>2.6044917616509998E-4</v>
          </cell>
          <cell r="K259">
            <v>7.64925536541955E-5</v>
          </cell>
          <cell r="L259">
            <v>4.0084719760767596E-6</v>
          </cell>
          <cell r="M259">
            <v>3.39783482676574E-6</v>
          </cell>
          <cell r="N259">
            <v>1.6373255591319299E-5</v>
          </cell>
          <cell r="O259">
            <v>4.8107284982655901E-5</v>
          </cell>
          <cell r="P259">
            <v>6.1622837285531696E-4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4.3242875201308199E-6</v>
          </cell>
          <cell r="I260">
            <v>1.1389077213862001E-4</v>
          </cell>
          <cell r="J260">
            <v>3.7433994830372001E-4</v>
          </cell>
          <cell r="K260">
            <v>4.5083250195791498E-4</v>
          </cell>
          <cell r="L260">
            <v>4.5484097393399202E-4</v>
          </cell>
          <cell r="M260">
            <v>4.5707858839080697E-4</v>
          </cell>
          <cell r="N260">
            <v>4.70287776831946E-4</v>
          </cell>
          <cell r="O260">
            <v>3.87461893024633E-4</v>
          </cell>
          <cell r="P260">
            <v>7.6460777388632996E-4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6.5070003715803306</v>
          </cell>
          <cell r="F261">
            <v>7.3027685645083071</v>
          </cell>
          <cell r="G261">
            <v>7.7034798059781844</v>
          </cell>
          <cell r="H261">
            <v>7.3981415056795852</v>
          </cell>
          <cell r="I261">
            <v>7.4918623048020727</v>
          </cell>
          <cell r="J261">
            <v>7.6680287472978952</v>
          </cell>
          <cell r="K261">
            <v>7.848450706343705</v>
          </cell>
          <cell r="L261">
            <v>8.0332949330900973</v>
          </cell>
          <cell r="M261">
            <v>8.0332833298814244</v>
          </cell>
          <cell r="N261">
            <v>8.0332884049366609</v>
          </cell>
          <cell r="O261">
            <v>8.0332900645404344</v>
          </cell>
          <cell r="P261">
            <v>8.0333263418927388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1689.29329288641</v>
          </cell>
          <cell r="F262">
            <v>1895.8840096899301</v>
          </cell>
          <cell r="G262">
            <v>1999.9133279539501</v>
          </cell>
          <cell r="H262">
            <v>1920.64393909568</v>
          </cell>
          <cell r="I262">
            <v>1944.9749531298901</v>
          </cell>
          <cell r="J262">
            <v>1990.7098190812801</v>
          </cell>
          <cell r="K262">
            <v>2037.54946682998</v>
          </cell>
          <cell r="L262">
            <v>2085.5371869222099</v>
          </cell>
          <cell r="M262">
            <v>2085.5341745937299</v>
          </cell>
          <cell r="N262">
            <v>2085.53549213734</v>
          </cell>
          <cell r="O262">
            <v>2085.53592298986</v>
          </cell>
          <cell r="P262">
            <v>2085.54534101421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18.203591518172477</v>
          </cell>
          <cell r="F263">
            <v>20.42978458717597</v>
          </cell>
          <cell r="G263">
            <v>21.550790171917555</v>
          </cell>
          <cell r="H263">
            <v>20.69659417128959</v>
          </cell>
          <cell r="I263">
            <v>20.958781822520375</v>
          </cell>
          <cell r="J263">
            <v>21.451614429755175</v>
          </cell>
          <cell r="K263">
            <v>21.956352013254126</v>
          </cell>
          <cell r="L263">
            <v>22.47346106597216</v>
          </cell>
          <cell r="M263">
            <v>22.473428605535837</v>
          </cell>
          <cell r="N263">
            <v>22.473442803204087</v>
          </cell>
          <cell r="O263">
            <v>22.473447446011438</v>
          </cell>
          <cell r="P263">
            <v>22.473548933342769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1.9874017917066301E-7</v>
          </cell>
          <cell r="G264">
            <v>4.5523063355781201E-7</v>
          </cell>
          <cell r="H264">
            <v>6.2421247226905903E-2</v>
          </cell>
          <cell r="I264">
            <v>9.6168696317859903E-2</v>
          </cell>
          <cell r="J264">
            <v>3.0523081489506099E-2</v>
          </cell>
          <cell r="K264">
            <v>7.8070308023030097E-2</v>
          </cell>
          <cell r="L264">
            <v>2.77575104989084E-2</v>
          </cell>
          <cell r="M264">
            <v>2.1495028537352301E-2</v>
          </cell>
          <cell r="N264">
            <v>4.5679342959401903E-2</v>
          </cell>
          <cell r="O264">
            <v>9.2523379601669398E-2</v>
          </cell>
          <cell r="P264">
            <v>4.7784930093472802E-2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0.28738579568292544</v>
          </cell>
          <cell r="F265">
            <v>0.28738383344935359</v>
          </cell>
          <cell r="G265">
            <v>0.28738317953059483</v>
          </cell>
          <cell r="H265">
            <v>0.27599249212753985</v>
          </cell>
          <cell r="I265">
            <v>0.27948904070634761</v>
          </cell>
          <cell r="J265">
            <v>0.28606108173327194</v>
          </cell>
          <cell r="K265">
            <v>0.29279175807912211</v>
          </cell>
          <cell r="L265">
            <v>0.29968822940540407</v>
          </cell>
          <cell r="M265">
            <v>0.29968715597985263</v>
          </cell>
          <cell r="N265">
            <v>0.29969274518715094</v>
          </cell>
          <cell r="O265">
            <v>0.30830236141870582</v>
          </cell>
          <cell r="P265">
            <v>0.31330908950169123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0.43673267029149393</v>
          </cell>
          <cell r="F266">
            <v>0.55206685893644225</v>
          </cell>
          <cell r="G266">
            <v>0.95313303454226073</v>
          </cell>
          <cell r="H266">
            <v>2.2168889321866887</v>
          </cell>
          <cell r="I266">
            <v>3.6683616609161849</v>
          </cell>
          <cell r="J266">
            <v>5.7109670792628267</v>
          </cell>
          <cell r="K266">
            <v>5.7750295071035982</v>
          </cell>
          <cell r="L266">
            <v>5.7754413999220064</v>
          </cell>
          <cell r="M266">
            <v>5.7997830347435615</v>
          </cell>
          <cell r="N266">
            <v>6.1162782872669474</v>
          </cell>
          <cell r="O266">
            <v>6.1163395382348913</v>
          </cell>
          <cell r="P266">
            <v>6.1204189245320197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0.43673267029149393</v>
          </cell>
          <cell r="F267">
            <v>0.55206685893644225</v>
          </cell>
          <cell r="G267">
            <v>0.95313303454226073</v>
          </cell>
          <cell r="H267">
            <v>2.2168889321866887</v>
          </cell>
          <cell r="I267">
            <v>3.6683616609161849</v>
          </cell>
          <cell r="J267">
            <v>5.7109670792628267</v>
          </cell>
          <cell r="K267">
            <v>5.7750295071035982</v>
          </cell>
          <cell r="L267">
            <v>5.7754413999220064</v>
          </cell>
          <cell r="M267">
            <v>5.7997830347435615</v>
          </cell>
          <cell r="N267">
            <v>6.1162782872669474</v>
          </cell>
          <cell r="O267">
            <v>6.1163395382348913</v>
          </cell>
          <cell r="P267">
            <v>6.1204189245320197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3.5000218781638655</v>
          </cell>
          <cell r="F268">
            <v>1.8839662812309099</v>
          </cell>
          <cell r="G268">
            <v>2.5524734171951406</v>
          </cell>
          <cell r="H268">
            <v>5.0459713791281633</v>
          </cell>
          <cell r="I268">
            <v>5.4077328433039122</v>
          </cell>
          <cell r="J268">
            <v>5.7157424389663847</v>
          </cell>
          <cell r="K268">
            <v>4.6163526514946458</v>
          </cell>
          <cell r="L268">
            <v>2.4853951016320517</v>
          </cell>
          <cell r="M268">
            <v>1.506219743969101</v>
          </cell>
          <cell r="N268">
            <v>1.4632392081705268</v>
          </cell>
          <cell r="O268">
            <v>1.5092657681664789</v>
          </cell>
          <cell r="P268">
            <v>1.2800962610610294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3.5000218781638655</v>
          </cell>
          <cell r="F269">
            <v>1.8839662812309099</v>
          </cell>
          <cell r="G269">
            <v>2.5524734171951406</v>
          </cell>
          <cell r="H269">
            <v>5.0459713791281633</v>
          </cell>
          <cell r="I269">
            <v>5.4077328433039122</v>
          </cell>
          <cell r="J269">
            <v>5.7157424389663847</v>
          </cell>
          <cell r="K269">
            <v>4.6163526514946458</v>
          </cell>
          <cell r="L269">
            <v>2.4853951016320517</v>
          </cell>
          <cell r="M269">
            <v>1.506219743969101</v>
          </cell>
          <cell r="N269">
            <v>1.4632392081705268</v>
          </cell>
          <cell r="O269">
            <v>1.5092657681664789</v>
          </cell>
          <cell r="P269">
            <v>1.2800962610610294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1.2790455231112203</v>
          </cell>
          <cell r="F270">
            <v>1.154334836306109</v>
          </cell>
          <cell r="G270">
            <v>0.98969992822343134</v>
          </cell>
          <cell r="H270">
            <v>0.7658139411045024</v>
          </cell>
          <cell r="I270">
            <v>0.59815153148080036</v>
          </cell>
          <cell r="J270">
            <v>0.46287885197152917</v>
          </cell>
          <cell r="K270">
            <v>0.35816961607320097</v>
          </cell>
          <cell r="L270">
            <v>0.27715238020238114</v>
          </cell>
          <cell r="M270">
            <v>0.21446257527260773</v>
          </cell>
          <cell r="N270">
            <v>0.16596983039021812</v>
          </cell>
          <cell r="O270">
            <v>0.12843958572144368</v>
          </cell>
          <cell r="P270">
            <v>9.9444444522226519E-2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1.8272078901588846</v>
          </cell>
          <cell r="F271">
            <v>1.6490497661515846</v>
          </cell>
          <cell r="G271">
            <v>1.4138570403191881</v>
          </cell>
          <cell r="H271">
            <v>1.0940199158635753</v>
          </cell>
          <cell r="I271">
            <v>0.85450218782971465</v>
          </cell>
          <cell r="J271">
            <v>0.66125550281647016</v>
          </cell>
          <cell r="K271">
            <v>0.5116708801045724</v>
          </cell>
          <cell r="L271">
            <v>0.39593197171768701</v>
          </cell>
          <cell r="M271">
            <v>0.30637510753229663</v>
          </cell>
          <cell r="N271">
            <v>0.23709975770031158</v>
          </cell>
          <cell r="O271">
            <v>0.18348512245920529</v>
          </cell>
          <cell r="P271">
            <v>0.14206349217460928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0.16223358107459401</v>
          </cell>
          <cell r="F272">
            <v>9.5188036873916E-7</v>
          </cell>
          <cell r="G272">
            <v>8.7924339796944103E-7</v>
          </cell>
          <cell r="H272">
            <v>9.2028330285371899E-7</v>
          </cell>
          <cell r="I272">
            <v>5.5732456542573397E-6</v>
          </cell>
          <cell r="J272">
            <v>1.27458162357076E-5</v>
          </cell>
          <cell r="K272">
            <v>4.54148524560773E-2</v>
          </cell>
          <cell r="L272">
            <v>6.6209394872845702E-6</v>
          </cell>
          <cell r="M272">
            <v>4.9303875107711804E-6</v>
          </cell>
          <cell r="N272">
            <v>2.2547968013231299E-5</v>
          </cell>
          <cell r="O272">
            <v>1.6393368479439799E-2</v>
          </cell>
          <cell r="P272">
            <v>1.0606814508883599E-4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0.16223358107459401</v>
          </cell>
          <cell r="F273">
            <v>0.16223453295496301</v>
          </cell>
          <cell r="G273">
            <v>0.16223541219836099</v>
          </cell>
          <cell r="H273">
            <v>0.162236332481664</v>
          </cell>
          <cell r="I273">
            <v>0.162241905727318</v>
          </cell>
          <cell r="J273">
            <v>6.7326873874738596E-2</v>
          </cell>
          <cell r="K273">
            <v>4.5433955792145798E-2</v>
          </cell>
          <cell r="L273">
            <v>4.5439792457454602E-2</v>
          </cell>
          <cell r="M273">
            <v>4.5439152654138802E-2</v>
          </cell>
          <cell r="N273">
            <v>4.5448951751088602E-2</v>
          </cell>
          <cell r="O273">
            <v>1.6427467774451001E-2</v>
          </cell>
          <cell r="P273">
            <v>1.6526914980052598E-2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  <cell r="I274"/>
          <cell r="J274">
            <v>2.0491289985745648E-2</v>
          </cell>
          <cell r="K274">
            <v>3.6046094436879503</v>
          </cell>
          <cell r="L274">
            <v>8.6596158644076695</v>
          </cell>
          <cell r="M274">
            <v>9.7681290897298201</v>
          </cell>
          <cell r="N274">
            <v>11.500126863775902</v>
          </cell>
          <cell r="O274">
            <v>12.425254265757221</v>
          </cell>
          <cell r="P274">
            <v>11.386079094328183</v>
          </cell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  <cell r="I275"/>
          <cell r="J275">
            <v>1.9435314869361899</v>
          </cell>
          <cell r="K275">
            <v>325.66124012402503</v>
          </cell>
          <cell r="L275">
            <v>778.264533293868</v>
          </cell>
          <cell r="M275">
            <v>883.70064465175801</v>
          </cell>
          <cell r="N275">
            <v>1040.2569947320901</v>
          </cell>
          <cell r="O275">
            <v>1124.0250455554899</v>
          </cell>
          <cell r="P275">
            <v>1030.1826374510499</v>
          </cell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  <cell r="I276"/>
          <cell r="J276">
            <v>3.4459778137166407E-2</v>
          </cell>
          <cell r="K276">
            <v>5.7741354631919357</v>
          </cell>
          <cell r="L276">
            <v>13.799016547763605</v>
          </cell>
          <cell r="M276">
            <v>15.668451146307762</v>
          </cell>
          <cell r="N276">
            <v>18.444272956242767</v>
          </cell>
          <cell r="O276">
            <v>19.929522084317163</v>
          </cell>
          <cell r="P276">
            <v>18.265649600195914</v>
          </cell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  <cell r="I277"/>
          <cell r="J277">
            <v>2.0775529402333199E-3</v>
          </cell>
          <cell r="K277">
            <v>0.18080073346688413</v>
          </cell>
          <cell r="L277">
            <v>0.36969577666261438</v>
          </cell>
          <cell r="M277">
            <v>0.57868507575802919</v>
          </cell>
          <cell r="N277">
            <v>0.67934902787492468</v>
          </cell>
          <cell r="O277">
            <v>0.73859457025097242</v>
          </cell>
          <cell r="P277">
            <v>0.68392528136265807</v>
          </cell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  <cell r="I278"/>
          <cell r="J278">
            <v>5.3927411334386199E-3</v>
          </cell>
          <cell r="K278">
            <v>0.36430480033791901</v>
          </cell>
          <cell r="L278">
            <v>8.5872194597758605E-2</v>
          </cell>
          <cell r="M278">
            <v>0.223775106038126</v>
          </cell>
          <cell r="N278">
            <v>4.2051915827638797E-5</v>
          </cell>
          <cell r="O278">
            <v>0.128388841958299</v>
          </cell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  <cell r="I279"/>
          <cell r="J279">
            <v>2.0775529402333199E-3</v>
          </cell>
          <cell r="K279">
            <v>0.18080073346688452</v>
          </cell>
          <cell r="L279">
            <v>0.36969577666261444</v>
          </cell>
          <cell r="M279">
            <v>0.57868507575802941</v>
          </cell>
          <cell r="N279">
            <v>0.67934902787492479</v>
          </cell>
          <cell r="O279">
            <v>0.73859457025097153</v>
          </cell>
          <cell r="P279">
            <v>0.6839252813626574</v>
          </cell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1522.48119009625</v>
          </cell>
          <cell r="F280">
            <v>1432.69859395609</v>
          </cell>
          <cell r="G280">
            <v>1526.2256646061401</v>
          </cell>
          <cell r="H280">
            <v>1849.1262194603</v>
          </cell>
          <cell r="I280">
            <v>2137.3667258349801</v>
          </cell>
          <cell r="J280">
            <v>2120.7607285848399</v>
          </cell>
          <cell r="K280">
            <v>2013.85127852818</v>
          </cell>
          <cell r="L280">
            <v>1740.14072606535</v>
          </cell>
          <cell r="M280">
            <v>1709.5565995417701</v>
          </cell>
          <cell r="N280">
            <v>1687.54438110808</v>
          </cell>
          <cell r="O280">
            <v>1691.30774141898</v>
          </cell>
          <cell r="P280">
            <v>1662.2461742098801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27.212967609018463</v>
          </cell>
          <cell r="F281">
            <v>28.488364981930307</v>
          </cell>
          <cell r="G281">
            <v>26.997416102123442</v>
          </cell>
          <cell r="H281">
            <v>32.682207148066617</v>
          </cell>
          <cell r="I281">
            <v>37.776578384959834</v>
          </cell>
          <cell r="J281">
            <v>37.483087469527938</v>
          </cell>
          <cell r="K281">
            <v>35.593582574580374</v>
          </cell>
          <cell r="L281">
            <v>30.755987888631779</v>
          </cell>
          <cell r="M281">
            <v>30.215451391326784</v>
          </cell>
          <cell r="N281">
            <v>29.826288825858647</v>
          </cell>
          <cell r="O281">
            <v>29.89275689735398</v>
          </cell>
          <cell r="P281">
            <v>29.379617023649743</v>
          </cell>
        </row>
        <row r="282">
          <cell r="B282" t="str">
            <v>D-SNGA</v>
          </cell>
          <cell r="C282" t="str">
            <v>VAR_fout</v>
          </cell>
          <cell r="D282" t="str">
            <v>RSH2</v>
          </cell>
          <cell r="E282"/>
          <cell r="F282"/>
          <cell r="G282"/>
          <cell r="H282">
            <v>1.3343987491182417E-3</v>
          </cell>
          <cell r="I282">
            <v>3.1247626950772064E-3</v>
          </cell>
          <cell r="J282">
            <v>3.4215119399669792E-3</v>
          </cell>
          <cell r="K282">
            <v>3.2121073493960213E-3</v>
          </cell>
          <cell r="L282">
            <v>1.1110469402349771E-2</v>
          </cell>
          <cell r="M282">
            <v>9.6025681228320472E-3</v>
          </cell>
          <cell r="N282">
            <v>5.365624849363957E-2</v>
          </cell>
          <cell r="O282">
            <v>6.7151400007128145E-2</v>
          </cell>
          <cell r="P282">
            <v>7.0686092545032247E-2</v>
          </cell>
        </row>
        <row r="283">
          <cell r="B283" t="str">
            <v>D-SNGA</v>
          </cell>
          <cell r="C283" t="str">
            <v>VAR_fin</v>
          </cell>
          <cell r="D283" t="str">
            <v>NGA</v>
          </cell>
          <cell r="E283">
            <v>26.994347342132077</v>
          </cell>
          <cell r="F283">
            <v>25.402457339646975</v>
          </cell>
          <cell r="G283">
            <v>27.060738734151489</v>
          </cell>
          <cell r="H283">
            <v>32.785925876955709</v>
          </cell>
          <cell r="I283">
            <v>37.89657315310248</v>
          </cell>
          <cell r="J283">
            <v>37.602140577745466</v>
          </cell>
          <cell r="K283">
            <v>35.706582952627222</v>
          </cell>
          <cell r="L283">
            <v>30.853558972789941</v>
          </cell>
          <cell r="M283">
            <v>30.311287225917891</v>
          </cell>
          <cell r="N283">
            <v>29.920999665036891</v>
          </cell>
          <cell r="O283">
            <v>29.98772591168407</v>
          </cell>
          <cell r="P283">
            <v>29.472449897338294</v>
          </cell>
        </row>
        <row r="284">
          <cell r="B284" t="str">
            <v>D-SNGA</v>
          </cell>
          <cell r="C284" t="str">
            <v>VAR_fin</v>
          </cell>
          <cell r="D284" t="str">
            <v>BNGA</v>
          </cell>
          <cell r="E284">
            <v>0.30555534625950209</v>
          </cell>
          <cell r="F284">
            <v>3.1769171310864701</v>
          </cell>
          <cell r="G284">
            <v>2.2923842278861045E-2</v>
          </cell>
          <cell r="H284">
            <v>7.183767967661799E-4</v>
          </cell>
          <cell r="I284">
            <v>7.2157593250563306E-4</v>
          </cell>
          <cell r="J284">
            <v>7.2828892098095632E-4</v>
          </cell>
          <cell r="K284">
            <v>7.3152656548294099E-4</v>
          </cell>
          <cell r="L284">
            <v>7.4550666910957184E-4</v>
          </cell>
          <cell r="M284">
            <v>7.404207575554397E-4</v>
          </cell>
          <cell r="N284">
            <v>7.6788018628604743E-4</v>
          </cell>
          <cell r="O284">
            <v>7.7525485015219903E-4</v>
          </cell>
          <cell r="P284">
            <v>1.2769844912221442E-3</v>
          </cell>
        </row>
        <row r="285">
          <cell r="B285" t="str">
            <v>D-SNGA</v>
          </cell>
          <cell r="C285" t="str">
            <v>VAR_fin</v>
          </cell>
          <cell r="D285" t="str">
            <v>H2</v>
          </cell>
          <cell r="E285"/>
          <cell r="F285"/>
          <cell r="G285"/>
          <cell r="H285">
            <v>1.3317309938020148E-3</v>
          </cell>
          <cell r="I285">
            <v>3.1213755762765465E-3</v>
          </cell>
          <cell r="J285">
            <v>3.4140461135329266E-3</v>
          </cell>
          <cell r="K285">
            <v>3.2046415229619956E-3</v>
          </cell>
          <cell r="L285">
            <v>1.1098737389382109E-2</v>
          </cell>
          <cell r="M285">
            <v>9.5951022963978137E-3</v>
          </cell>
          <cell r="N285">
            <v>5.3651982307105113E-2</v>
          </cell>
          <cell r="O285">
            <v>6.7147133820594729E-2</v>
          </cell>
          <cell r="P285">
            <v>7.066262851909634E-2</v>
          </cell>
        </row>
        <row r="286">
          <cell r="B286" t="str">
            <v>D-SNGA</v>
          </cell>
          <cell r="C286" t="str">
            <v>VAR_ncap</v>
          </cell>
          <cell r="D286" t="str">
            <v>-</v>
          </cell>
          <cell r="E286">
            <v>2.80563063047323E-7</v>
          </cell>
          <cell r="F286">
            <v>2.0089951038585699E-7</v>
          </cell>
          <cell r="G286">
            <v>2.4617446578818098E-7</v>
          </cell>
          <cell r="H286">
            <v>2.9286519525192299E-7</v>
          </cell>
          <cell r="I286">
            <v>4.4177023857669601E-7</v>
          </cell>
          <cell r="J286">
            <v>6.3233196160950296E-7</v>
          </cell>
          <cell r="K286">
            <v>1.5180521729227601E-6</v>
          </cell>
          <cell r="L286">
            <v>1.21230424739117</v>
          </cell>
          <cell r="M286">
            <v>0.43081748948824</v>
          </cell>
          <cell r="N286">
            <v>1.2360018096104E-5</v>
          </cell>
          <cell r="O286">
            <v>5.8803163395648104E-6</v>
          </cell>
          <cell r="P286">
            <v>4.6603686583370697E-5</v>
          </cell>
        </row>
        <row r="287">
          <cell r="B287" t="str">
            <v>D-SNGA</v>
          </cell>
          <cell r="C287" t="str">
            <v>VAR_cap</v>
          </cell>
          <cell r="D287" t="str">
            <v>-</v>
          </cell>
          <cell r="E287">
            <v>2.2350524821882032</v>
          </cell>
          <cell r="F287">
            <v>2.2350526830877135</v>
          </cell>
          <cell r="G287">
            <v>2.2350529292621792</v>
          </cell>
          <cell r="H287">
            <v>2.2350532221273745</v>
          </cell>
          <cell r="I287">
            <v>2.2350536638976131</v>
          </cell>
          <cell r="J287">
            <v>2.235054296229575</v>
          </cell>
          <cell r="K287">
            <v>2.2350558142817478</v>
          </cell>
          <cell r="L287">
            <v>1.975795517637176</v>
          </cell>
          <cell r="M287">
            <v>1.6431253495360101</v>
          </cell>
          <cell r="N287">
            <v>1.6431374037808399</v>
          </cell>
          <cell r="O287">
            <v>1.64314281299403</v>
          </cell>
          <cell r="P287">
            <v>1.6431891730548001</v>
          </cell>
        </row>
        <row r="288">
          <cell r="B288" t="str">
            <v>RHES-CHPWOD</v>
          </cell>
          <cell r="C288" t="str">
            <v>VAR_fout</v>
          </cell>
          <cell r="D288" t="str">
            <v>RHES_KEV_WOD_ELC_CHP</v>
          </cell>
          <cell r="E288"/>
          <cell r="F288"/>
          <cell r="G288"/>
          <cell r="H288">
            <v>5.4882872681844366E-4</v>
          </cell>
          <cell r="I288">
            <v>1.0369557231506195E-3</v>
          </cell>
          <cell r="J288">
            <v>1.0825767532724262E-3</v>
          </cell>
          <cell r="K288">
            <v>1.0726098041537898E-3</v>
          </cell>
          <cell r="L288">
            <v>1.839430453806053E-3</v>
          </cell>
          <cell r="M288">
            <v>1.6608314258960096E-3</v>
          </cell>
          <cell r="N288">
            <v>1.9900121643875984E-3</v>
          </cell>
          <cell r="O288">
            <v>2.2131701444255626E-3</v>
          </cell>
          <cell r="P288">
            <v>4.5343755237338499E-3</v>
          </cell>
        </row>
        <row r="289">
          <cell r="B289" t="str">
            <v>RHES-CHPWOD</v>
          </cell>
          <cell r="C289" t="str">
            <v>VAR_fout</v>
          </cell>
          <cell r="D289" t="str">
            <v>RHES_LTH_CHPWOD</v>
          </cell>
          <cell r="E289"/>
          <cell r="F289"/>
          <cell r="G289"/>
          <cell r="H289">
            <v>1.4816003708124101E-3</v>
          </cell>
          <cell r="I289">
            <v>2.7414948589707814E-3</v>
          </cell>
          <cell r="J289">
            <v>2.8017253447061279E-3</v>
          </cell>
          <cell r="K289">
            <v>2.720852735962211E-3</v>
          </cell>
          <cell r="L289">
            <v>4.5715666877227954E-3</v>
          </cell>
          <cell r="M289">
            <v>4.1276915932532974E-3</v>
          </cell>
          <cell r="N289">
            <v>4.9458098837351821E-3</v>
          </cell>
          <cell r="O289">
            <v>5.5004280730394746E-3</v>
          </cell>
          <cell r="P289">
            <v>1.126935788794595E-2</v>
          </cell>
        </row>
        <row r="290">
          <cell r="B290" t="str">
            <v>RHES-CHPWOD</v>
          </cell>
          <cell r="C290" t="str">
            <v>VAR_fin</v>
          </cell>
          <cell r="D290" t="str">
            <v>RWOD</v>
          </cell>
          <cell r="E290"/>
          <cell r="F290"/>
          <cell r="G290"/>
          <cell r="H290">
            <v>2.9650459274446648E-3</v>
          </cell>
          <cell r="I290">
            <v>5.0887927861320093E-3</v>
          </cell>
          <cell r="J290">
            <v>5.1502434625907432E-3</v>
          </cell>
          <cell r="K290">
            <v>5.1323070185974613E-3</v>
          </cell>
          <cell r="L290">
            <v>9.5004837647792821E-3</v>
          </cell>
          <cell r="M290">
            <v>7.5157666291355545E-3</v>
          </cell>
          <cell r="N290">
            <v>9.8759802289867943E-3</v>
          </cell>
          <cell r="O290">
            <v>1.033353860647483E-2</v>
          </cell>
          <cell r="P290">
            <v>2.1772655092770925E-2</v>
          </cell>
        </row>
        <row r="291">
          <cell r="B291" t="str">
            <v>RHES-CHPWOD</v>
          </cell>
          <cell r="C291" t="str">
            <v>VAR_ncap</v>
          </cell>
          <cell r="D291" t="str">
            <v>-</v>
          </cell>
          <cell r="E291"/>
          <cell r="F291"/>
          <cell r="G291"/>
          <cell r="H291">
            <v>4.8807703077429103E-5</v>
          </cell>
          <cell r="I291">
            <v>4.3447001148213299E-5</v>
          </cell>
          <cell r="J291">
            <v>1.33964066096901E-5</v>
          </cell>
          <cell r="K291">
            <v>3.8602903231578101E-5</v>
          </cell>
          <cell r="L291">
            <v>1.1168375210143E-4</v>
          </cell>
          <cell r="M291">
            <v>6.0023492597985496E-7</v>
          </cell>
          <cell r="N291">
            <v>6.4850654253077595E-5</v>
          </cell>
          <cell r="O291">
            <v>1.1191748649194E-4</v>
          </cell>
          <cell r="P291">
            <v>2.2660965268694999E-4</v>
          </cell>
        </row>
        <row r="292">
          <cell r="B292" t="str">
            <v>RHES-CHPWOD</v>
          </cell>
          <cell r="C292" t="str">
            <v>VAR_cap</v>
          </cell>
          <cell r="D292" t="str">
            <v>-</v>
          </cell>
          <cell r="E292"/>
          <cell r="F292"/>
          <cell r="G292"/>
          <cell r="H292">
            <v>4.8807703077429103E-5</v>
          </cell>
          <cell r="I292">
            <v>9.2235561786588603E-5</v>
          </cell>
          <cell r="J292">
            <v>9.6280554728247095E-5</v>
          </cell>
          <cell r="K292">
            <v>9.537285472176779E-5</v>
          </cell>
          <cell r="L292">
            <v>1.6357349564836082E-4</v>
          </cell>
          <cell r="M292">
            <v>1.4766919083551204E-4</v>
          </cell>
          <cell r="N292">
            <v>1.7699784840296195E-4</v>
          </cell>
          <cell r="O292">
            <v>1.9676649103353246E-4</v>
          </cell>
          <cell r="P292">
            <v>4.0322268705439749E-4</v>
          </cell>
        </row>
        <row r="293">
          <cell r="B293" t="str">
            <v>G-INTC-RES</v>
          </cell>
          <cell r="C293" t="str">
            <v>VAR_fout</v>
          </cell>
          <cell r="D293" t="str">
            <v>RHNS_ELC</v>
          </cell>
          <cell r="E293">
            <v>11.806535692677514</v>
          </cell>
          <cell r="F293">
            <v>15.288804744019044</v>
          </cell>
          <cell r="G293">
            <v>14.893019715593606</v>
          </cell>
          <cell r="H293">
            <v>14.931495465316321</v>
          </cell>
          <cell r="I293">
            <v>16.888488710044609</v>
          </cell>
          <cell r="J293">
            <v>16.996408688524767</v>
          </cell>
          <cell r="K293">
            <v>17.854944633344758</v>
          </cell>
          <cell r="L293">
            <v>18.695086325234598</v>
          </cell>
          <cell r="M293">
            <v>18.716133927852717</v>
          </cell>
          <cell r="N293">
            <v>20.351733568472593</v>
          </cell>
          <cell r="O293">
            <v>20.144644311938755</v>
          </cell>
          <cell r="P293">
            <v>21.656930106991631</v>
          </cell>
        </row>
        <row r="294">
          <cell r="B294" t="str">
            <v>G-INTC-RES</v>
          </cell>
          <cell r="C294" t="str">
            <v>VAR_fout</v>
          </cell>
          <cell r="D294" t="str">
            <v>ELC35</v>
          </cell>
          <cell r="E294">
            <v>47.432249342785049</v>
          </cell>
          <cell r="F294">
            <v>4.0187908941529725E-3</v>
          </cell>
          <cell r="G294">
            <v>5.5287820030474081E-3</v>
          </cell>
          <cell r="H294">
            <v>2.0473888070161794E-3</v>
          </cell>
          <cell r="I294">
            <v>4.2518721547636622E-3</v>
          </cell>
          <cell r="J294">
            <v>3.9765319179257234E-3</v>
          </cell>
          <cell r="K294">
            <v>3.9260206995117702E-3</v>
          </cell>
          <cell r="L294">
            <v>9.9922441005318614E-3</v>
          </cell>
          <cell r="M294">
            <v>4.8237147624578345E-3</v>
          </cell>
          <cell r="N294">
            <v>9.5749726611861971E-3</v>
          </cell>
          <cell r="O294">
            <v>7.4960306064143622E-3</v>
          </cell>
          <cell r="P294">
            <v>1.8050003387887752E-2</v>
          </cell>
        </row>
        <row r="295">
          <cell r="B295" t="str">
            <v>G-INTC-RES</v>
          </cell>
          <cell r="C295" t="str">
            <v>VAR_fout</v>
          </cell>
          <cell r="D295" t="str">
            <v>RHES_ELC</v>
          </cell>
          <cell r="E295">
            <v>21.954467387471055</v>
          </cell>
          <cell r="F295">
            <v>18.914594192675175</v>
          </cell>
          <cell r="G295">
            <v>17.796917923399462</v>
          </cell>
          <cell r="H295">
            <v>15.987527593993102</v>
          </cell>
          <cell r="I295">
            <v>18.138073844122491</v>
          </cell>
          <cell r="J295">
            <v>17.307203366533624</v>
          </cell>
          <cell r="K295">
            <v>17.584983482276183</v>
          </cell>
          <cell r="L295">
            <v>17.416237075471589</v>
          </cell>
          <cell r="M295">
            <v>17.697719784164047</v>
          </cell>
          <cell r="N295">
            <v>18.66043055297617</v>
          </cell>
          <cell r="O295">
            <v>18.185946495072063</v>
          </cell>
          <cell r="P295">
            <v>19.641614744239284</v>
          </cell>
        </row>
        <row r="296">
          <cell r="B296" t="str">
            <v>G-INTC-RES</v>
          </cell>
          <cell r="C296" t="str">
            <v>VAR_fout</v>
          </cell>
          <cell r="D296" t="str">
            <v>RHNM_ELC</v>
          </cell>
          <cell r="E296">
            <v>12.830489353082525</v>
          </cell>
          <cell r="F296">
            <v>14.076005432402141</v>
          </cell>
          <cell r="G296">
            <v>14.53345508590764</v>
          </cell>
          <cell r="H296">
            <v>14.108408047859555</v>
          </cell>
          <cell r="I296">
            <v>15.891763647027705</v>
          </cell>
          <cell r="J296">
            <v>15.87053629519394</v>
          </cell>
          <cell r="K296">
            <v>16.542342393318762</v>
          </cell>
          <cell r="L296">
            <v>16.804929949453388</v>
          </cell>
          <cell r="M296">
            <v>17.422877410756293</v>
          </cell>
          <cell r="N296">
            <v>18.439147530077378</v>
          </cell>
          <cell r="O296">
            <v>18.406258281145128</v>
          </cell>
          <cell r="P296">
            <v>20.067987041102633</v>
          </cell>
        </row>
        <row r="297">
          <cell r="B297" t="str">
            <v>G-INTC-RES</v>
          </cell>
          <cell r="C297" t="str">
            <v>VAR_fout</v>
          </cell>
          <cell r="D297" t="str">
            <v>RHEM_ELC</v>
          </cell>
          <cell r="E297">
            <v>22.994006321610318</v>
          </cell>
          <cell r="F297">
            <v>19.735080637775592</v>
          </cell>
          <cell r="G297">
            <v>18.936090949566633</v>
          </cell>
          <cell r="H297">
            <v>17.317094665312066</v>
          </cell>
          <cell r="I297">
            <v>19.039784386380827</v>
          </cell>
          <cell r="J297">
            <v>19.009732875306742</v>
          </cell>
          <cell r="K297">
            <v>19.389269904675164</v>
          </cell>
          <cell r="L297">
            <v>19.440232305234215</v>
          </cell>
          <cell r="M297">
            <v>19.333606967972518</v>
          </cell>
          <cell r="N297">
            <v>20.331702529414166</v>
          </cell>
          <cell r="O297">
            <v>20.199614336683105</v>
          </cell>
          <cell r="P297">
            <v>21.685865244412938</v>
          </cell>
        </row>
        <row r="298">
          <cell r="B298" t="str">
            <v>G-INTC-RES</v>
          </cell>
          <cell r="C298" t="str">
            <v>VAR_fin</v>
          </cell>
          <cell r="D298" t="str">
            <v>ELC5</v>
          </cell>
          <cell r="E298">
            <v>117.01769888094098</v>
          </cell>
          <cell r="F298">
            <v>68.018503797766115</v>
          </cell>
          <cell r="G298">
            <v>66.16501245647035</v>
          </cell>
          <cell r="H298">
            <v>62.346573161288006</v>
          </cell>
          <cell r="I298">
            <v>69.962362459730329</v>
          </cell>
          <cell r="J298">
            <v>69.187857757477019</v>
          </cell>
          <cell r="K298">
            <v>71.375466434314319</v>
          </cell>
          <cell r="L298">
            <v>72.366477899494299</v>
          </cell>
          <cell r="M298">
            <v>73.175161805508026</v>
          </cell>
          <cell r="N298">
            <v>77.792589153601469</v>
          </cell>
          <cell r="O298">
            <v>76.943959455445466</v>
          </cell>
          <cell r="P298">
            <v>83.070447140134405</v>
          </cell>
        </row>
        <row r="299">
          <cell r="B299" t="str">
            <v>G-INTC-RES</v>
          </cell>
          <cell r="C299" t="str">
            <v>VAR_ncap</v>
          </cell>
          <cell r="D299" t="str">
            <v>-</v>
          </cell>
          <cell r="E299">
            <v>3.53019893419689E-8</v>
          </cell>
          <cell r="F299">
            <v>3.9188358507865598E-8</v>
          </cell>
          <cell r="G299">
            <v>4.5811361100514103E-8</v>
          </cell>
          <cell r="H299">
            <v>6.6679227670083504E-8</v>
          </cell>
          <cell r="I299">
            <v>9.2337606154882902E-8</v>
          </cell>
          <cell r="J299">
            <v>1.12644368044692E-7</v>
          </cell>
          <cell r="K299">
            <v>1.7395240925288401E-7</v>
          </cell>
          <cell r="L299">
            <v>2.1200851576471499E-7</v>
          </cell>
          <cell r="M299">
            <v>2.8326129354458701E-7</v>
          </cell>
          <cell r="N299">
            <v>5.14866968299932E-7</v>
          </cell>
          <cell r="O299">
            <v>9.3349711367382101E-7</v>
          </cell>
        </row>
        <row r="300">
          <cell r="B300" t="str">
            <v>G-INTC-RES</v>
          </cell>
          <cell r="C300" t="str">
            <v>VAR_cap</v>
          </cell>
          <cell r="D300" t="str">
            <v>-</v>
          </cell>
          <cell r="E300">
            <v>4.3300925142827298</v>
          </cell>
          <cell r="F300">
            <v>4.3300925257607181</v>
          </cell>
          <cell r="G300">
            <v>4.3300925887730779</v>
          </cell>
          <cell r="H300">
            <v>4.3300926712706387</v>
          </cell>
          <cell r="I300">
            <v>4.3300927235002122</v>
          </cell>
          <cell r="J300">
            <v>4.3300928369975029</v>
          </cell>
          <cell r="K300">
            <v>4.3300929900018126</v>
          </cell>
          <cell r="L300">
            <v>4.3300930801980497</v>
          </cell>
          <cell r="M300">
            <v>4.3300934480539102</v>
          </cell>
          <cell r="N300">
            <v>4.3300936994570289</v>
          </cell>
          <cell r="O300">
            <v>4.3300945398034232</v>
          </cell>
          <cell r="P300">
            <v>4.3300950238319409</v>
          </cell>
        </row>
        <row r="301">
          <cell r="B301" t="str">
            <v>SCOM-CHPNGA</v>
          </cell>
          <cell r="C301" t="str">
            <v>VAR_fout</v>
          </cell>
          <cell r="D301" t="str">
            <v>CO2_S</v>
          </cell>
          <cell r="E301">
            <v>93.865023717487105</v>
          </cell>
          <cell r="F301">
            <v>98.055901778777397</v>
          </cell>
          <cell r="G301">
            <v>82.583685490939601</v>
          </cell>
          <cell r="H301">
            <v>351.31396717233099</v>
          </cell>
          <cell r="I301">
            <v>620.52556592577901</v>
          </cell>
          <cell r="J301">
            <v>594.14312170780602</v>
          </cell>
          <cell r="K301">
            <v>585.31787878886996</v>
          </cell>
          <cell r="L301">
            <v>406.11160619182198</v>
          </cell>
          <cell r="M301">
            <v>407.23662243943397</v>
          </cell>
          <cell r="N301">
            <v>416.24865149634797</v>
          </cell>
          <cell r="O301">
            <v>447.75852260512897</v>
          </cell>
          <cell r="P301">
            <v>473.70080796163597</v>
          </cell>
        </row>
        <row r="302">
          <cell r="B302" t="str">
            <v>SCOM-CHPNGA</v>
          </cell>
          <cell r="C302" t="str">
            <v>VAR_fout</v>
          </cell>
          <cell r="D302" t="str">
            <v>SCOM_NKEV_GAS_ELC_CHP</v>
          </cell>
          <cell r="E302">
            <v>0.59442788420400838</v>
          </cell>
          <cell r="F302">
            <v>0.62588768449998855</v>
          </cell>
          <cell r="G302">
            <v>0.52643581164925846</v>
          </cell>
          <cell r="H302">
            <v>2.2370827320491253</v>
          </cell>
          <cell r="I302">
            <v>3.9462082160892913</v>
          </cell>
          <cell r="J302">
            <v>3.7633702379032594</v>
          </cell>
          <cell r="K302">
            <v>3.7042040399423022</v>
          </cell>
          <cell r="L302">
            <v>2.5767816055801904</v>
          </cell>
          <cell r="M302">
            <v>2.5810695637114134</v>
          </cell>
          <cell r="N302">
            <v>2.635674099873865</v>
          </cell>
          <cell r="O302">
            <v>2.8407042742867064</v>
          </cell>
          <cell r="P302">
            <v>3.0037339162220227</v>
          </cell>
        </row>
        <row r="303">
          <cell r="B303" t="str">
            <v>SCOM-CHPNGA</v>
          </cell>
          <cell r="C303" t="str">
            <v>VAR_fout</v>
          </cell>
          <cell r="D303" t="str">
            <v>SCOM_LTH_CHPNGA</v>
          </cell>
          <cell r="E303">
            <v>0.69261122509105766</v>
          </cell>
          <cell r="F303">
            <v>0.75022374958405835</v>
          </cell>
          <cell r="G303">
            <v>0.65745496105879397</v>
          </cell>
          <cell r="H303">
            <v>2.9811060674100145</v>
          </cell>
          <cell r="I303">
            <v>5.5889879001630778</v>
          </cell>
          <cell r="J303">
            <v>5.6450553568548854</v>
          </cell>
          <cell r="K303">
            <v>5.5563060599134531</v>
          </cell>
          <cell r="L303">
            <v>3.8651724083702828</v>
          </cell>
          <cell r="M303">
            <v>3.8716043455671243</v>
          </cell>
          <cell r="N303">
            <v>3.9535111498107973</v>
          </cell>
          <cell r="O303">
            <v>4.2610564114300571</v>
          </cell>
          <cell r="P303">
            <v>4.5056008743330294</v>
          </cell>
        </row>
        <row r="304">
          <cell r="B304" t="str">
            <v>SCOM-CHPNGA</v>
          </cell>
          <cell r="C304" t="str">
            <v>VAR_fin</v>
          </cell>
          <cell r="D304" t="str">
            <v>SNGA</v>
          </cell>
          <cell r="E304">
            <v>1.6642734701682094</v>
          </cell>
          <cell r="F304">
            <v>1.7385798187726478</v>
          </cell>
          <cell r="G304">
            <v>1.4642497427471575</v>
          </cell>
          <cell r="H304">
            <v>6.2289710491548078</v>
          </cell>
          <cell r="I304">
            <v>11.002226346201752</v>
          </cell>
          <cell r="J304">
            <v>10.534452512549757</v>
          </cell>
          <cell r="K304">
            <v>10.377976574270773</v>
          </cell>
          <cell r="L304">
            <v>7.2005603934720215</v>
          </cell>
          <cell r="M304">
            <v>7.2205074900608901</v>
          </cell>
          <cell r="N304">
            <v>7.3802952392969452</v>
          </cell>
          <cell r="O304">
            <v>7.938980897254047</v>
          </cell>
          <cell r="P304">
            <v>8.3989504957736827</v>
          </cell>
        </row>
        <row r="305">
          <cell r="B305" t="str">
            <v>SCOM-CHPNGA</v>
          </cell>
          <cell r="C305" t="str">
            <v>VAR_ncap</v>
          </cell>
          <cell r="D305" t="str">
            <v>-</v>
          </cell>
          <cell r="E305"/>
          <cell r="F305">
            <v>2.7172083012078001E-2</v>
          </cell>
          <cell r="G305">
            <v>3.6121394853214499E-6</v>
          </cell>
          <cell r="H305">
            <v>0.115347053326747</v>
          </cell>
          <cell r="I305">
            <v>0.130338980490148</v>
          </cell>
          <cell r="J305">
            <v>9.4674264553426292E-3</v>
          </cell>
          <cell r="K305">
            <v>5.6164036220486498E-2</v>
          </cell>
          <cell r="L305">
            <v>1.3859222598451099E-4</v>
          </cell>
          <cell r="M305">
            <v>9.2200640047039206E-2</v>
          </cell>
          <cell r="N305">
            <v>5.1764627032371703E-2</v>
          </cell>
          <cell r="O305">
            <v>7.1669465067389401E-2</v>
          </cell>
          <cell r="P305">
            <v>1.24252738737286E-2</v>
          </cell>
        </row>
        <row r="306">
          <cell r="B306" t="str">
            <v>SCOM-CHPNGA</v>
          </cell>
          <cell r="C306" t="str">
            <v>VAR_cap</v>
          </cell>
          <cell r="D306" t="str">
            <v>-</v>
          </cell>
          <cell r="E306">
            <v>6.5199357212634132E-2</v>
          </cell>
          <cell r="F306">
            <v>4.7877321112742004E-2</v>
          </cell>
          <cell r="G306">
            <v>3.9974409687708663E-2</v>
          </cell>
          <cell r="H306">
            <v>0.15355668860327448</v>
          </cell>
          <cell r="I306">
            <v>0.27490953906546556</v>
          </cell>
          <cell r="J306">
            <v>0.27186006604098767</v>
          </cell>
          <cell r="K306">
            <v>0.2747506926802335</v>
          </cell>
          <cell r="L306">
            <v>0.19610799282190503</v>
          </cell>
          <cell r="M306">
            <v>0.19628084399291021</v>
          </cell>
          <cell r="N306">
            <v>0.20026660693671436</v>
          </cell>
          <cell r="O306">
            <v>0.21577214619101442</v>
          </cell>
          <cell r="P306">
            <v>0.22805827956146213</v>
          </cell>
        </row>
        <row r="307">
          <cell r="B307" t="str">
            <v>D-IPLT</v>
          </cell>
          <cell r="C307" t="str">
            <v>VAR_fout</v>
          </cell>
          <cell r="D307" t="str">
            <v>IPLT</v>
          </cell>
          <cell r="E307">
            <v>0.62579220093437027</v>
          </cell>
          <cell r="F307">
            <v>0.73757460611227832</v>
          </cell>
          <cell r="G307">
            <v>0.7363302981537585</v>
          </cell>
          <cell r="H307">
            <v>0.73426701979102527</v>
          </cell>
          <cell r="I307">
            <v>0.73279507468810712</v>
          </cell>
          <cell r="J307">
            <v>0.73075736699268234</v>
          </cell>
          <cell r="K307">
            <v>0.72873359726873921</v>
          </cell>
          <cell r="L307">
            <v>0.72672681630402114</v>
          </cell>
          <cell r="M307">
            <v>0.72673543954408537</v>
          </cell>
          <cell r="N307">
            <v>0.72677151714905508</v>
          </cell>
          <cell r="O307">
            <v>0.72682301063189581</v>
          </cell>
          <cell r="P307">
            <v>0.72702014358480382</v>
          </cell>
        </row>
        <row r="308">
          <cell r="B308" t="str">
            <v>D-IPLT</v>
          </cell>
          <cell r="C308" t="str">
            <v>VAR_fin</v>
          </cell>
          <cell r="D308" t="str">
            <v>PLT</v>
          </cell>
          <cell r="E308">
            <v>0.62579220093437027</v>
          </cell>
          <cell r="F308">
            <v>0.73757460611227832</v>
          </cell>
          <cell r="G308">
            <v>0.7363302981537585</v>
          </cell>
          <cell r="H308">
            <v>0.73426701979102527</v>
          </cell>
          <cell r="I308">
            <v>0.73279507468810712</v>
          </cell>
          <cell r="J308">
            <v>0.73075736699268234</v>
          </cell>
          <cell r="K308">
            <v>0.72873359726873921</v>
          </cell>
          <cell r="L308">
            <v>0.72672681630402114</v>
          </cell>
          <cell r="M308">
            <v>0.72673543954408537</v>
          </cell>
          <cell r="N308">
            <v>0.72677151714905508</v>
          </cell>
          <cell r="O308">
            <v>0.72682301063189581</v>
          </cell>
          <cell r="P308">
            <v>0.72702014358480382</v>
          </cell>
        </row>
        <row r="309">
          <cell r="B309" t="str">
            <v>LTH-STG</v>
          </cell>
          <cell r="C309" t="str">
            <v>VAR_fout</v>
          </cell>
          <cell r="D309" t="str">
            <v>AUX_LTH-STG_OUT</v>
          </cell>
          <cell r="E309">
            <v>5.708753349156938E-4</v>
          </cell>
          <cell r="F309">
            <v>2.0188579570596586E-4</v>
          </cell>
          <cell r="G309">
            <v>3.8981005075879168E-3</v>
          </cell>
          <cell r="H309">
            <v>1.4547904385204221E-3</v>
          </cell>
          <cell r="I309">
            <v>1.7339248024326721E-3</v>
          </cell>
          <cell r="J309">
            <v>2.4924395225188857E-3</v>
          </cell>
          <cell r="K309">
            <v>3.005874007072399E-3</v>
          </cell>
          <cell r="L309">
            <v>3.1843518654195095E-2</v>
          </cell>
          <cell r="M309">
            <v>0.12310861384799315</v>
          </cell>
          <cell r="N309">
            <v>9.6156470113740025E-2</v>
          </cell>
          <cell r="O309">
            <v>7.5436935876383907E-2</v>
          </cell>
          <cell r="P309">
            <v>3.8889386979290355E-2</v>
          </cell>
        </row>
        <row r="310">
          <cell r="B310" t="str">
            <v>LTH-STG</v>
          </cell>
          <cell r="C310" t="str">
            <v>VAR_fout</v>
          </cell>
          <cell r="D310" t="str">
            <v>LTH</v>
          </cell>
          <cell r="E310">
            <v>5.7087533491569228E-4</v>
          </cell>
          <cell r="F310">
            <v>2.02020386236436E-4</v>
          </cell>
          <cell r="G310">
            <v>3.9021610289499816E-3</v>
          </cell>
          <cell r="H310">
            <v>1.4547904385204221E-3</v>
          </cell>
          <cell r="I310">
            <v>1.7355184833172561E-3</v>
          </cell>
          <cell r="J310">
            <v>2.4924395225188788E-3</v>
          </cell>
          <cell r="K310">
            <v>3.0083297864899345E-3</v>
          </cell>
          <cell r="L310">
            <v>3.1843518654195081E-2</v>
          </cell>
          <cell r="M310">
            <v>0.1231086138479929</v>
          </cell>
          <cell r="N310">
            <v>9.6156470113739831E-2</v>
          </cell>
          <cell r="O310">
            <v>7.5436935876383782E-2</v>
          </cell>
          <cell r="P310">
            <v>3.8889386979290307E-2</v>
          </cell>
        </row>
        <row r="311">
          <cell r="B311" t="str">
            <v>LTH-STG</v>
          </cell>
          <cell r="C311" t="str">
            <v>VAR_fin</v>
          </cell>
          <cell r="D311" t="str">
            <v>AUX_LTH-STG_IN</v>
          </cell>
          <cell r="E311">
            <v>7.569009267011194E-4</v>
          </cell>
          <cell r="F311">
            <v>2.5972809398096459E-4</v>
          </cell>
          <cell r="G311">
            <v>5.0367107257284658E-3</v>
          </cell>
          <cell r="H311">
            <v>1.8213766119498903E-3</v>
          </cell>
          <cell r="I311">
            <v>2.103436570441662E-3</v>
          </cell>
          <cell r="J311">
            <v>2.9354814310990013E-3</v>
          </cell>
          <cell r="K311">
            <v>3.4412908244608668E-3</v>
          </cell>
          <cell r="L311">
            <v>3.5388042233919149E-2</v>
          </cell>
          <cell r="M311">
            <v>0.13679053725006479</v>
          </cell>
          <cell r="N311">
            <v>0.10684683274953431</v>
          </cell>
          <cell r="O311">
            <v>8.3822550553658476E-2</v>
          </cell>
          <cell r="P311">
            <v>4.3214962800180598E-2</v>
          </cell>
        </row>
        <row r="312">
          <cell r="B312" t="str">
            <v>LTH-STG</v>
          </cell>
          <cell r="C312" t="str">
            <v>VAR_fin</v>
          </cell>
          <cell r="D312" t="str">
            <v>LTH</v>
          </cell>
          <cell r="E312">
            <v>7.569009267011194E-4</v>
          </cell>
          <cell r="F312">
            <v>2.5972809398096459E-4</v>
          </cell>
          <cell r="G312">
            <v>5.0367107257284658E-3</v>
          </cell>
          <cell r="H312">
            <v>1.8213766119498903E-3</v>
          </cell>
          <cell r="I312">
            <v>2.103436570441662E-3</v>
          </cell>
          <cell r="J312">
            <v>2.9354814310990013E-3</v>
          </cell>
          <cell r="K312">
            <v>3.4412908244608668E-3</v>
          </cell>
          <cell r="L312">
            <v>3.5388042233919149E-2</v>
          </cell>
          <cell r="M312">
            <v>0.13679053725006479</v>
          </cell>
          <cell r="N312">
            <v>0.10684683274953431</v>
          </cell>
          <cell r="O312">
            <v>8.3822550553658476E-2</v>
          </cell>
          <cell r="P312">
            <v>4.3214962800180598E-2</v>
          </cell>
        </row>
        <row r="313">
          <cell r="B313" t="str">
            <v>LTH-STG</v>
          </cell>
          <cell r="C313" t="str">
            <v>VAR_ncap</v>
          </cell>
          <cell r="D313" t="str">
            <v>-</v>
          </cell>
          <cell r="E313">
            <v>1.33413412936285E-4</v>
          </cell>
          <cell r="F313">
            <v>3.4815524217767402E-6</v>
          </cell>
          <cell r="G313">
            <v>6.1385114747463898E-6</v>
          </cell>
          <cell r="H313">
            <v>3.69850686810255E-6</v>
          </cell>
          <cell r="I313">
            <v>7.9769992868183206E-5</v>
          </cell>
          <cell r="J313">
            <v>5.9388019353113101E-5</v>
          </cell>
          <cell r="K313">
            <v>5.6101458947924299E-5</v>
          </cell>
          <cell r="L313">
            <v>5.9194623214029699E-2</v>
          </cell>
          <cell r="M313">
            <v>9.1587407437857798E-3</v>
          </cell>
          <cell r="N313">
            <v>1.05034787983742E-5</v>
          </cell>
          <cell r="O313">
            <v>1.0973314156657301E-5</v>
          </cell>
          <cell r="P313">
            <v>5.01533523565057E-5</v>
          </cell>
        </row>
        <row r="314">
          <cell r="B314" t="str">
            <v>LTH-STG</v>
          </cell>
          <cell r="C314" t="str">
            <v>VAR_cap</v>
          </cell>
          <cell r="D314" t="str">
            <v>-</v>
          </cell>
          <cell r="E314">
            <v>2.9827407732406421E-4</v>
          </cell>
          <cell r="F314">
            <v>2.9995970757908666E-4</v>
          </cell>
          <cell r="G314">
            <v>3.0409448658996085E-4</v>
          </cell>
          <cell r="H314">
            <v>2.2276976362250225E-4</v>
          </cell>
          <cell r="I314">
            <v>2.2283963495410436E-4</v>
          </cell>
          <cell r="J314">
            <v>1.9875155918549036E-4</v>
          </cell>
          <cell r="K314">
            <v>1.9325544852471916E-4</v>
          </cell>
          <cell r="L314">
            <v>5.9383922066960242E-2</v>
          </cell>
          <cell r="M314">
            <v>6.8479633638260637E-2</v>
          </cell>
          <cell r="N314">
            <v>6.8389132857958487E-2</v>
          </cell>
          <cell r="O314">
            <v>6.2813449153889353E-2</v>
          </cell>
          <cell r="P314">
            <v>2.5226743666623003E-3</v>
          </cell>
        </row>
        <row r="315">
          <cell r="B315" t="str">
            <v>ITOT-CHPOIL</v>
          </cell>
          <cell r="C315" t="str">
            <v>VAR_fout</v>
          </cell>
          <cell r="D315" t="str">
            <v>ITOT_LTH_CHP</v>
          </cell>
          <cell r="E315">
            <v>0.92940928654395227</v>
          </cell>
          <cell r="F315">
            <v>2.0722125733391099</v>
          </cell>
          <cell r="G315">
            <v>2.8064838508560879E-2</v>
          </cell>
          <cell r="H315">
            <v>1.3014136384638137</v>
          </cell>
          <cell r="I315">
            <v>0.83437150499334012</v>
          </cell>
          <cell r="J315">
            <v>4.1849926533218409E-2</v>
          </cell>
          <cell r="K315">
            <v>4.5847201302642318E-2</v>
          </cell>
          <cell r="L315">
            <v>5.6703318995080479E-2</v>
          </cell>
          <cell r="M315">
            <v>6.0048920780603157E-2</v>
          </cell>
          <cell r="N315">
            <v>6.0807560316982721E-2</v>
          </cell>
          <cell r="O315">
            <v>6.0049657490466375E-2</v>
          </cell>
          <cell r="P315">
            <v>6.1129158051338998E-2</v>
          </cell>
        </row>
        <row r="316">
          <cell r="B316" t="str">
            <v>ITOT-CHPOIL</v>
          </cell>
          <cell r="C316" t="str">
            <v>VAR_fout</v>
          </cell>
          <cell r="D316" t="str">
            <v>ITOT_NKEV_OIL_ELC_CHP</v>
          </cell>
          <cell r="E316">
            <v>7.0506911392989383E-2</v>
          </cell>
          <cell r="F316">
            <v>0.17146542823888006</v>
          </cell>
          <cell r="G316">
            <v>2.6880629506238138E-3</v>
          </cell>
          <cell r="H316">
            <v>0.16903080360047118</v>
          </cell>
          <cell r="I316">
            <v>0.16828810560129134</v>
          </cell>
          <cell r="J316">
            <v>1.8879212181814875E-2</v>
          </cell>
          <cell r="K316">
            <v>2.068245067641698E-2</v>
          </cell>
          <cell r="L316">
            <v>2.5579829629367144E-2</v>
          </cell>
          <cell r="M316">
            <v>2.7089087380025492E-2</v>
          </cell>
          <cell r="N316">
            <v>2.7431322551345418E-2</v>
          </cell>
          <cell r="O316">
            <v>2.7089419722349014E-2</v>
          </cell>
          <cell r="P316">
            <v>2.7576400747821701E-2</v>
          </cell>
        </row>
        <row r="317">
          <cell r="B317" t="str">
            <v>ITOT-CHPOIL</v>
          </cell>
          <cell r="C317" t="str">
            <v>VAR_fout</v>
          </cell>
          <cell r="D317" t="str">
            <v>CO2_I</v>
          </cell>
          <cell r="E317">
            <v>21.787259639863201</v>
          </cell>
          <cell r="F317">
            <v>51.231569859704102</v>
          </cell>
          <cell r="G317">
            <v>0.88190804644634302</v>
          </cell>
          <cell r="H317">
            <v>47.4342770378287</v>
          </cell>
          <cell r="I317">
            <v>47.142119886238703</v>
          </cell>
          <cell r="J317">
            <v>5.3278570540290504</v>
          </cell>
          <cell r="K317">
            <v>5.89622294431308</v>
          </cell>
          <cell r="L317">
            <v>7.4244968895862202</v>
          </cell>
          <cell r="M317">
            <v>7.8872802113418201</v>
          </cell>
          <cell r="N317">
            <v>7.8466065038977302</v>
          </cell>
          <cell r="O317">
            <v>7.7410851555135203</v>
          </cell>
          <cell r="P317">
            <v>8.0671438394053894</v>
          </cell>
        </row>
        <row r="318">
          <cell r="B318" t="str">
            <v>ITOT-CHPOIL</v>
          </cell>
          <cell r="C318" t="str">
            <v>VAR_fin</v>
          </cell>
          <cell r="D318" t="str">
            <v>ILFO</v>
          </cell>
          <cell r="E318">
            <v>0.29562089063586394</v>
          </cell>
          <cell r="F318">
            <v>0.69513663310317653</v>
          </cell>
          <cell r="G318">
            <v>1.1966187875798414E-2</v>
          </cell>
          <cell r="H318">
            <v>0.64361298558790658</v>
          </cell>
          <cell r="I318">
            <v>0.63964884513214015</v>
          </cell>
          <cell r="J318">
            <v>7.2291140488860997E-2</v>
          </cell>
          <cell r="K318">
            <v>8.0003025024600743E-2</v>
          </cell>
          <cell r="L318">
            <v>0.10073944219248596</v>
          </cell>
          <cell r="M318">
            <v>0.10701872742661905</v>
          </cell>
          <cell r="N318">
            <v>0.10646684537174665</v>
          </cell>
          <cell r="O318">
            <v>0.10503507673695413</v>
          </cell>
          <cell r="P318">
            <v>0.10945921084674877</v>
          </cell>
        </row>
        <row r="319">
          <cell r="B319" t="str">
            <v>ITOT-CHPOIL</v>
          </cell>
          <cell r="C319" t="str">
            <v>VAR_ncap</v>
          </cell>
          <cell r="D319" t="str">
            <v>-</v>
          </cell>
          <cell r="E319"/>
          <cell r="F319">
            <v>5.4683067235502996E-3</v>
          </cell>
          <cell r="G319">
            <v>4.6849171677673601E-6</v>
          </cell>
          <cell r="H319">
            <v>1.9561568164728801E-2</v>
          </cell>
          <cell r="I319">
            <v>1.6802955781164301E-2</v>
          </cell>
          <cell r="J319">
            <v>1.4266041617498001E-2</v>
          </cell>
          <cell r="K319">
            <v>2.13204866723751E-2</v>
          </cell>
          <cell r="L319">
            <v>2.7904396934492301E-2</v>
          </cell>
          <cell r="M319">
            <v>2.03485598585256E-2</v>
          </cell>
          <cell r="N319">
            <v>2.05480161888267E-2</v>
          </cell>
          <cell r="O319">
            <v>2.9120640528592898E-2</v>
          </cell>
          <cell r="P319">
            <v>1.87787017088498E-2</v>
          </cell>
        </row>
        <row r="320">
          <cell r="B320" t="str">
            <v>ITOT-CHPOIL</v>
          </cell>
          <cell r="C320" t="str">
            <v>VAR_cap</v>
          </cell>
          <cell r="D320" t="str">
            <v>-</v>
          </cell>
          <cell r="E320">
            <v>8.3049675782543454E-3</v>
          </cell>
          <cell r="F320">
            <v>6.4009241802460235E-3</v>
          </cell>
          <cell r="G320">
            <v>6.4046648400571922E-3</v>
          </cell>
          <cell r="H320">
            <v>2.5965798698386819E-2</v>
          </cell>
          <cell r="I320">
            <v>3.9176730412768063E-2</v>
          </cell>
          <cell r="J320">
            <v>4.6908858740603E-2</v>
          </cell>
          <cell r="K320">
            <v>5.2388619541197529E-2</v>
          </cell>
          <cell r="L320">
            <v>6.3489701101830623E-2</v>
          </cell>
          <cell r="M320">
            <v>6.8939281873308347E-2</v>
          </cell>
          <cell r="N320">
            <v>6.8799615760951019E-2</v>
          </cell>
          <cell r="O320">
            <v>6.8507171156025115E-2</v>
          </cell>
          <cell r="P320">
            <v>6.8445777622745993E-2</v>
          </cell>
        </row>
        <row r="321">
          <cell r="B321" t="str">
            <v>ENUC_GOE</v>
          </cell>
          <cell r="C321" t="str">
            <v>VAR_fout</v>
          </cell>
          <cell r="D321" t="str">
            <v>ELC</v>
          </cell>
          <cell r="E321">
            <v>29.714401793268124</v>
          </cell>
          <cell r="F321">
            <v>29.714392844290611</v>
          </cell>
          <cell r="G321">
            <v>0.25840628157798839</v>
          </cell>
          <cell r="H321"/>
          <cell r="I321"/>
          <cell r="J321"/>
          <cell r="K321"/>
          <cell r="L321"/>
        </row>
        <row r="322">
          <cell r="B322" t="str">
            <v>ENUC_GOE</v>
          </cell>
          <cell r="C322" t="str">
            <v>VAR_fin</v>
          </cell>
          <cell r="D322" t="str">
            <v>URN</v>
          </cell>
          <cell r="E322">
            <v>89.580580759919258</v>
          </cell>
          <cell r="F322">
            <v>89.580553781263987</v>
          </cell>
          <cell r="G322">
            <v>0.77902240593016869</v>
          </cell>
          <cell r="H322"/>
          <cell r="I322"/>
          <cell r="J322"/>
          <cell r="K322"/>
          <cell r="L322"/>
        </row>
        <row r="323">
          <cell r="B323" t="str">
            <v>ENUC_GOE</v>
          </cell>
          <cell r="C323" t="str">
            <v>VAR_cap</v>
          </cell>
          <cell r="D323" t="str">
            <v>-</v>
          </cell>
          <cell r="E323">
            <v>1.0099999626114915</v>
          </cell>
          <cell r="F323">
            <v>1.0099999326541043</v>
          </cell>
          <cell r="G323">
            <v>9.9489102559799925E-3</v>
          </cell>
          <cell r="H323"/>
          <cell r="I323"/>
          <cell r="J323"/>
          <cell r="K323"/>
          <cell r="L323"/>
        </row>
        <row r="324">
          <cell r="B324" t="str">
            <v>D-RNGA</v>
          </cell>
          <cell r="C324" t="str">
            <v>VAR_fout</v>
          </cell>
          <cell r="D324" t="str">
            <v>CO2</v>
          </cell>
          <cell r="E324">
            <v>2651.82687657206</v>
          </cell>
          <cell r="F324">
            <v>2731.7886649288198</v>
          </cell>
          <cell r="G324">
            <v>2913.8555732516902</v>
          </cell>
          <cell r="H324">
            <v>3100.6874302696401</v>
          </cell>
          <cell r="I324">
            <v>3232.74922644449</v>
          </cell>
          <cell r="J324">
            <v>3190.5354603850801</v>
          </cell>
          <cell r="K324">
            <v>3123.6463897778499</v>
          </cell>
          <cell r="L324">
            <v>3140.9557026231</v>
          </cell>
          <cell r="M324">
            <v>3002.8496973747901</v>
          </cell>
          <cell r="N324">
            <v>2839.3355254198</v>
          </cell>
          <cell r="O324">
            <v>2914.6306683306102</v>
          </cell>
          <cell r="P324">
            <v>2477.7691447781199</v>
          </cell>
        </row>
        <row r="325">
          <cell r="B325" t="str">
            <v>D-RNGA</v>
          </cell>
          <cell r="C325" t="str">
            <v>VAR_fout</v>
          </cell>
          <cell r="D325" t="str">
            <v>RNGA</v>
          </cell>
          <cell r="E325">
            <v>47.179782326515209</v>
          </cell>
          <cell r="F325">
            <v>48.283000753695106</v>
          </cell>
          <cell r="G325">
            <v>51.500856974085941</v>
          </cell>
          <cell r="H325">
            <v>54.80290454767043</v>
          </cell>
          <cell r="I325">
            <v>57.136962683375998</v>
          </cell>
          <cell r="J325">
            <v>56.390872027384724</v>
          </cell>
          <cell r="K325">
            <v>55.208680033715211</v>
          </cell>
          <cell r="L325">
            <v>55.514574829170577</v>
          </cell>
          <cell r="M325">
            <v>53.073697102632046</v>
          </cell>
          <cell r="N325">
            <v>50.183477527151226</v>
          </cell>
          <cell r="O325">
            <v>51.51418255142336</v>
          </cell>
          <cell r="P325">
            <v>43.793208300300186</v>
          </cell>
        </row>
        <row r="326">
          <cell r="B326" t="str">
            <v>D-RNGA</v>
          </cell>
          <cell r="C326" t="str">
            <v>VAR_fout</v>
          </cell>
          <cell r="D326" t="str">
            <v>RSH2</v>
          </cell>
          <cell r="E326"/>
          <cell r="F326"/>
          <cell r="G326"/>
          <cell r="H326">
            <v>1.1571150036913591E-3</v>
          </cell>
          <cell r="I326">
            <v>2.8494139369905822E-3</v>
          </cell>
          <cell r="J326">
            <v>3.3466086990585108E-3</v>
          </cell>
          <cell r="K326">
            <v>3.9468637333089631E-3</v>
          </cell>
          <cell r="L326">
            <v>1.1688338771697233E-2</v>
          </cell>
          <cell r="M326">
            <v>1.0817399080237019E-2</v>
          </cell>
          <cell r="N326">
            <v>9.2257777169250807E-2</v>
          </cell>
          <cell r="O326">
            <v>0.11330803895195263</v>
          </cell>
          <cell r="P326">
            <v>0.10762193497786379</v>
          </cell>
        </row>
        <row r="327">
          <cell r="B327" t="str">
            <v>D-RNGA</v>
          </cell>
          <cell r="C327" t="str">
            <v>VAR_fin</v>
          </cell>
          <cell r="D327" t="str">
            <v>NGA</v>
          </cell>
          <cell r="E327">
            <v>47.018207031419507</v>
          </cell>
          <cell r="F327">
            <v>48.435969236326486</v>
          </cell>
          <cell r="G327">
            <v>51.664105908717985</v>
          </cell>
          <cell r="H327">
            <v>54.976727487050297</v>
          </cell>
          <cell r="I327">
            <v>57.318248695824224</v>
          </cell>
          <cell r="J327">
            <v>56.569777666402061</v>
          </cell>
          <cell r="K327">
            <v>55.383801237196025</v>
          </cell>
          <cell r="L327">
            <v>55.690703947218189</v>
          </cell>
          <cell r="M327">
            <v>53.242015910900427</v>
          </cell>
          <cell r="N327">
            <v>50.34282846489004</v>
          </cell>
          <cell r="O327">
            <v>51.677848729266138</v>
          </cell>
          <cell r="P327">
            <v>43.932077035073007</v>
          </cell>
        </row>
        <row r="328">
          <cell r="B328" t="str">
            <v>D-RNGA</v>
          </cell>
          <cell r="C328" t="str">
            <v>VAR_fin</v>
          </cell>
          <cell r="D328" t="str">
            <v>BNGA</v>
          </cell>
          <cell r="E328">
            <v>0.31229675187645711</v>
          </cell>
          <cell r="F328">
            <v>1.277337346760768E-3</v>
          </cell>
          <cell r="G328">
            <v>1.2767118593738904E-3</v>
          </cell>
          <cell r="H328">
            <v>1.2792618084729143E-3</v>
          </cell>
          <cell r="I328">
            <v>1.2809664574716054E-3</v>
          </cell>
          <cell r="J328">
            <v>1.286511470988555E-3</v>
          </cell>
          <cell r="K328">
            <v>1.2880340333559074E-3</v>
          </cell>
          <cell r="L328">
            <v>1.2987772664295914E-3</v>
          </cell>
          <cell r="M328">
            <v>1.2919197017624044E-3</v>
          </cell>
          <cell r="N328">
            <v>1.3056651408762214E-3</v>
          </cell>
          <cell r="O328">
            <v>1.3092269725145972E-3</v>
          </cell>
          <cell r="P328">
            <v>1.4288026371444963E-3</v>
          </cell>
        </row>
        <row r="329">
          <cell r="B329" t="str">
            <v>D-RNGA</v>
          </cell>
          <cell r="C329" t="str">
            <v>VAR_fin</v>
          </cell>
          <cell r="D329" t="str">
            <v>H2</v>
          </cell>
          <cell r="E329"/>
          <cell r="F329"/>
          <cell r="G329"/>
          <cell r="H329">
            <v>1.1544472483752655E-3</v>
          </cell>
          <cell r="I329">
            <v>2.8460268181899075E-3</v>
          </cell>
          <cell r="J329">
            <v>3.3412759658911521E-3</v>
          </cell>
          <cell r="K329">
            <v>3.9415310001416765E-3</v>
          </cell>
          <cell r="L329">
            <v>1.1683006038530083E-2</v>
          </cell>
          <cell r="M329">
            <v>1.081206634706976E-2</v>
          </cell>
          <cell r="N329">
            <v>9.225457752935283E-2</v>
          </cell>
          <cell r="O329">
            <v>0.11330697240531792</v>
          </cell>
          <cell r="P329">
            <v>0.10761126951152913</v>
          </cell>
        </row>
        <row r="330">
          <cell r="B330" t="str">
            <v>D-RNGA</v>
          </cell>
          <cell r="C330" t="str">
            <v>VAR_ncap</v>
          </cell>
          <cell r="D330" t="str">
            <v>-</v>
          </cell>
          <cell r="E330">
            <v>1.0416807096230001E-6</v>
          </cell>
          <cell r="F330">
            <v>3.6004703686326601E-7</v>
          </cell>
          <cell r="G330">
            <v>1.7626244540530201E-6</v>
          </cell>
          <cell r="H330">
            <v>0.11062653708888</v>
          </cell>
          <cell r="I330">
            <v>0.140916494404208</v>
          </cell>
          <cell r="J330">
            <v>3.9051253223439702E-6</v>
          </cell>
          <cell r="K330">
            <v>1.5997685391454801E-6</v>
          </cell>
          <cell r="L330">
            <v>1.9708122329244699</v>
          </cell>
          <cell r="M330">
            <v>0.87792527253695096</v>
          </cell>
          <cell r="N330">
            <v>1.9175332666045698E-6</v>
          </cell>
          <cell r="O330">
            <v>2.6956608641176001E-6</v>
          </cell>
          <cell r="P330">
            <v>5.80379561411213E-6</v>
          </cell>
        </row>
        <row r="331">
          <cell r="B331" t="str">
            <v>D-RNGA</v>
          </cell>
          <cell r="C331" t="str">
            <v>VAR_cap</v>
          </cell>
          <cell r="D331" t="str">
            <v>-</v>
          </cell>
          <cell r="E331">
            <v>3.0972410490766298</v>
          </cell>
          <cell r="F331">
            <v>3.0972414091236664</v>
          </cell>
          <cell r="G331">
            <v>3.0972431717481208</v>
          </cell>
          <cell r="H331">
            <v>3.2078697088370012</v>
          </cell>
          <cell r="I331">
            <v>3.3487862032412092</v>
          </cell>
          <cell r="J331">
            <v>3.3487901083665319</v>
          </cell>
          <cell r="K331">
            <v>3.3487917081350709</v>
          </cell>
          <cell r="L331">
            <v>3.2803725638510901</v>
          </cell>
          <cell r="M331">
            <v>3.10028920620057</v>
          </cell>
          <cell r="N331">
            <v>3.1002901766177202</v>
          </cell>
          <cell r="O331">
            <v>3.0652208404693799</v>
          </cell>
          <cell r="P331">
            <v>2.98966992174923</v>
          </cell>
        </row>
        <row r="332">
          <cell r="B332" t="str">
            <v>RHES-CHPGFC</v>
          </cell>
          <cell r="C332" t="str">
            <v>VAR_fout</v>
          </cell>
          <cell r="D332" t="str">
            <v>CO2_R</v>
          </cell>
          <cell r="E332"/>
          <cell r="F332"/>
          <cell r="G332"/>
          <cell r="H332">
            <v>1.77192754254724E-2</v>
          </cell>
          <cell r="I332">
            <v>6.2200994914415199E-2</v>
          </cell>
          <cell r="J332">
            <v>6.1987252372899898E-2</v>
          </cell>
          <cell r="K332">
            <v>6.4005497443437004E-2</v>
          </cell>
          <cell r="L332">
            <v>0.15190581018100499</v>
          </cell>
          <cell r="M332">
            <v>0.122843361136646</v>
          </cell>
          <cell r="N332">
            <v>0.19973724000786799</v>
          </cell>
          <cell r="O332">
            <v>0.19323554062235401</v>
          </cell>
          <cell r="P332">
            <v>0.371197158893038</v>
          </cell>
        </row>
        <row r="333">
          <cell r="B333" t="str">
            <v>RHES-CHPGFC</v>
          </cell>
          <cell r="C333" t="str">
            <v>VAR_fout</v>
          </cell>
          <cell r="D333" t="str">
            <v>RHES_NKEV_GAS_ELC_CHP</v>
          </cell>
          <cell r="E333"/>
          <cell r="F333"/>
          <cell r="G333"/>
          <cell r="H333">
            <v>1.3195205104075223E-4</v>
          </cell>
          <cell r="I333">
            <v>4.7422744349642873E-4</v>
          </cell>
          <cell r="J333">
            <v>4.835884936892901E-4</v>
          </cell>
          <cell r="K333">
            <v>5.0500791422569984E-4</v>
          </cell>
          <cell r="L333">
            <v>1.212014442933552E-3</v>
          </cell>
          <cell r="M333">
            <v>9.8013320055834489E-4</v>
          </cell>
          <cell r="N333">
            <v>1.5936481915521359E-3</v>
          </cell>
          <cell r="O333">
            <v>1.541772930497507E-3</v>
          </cell>
          <cell r="P333">
            <v>2.9616794592529643E-3</v>
          </cell>
        </row>
        <row r="334">
          <cell r="B334" t="str">
            <v>RHES-CHPGFC</v>
          </cell>
          <cell r="C334" t="str">
            <v>VAR_fout</v>
          </cell>
          <cell r="D334" t="str">
            <v>RHES_LTH_CHPNGA</v>
          </cell>
          <cell r="E334"/>
          <cell r="F334"/>
          <cell r="G334"/>
          <cell r="H334">
            <v>1.4778629716564253E-4</v>
          </cell>
          <cell r="I334">
            <v>5.1690791341110667E-4</v>
          </cell>
          <cell r="J334">
            <v>5.1260380331064764E-4</v>
          </cell>
          <cell r="K334">
            <v>5.2015815165247102E-4</v>
          </cell>
          <cell r="L334">
            <v>1.212014442933552E-3</v>
          </cell>
          <cell r="M334">
            <v>9.8013320055834489E-4</v>
          </cell>
          <cell r="N334">
            <v>1.5936481915521359E-3</v>
          </cell>
          <cell r="O334">
            <v>1.541772930497507E-3</v>
          </cell>
          <cell r="P334">
            <v>2.9616794592529643E-3</v>
          </cell>
        </row>
        <row r="335">
          <cell r="B335" t="str">
            <v>RHES-CHPGFC</v>
          </cell>
          <cell r="C335" t="str">
            <v>VAR_fin</v>
          </cell>
          <cell r="D335" t="str">
            <v>RNGA</v>
          </cell>
          <cell r="E335"/>
          <cell r="F335"/>
          <cell r="G335"/>
          <cell r="H335">
            <v>3.1417155009702904E-4</v>
          </cell>
          <cell r="I335">
            <v>1.1028545197591365E-3</v>
          </cell>
          <cell r="J335">
            <v>1.0990647583847505E-3</v>
          </cell>
          <cell r="K335">
            <v>1.1348492454510101E-3</v>
          </cell>
          <cell r="L335">
            <v>2.6933654287412279E-3</v>
          </cell>
          <cell r="M335">
            <v>2.1780737790185432E-3</v>
          </cell>
          <cell r="N335">
            <v>3.5414404256714138E-3</v>
          </cell>
          <cell r="O335">
            <v>3.4261620677722357E-3</v>
          </cell>
          <cell r="P335">
            <v>6.5815099094510372E-3</v>
          </cell>
        </row>
        <row r="336">
          <cell r="B336" t="str">
            <v>RHES-CHPGFC</v>
          </cell>
          <cell r="C336" t="str">
            <v>VAR_ncap</v>
          </cell>
          <cell r="D336" t="str">
            <v>-</v>
          </cell>
          <cell r="E336"/>
          <cell r="F336"/>
          <cell r="G336"/>
          <cell r="H336">
            <v>1.1670985412901101E-5</v>
          </cell>
          <cell r="I336">
            <v>3.0541257950106802E-5</v>
          </cell>
          <cell r="J336">
            <v>6.9372836683563496E-7</v>
          </cell>
          <cell r="K336">
            <v>5.6635879624641203E-6</v>
          </cell>
          <cell r="L336">
            <v>7.0989419231115407E-5</v>
          </cell>
          <cell r="M336">
            <v>7.2970624011886504E-7</v>
          </cell>
          <cell r="N336">
            <v>6.4549854938812E-5</v>
          </cell>
          <cell r="O336">
            <v>1.0634030891407499E-6</v>
          </cell>
          <cell r="P336">
            <v>1.9740174072394999E-4</v>
          </cell>
        </row>
        <row r="337">
          <cell r="B337" t="str">
            <v>RHES-CHPGFC</v>
          </cell>
          <cell r="C337" t="str">
            <v>VAR_cap</v>
          </cell>
          <cell r="D337" t="str">
            <v>-</v>
          </cell>
          <cell r="E337"/>
          <cell r="F337"/>
          <cell r="G337"/>
          <cell r="H337">
            <v>1.1670985412901101E-5</v>
          </cell>
          <cell r="I337">
            <v>4.2199894650697953E-5</v>
          </cell>
          <cell r="J337">
            <v>4.2855799760162449E-5</v>
          </cell>
          <cell r="K337">
            <v>4.4766886755884242E-5</v>
          </cell>
          <cell r="L337">
            <v>1.0770501997610742E-4</v>
          </cell>
          <cell r="M337">
            <v>8.6947843903415972E-5</v>
          </cell>
          <cell r="N337">
            <v>1.4165680783527991E-4</v>
          </cell>
          <cell r="O337">
            <v>1.370542003567449E-4</v>
          </cell>
          <cell r="P337">
            <v>2.6342505723916991E-4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E338"/>
          <cell r="F338"/>
          <cell r="G338"/>
          <cell r="H338">
            <v>1.327989840028848E-3</v>
          </cell>
          <cell r="I338">
            <v>3.7827351381642042E-3</v>
          </cell>
          <cell r="J338">
            <v>5.6334770383172838E-3</v>
          </cell>
          <cell r="K338">
            <v>5.1191833240696333E-3</v>
          </cell>
          <cell r="L338">
            <v>1.4130128054023808E-2</v>
          </cell>
          <cell r="M338">
            <v>1.1842125280817789E-2</v>
          </cell>
          <cell r="N338">
            <v>3.5182211445740991E-2</v>
          </cell>
          <cell r="O338">
            <v>3.6987152064979677E-2</v>
          </cell>
          <cell r="P338">
            <v>4.4139890219299795E-2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E339"/>
          <cell r="F339"/>
          <cell r="G339"/>
          <cell r="H339">
            <v>1.7766350562548091E-3</v>
          </cell>
          <cell r="I339">
            <v>5.6145544029723602E-3</v>
          </cell>
          <cell r="J339">
            <v>9.3891283971954693E-3</v>
          </cell>
          <cell r="K339">
            <v>9.3076060437629719E-3</v>
          </cell>
          <cell r="L339">
            <v>2.8260256108047617E-2</v>
          </cell>
          <cell r="M339">
            <v>2.3684250561635582E-2</v>
          </cell>
          <cell r="N339">
            <v>7.036442289148194E-2</v>
          </cell>
          <cell r="O339">
            <v>7.3974304129959395E-2</v>
          </cell>
          <cell r="P339">
            <v>8.8279780438599603E-2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E340"/>
          <cell r="F340"/>
          <cell r="G340"/>
          <cell r="H340">
            <v>3.5891617298076973E-3</v>
          </cell>
          <cell r="I340">
            <v>1.0745558665975806E-2</v>
          </cell>
          <cell r="J340">
            <v>1.7071142540355393E-2</v>
          </cell>
          <cell r="K340">
            <v>1.6187140945674739E-2</v>
          </cell>
          <cell r="L340">
            <v>4.710042684674598E-2</v>
          </cell>
          <cell r="M340">
            <v>3.9473750936059301E-2</v>
          </cell>
          <cell r="N340">
            <v>0.11727403815246977</v>
          </cell>
          <cell r="O340">
            <v>0.12329050688326554</v>
          </cell>
          <cell r="P340">
            <v>0.14713296739766607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E341"/>
          <cell r="F341"/>
          <cell r="G341"/>
          <cell r="H341">
            <v>1.4676254139056599E-4</v>
          </cell>
          <cell r="I341">
            <v>2.24186176280534E-4</v>
          </cell>
          <cell r="J341">
            <v>1.63522918763191E-4</v>
          </cell>
          <cell r="K341">
            <v>1.1607375337584801E-4</v>
          </cell>
          <cell r="L341">
            <v>9.4427214030867604E-4</v>
          </cell>
          <cell r="M341">
            <v>2.4449253843777499E-6</v>
          </cell>
          <cell r="N341">
            <v>2.1361452901753502E-3</v>
          </cell>
          <cell r="O341">
            <v>8.1993531502407404E-4</v>
          </cell>
          <cell r="P341">
            <v>1.3190476864017801E-3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E342"/>
          <cell r="F342"/>
          <cell r="G342"/>
          <cell r="H342">
            <v>1.4676254139056599E-4</v>
          </cell>
          <cell r="I342">
            <v>3.708741867341894E-4</v>
          </cell>
          <cell r="J342">
            <v>5.062364387020484E-4</v>
          </cell>
          <cell r="K342">
            <v>5.0347485289783294E-4</v>
          </cell>
          <cell r="L342">
            <v>1.2234518049167187E-3</v>
          </cell>
          <cell r="M342">
            <v>1.0719456592842114E-3</v>
          </cell>
          <cell r="N342">
            <v>3.0822945126947323E-3</v>
          </cell>
          <cell r="O342">
            <v>3.124267444126104E-3</v>
          </cell>
          <cell r="P342">
            <v>4.2745015063961923E-3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E343">
            <v>6.4979154082693906</v>
          </cell>
          <cell r="F343">
            <v>12.036671817016972</v>
          </cell>
          <cell r="G343">
            <v>15.185121294688729</v>
          </cell>
          <cell r="H343">
            <v>22.224982815950046</v>
          </cell>
          <cell r="I343">
            <v>24.330751289106928</v>
          </cell>
          <cell r="J343">
            <v>23.600019053909378</v>
          </cell>
          <cell r="K343">
            <v>25.251356040109677</v>
          </cell>
          <cell r="L343">
            <v>24.969658616131522</v>
          </cell>
          <cell r="M343">
            <v>23.359912839695635</v>
          </cell>
          <cell r="N343">
            <v>24.981485730551796</v>
          </cell>
          <cell r="O343">
            <v>25.3884139634003</v>
          </cell>
          <cell r="P343">
            <v>25.815545930579734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E344">
            <v>5.9980757614794467</v>
          </cell>
          <cell r="F344">
            <v>12.033358853754343</v>
          </cell>
          <cell r="G344">
            <v>15.179990115554723</v>
          </cell>
          <cell r="H344">
            <v>15.623502771608456</v>
          </cell>
          <cell r="I344">
            <v>24.326591580145539</v>
          </cell>
          <cell r="J344">
            <v>12.32059818255563</v>
          </cell>
          <cell r="K344">
            <v>25.247452313816751</v>
          </cell>
          <cell r="L344">
            <v>11.4575965168958</v>
          </cell>
          <cell r="M344">
            <v>23.354852006144192</v>
          </cell>
          <cell r="N344">
            <v>24.969809658986723</v>
          </cell>
          <cell r="O344">
            <v>25.3772547111577</v>
          </cell>
          <cell r="P344">
            <v>25.78923741699537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E345">
            <v>0.4998396467899533</v>
          </cell>
          <cell r="F345">
            <v>3.3129632626158157E-3</v>
          </cell>
          <cell r="G345">
            <v>5.1311791339884033E-3</v>
          </cell>
          <cell r="H345">
            <v>6.6014800443415993</v>
          </cell>
          <cell r="I345">
            <v>4.1597089613931134E-3</v>
          </cell>
          <cell r="J345">
            <v>11.279420871353748</v>
          </cell>
          <cell r="K345">
            <v>3.9037262929422674E-3</v>
          </cell>
          <cell r="L345">
            <v>13.512062099235719</v>
          </cell>
          <cell r="M345">
            <v>5.0608335514415312E-3</v>
          </cell>
          <cell r="N345">
            <v>1.1676071565042427E-2</v>
          </cell>
          <cell r="O345">
            <v>1.1159252242631619E-2</v>
          </cell>
          <cell r="P345">
            <v>2.6308513584356163E-2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E346">
            <v>1.7118522761470201E-7</v>
          </cell>
          <cell r="F346">
            <v>1.8309342582745001E-7</v>
          </cell>
          <cell r="G346">
            <v>2.22973896237779E-7</v>
          </cell>
          <cell r="H346">
            <v>2.6103450836510201E-7</v>
          </cell>
          <cell r="I346">
            <v>3.62522482797212E-7</v>
          </cell>
          <cell r="J346">
            <v>4.6039285526179601E-7</v>
          </cell>
          <cell r="K346">
            <v>6.1467977643427001E-7</v>
          </cell>
          <cell r="L346">
            <v>1.00667892538391E-6</v>
          </cell>
          <cell r="M346">
            <v>1.27285871893136E-6</v>
          </cell>
          <cell r="N346">
            <v>2.5816162501616002E-6</v>
          </cell>
          <cell r="O346">
            <v>4.7280853334496404E-6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E347">
            <v>0.86351880627381705</v>
          </cell>
          <cell r="F347">
            <v>0.86351886193249661</v>
          </cell>
          <cell r="G347">
            <v>0.86351916055247047</v>
          </cell>
          <cell r="H347">
            <v>0.86351952714477098</v>
          </cell>
          <cell r="I347">
            <v>0.86351973186276942</v>
          </cell>
          <cell r="J347">
            <v>0.86352018444965573</v>
          </cell>
          <cell r="K347">
            <v>0.8635207634377664</v>
          </cell>
          <cell r="L347">
            <v>0.86352108215598955</v>
          </cell>
          <cell r="M347">
            <v>0.86352278914821501</v>
          </cell>
          <cell r="N347">
            <v>0.86352398339297565</v>
          </cell>
          <cell r="O347">
            <v>0.86352821983098182</v>
          </cell>
          <cell r="P347">
            <v>0.86353067139521755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E348">
            <v>1.586811801645533E-5</v>
          </cell>
          <cell r="F348">
            <v>1.3797332940795615E-4</v>
          </cell>
          <cell r="G348">
            <v>1.1784045014941406E-2</v>
          </cell>
          <cell r="H348">
            <v>1.5284145594824765E-2</v>
          </cell>
          <cell r="I348">
            <v>7.5628124994505316E-2</v>
          </cell>
          <cell r="J348">
            <v>7.1851250580287296E-2</v>
          </cell>
          <cell r="K348">
            <v>6.8356128206370451E-2</v>
          </cell>
          <cell r="L348">
            <v>0.13433930879292832</v>
          </cell>
          <cell r="M348">
            <v>0.10742793406219768</v>
          </cell>
          <cell r="N348">
            <v>0.14240974715437194</v>
          </cell>
          <cell r="O348">
            <v>0.12887922776454735</v>
          </cell>
          <cell r="P348">
            <v>0.19169752532965581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E349">
            <v>1.586811801645535E-5</v>
          </cell>
          <cell r="F349">
            <v>1.3808610454310455E-4</v>
          </cell>
          <cell r="G349">
            <v>1.1799094880860873E-2</v>
          </cell>
          <cell r="H349">
            <v>1.528414559482473E-2</v>
          </cell>
          <cell r="I349">
            <v>7.5712249716412244E-2</v>
          </cell>
          <cell r="J349">
            <v>7.1851250580287171E-2</v>
          </cell>
          <cell r="K349">
            <v>6.8422947491029562E-2</v>
          </cell>
          <cell r="L349">
            <v>0.13433930879292832</v>
          </cell>
          <cell r="M349">
            <v>0.10742793406219767</v>
          </cell>
          <cell r="N349">
            <v>0.14240974715437191</v>
          </cell>
          <cell r="O349">
            <v>0.12887922776454733</v>
          </cell>
          <cell r="P349">
            <v>0.19169752532965581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E350">
            <v>2.5989549000414168E-5</v>
          </cell>
          <cell r="F350">
            <v>1.7118760148793715E-4</v>
          </cell>
          <cell r="G350">
            <v>1.4042275338296301E-2</v>
          </cell>
          <cell r="H350">
            <v>1.757429384324783E-2</v>
          </cell>
          <cell r="I350">
            <v>8.4133209840744447E-2</v>
          </cell>
          <cell r="J350">
            <v>7.7272207785711769E-2</v>
          </cell>
          <cell r="K350">
            <v>7.1282457935731139E-2</v>
          </cell>
          <cell r="L350">
            <v>0.13572186862721475</v>
          </cell>
          <cell r="M350">
            <v>0.10852231101285037</v>
          </cell>
          <cell r="N350">
            <v>0.14387382656802522</v>
          </cell>
          <cell r="O350">
            <v>0.13019436997891146</v>
          </cell>
          <cell r="P350">
            <v>0.19366230521294994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E351">
            <v>2.5989549000414168E-5</v>
          </cell>
          <cell r="F351">
            <v>1.7118760148793715E-4</v>
          </cell>
          <cell r="G351">
            <v>1.4042275338296301E-2</v>
          </cell>
          <cell r="H351">
            <v>1.757429384324783E-2</v>
          </cell>
          <cell r="I351">
            <v>8.4133209840744447E-2</v>
          </cell>
          <cell r="J351">
            <v>7.7272207785711769E-2</v>
          </cell>
          <cell r="K351">
            <v>7.1282457935731139E-2</v>
          </cell>
          <cell r="L351">
            <v>0.13572186862721475</v>
          </cell>
          <cell r="M351">
            <v>0.10852231101285037</v>
          </cell>
          <cell r="N351">
            <v>0.14387382656802522</v>
          </cell>
          <cell r="O351">
            <v>0.13019436997891146</v>
          </cell>
          <cell r="P351">
            <v>0.19366230521294994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E352">
            <v>2.2806143100061798E-3</v>
          </cell>
          <cell r="F352">
            <v>3.2489968664184299E-5</v>
          </cell>
          <cell r="G352">
            <v>1.19524859568657E-3</v>
          </cell>
          <cell r="H352">
            <v>1.2098060233853901E-3</v>
          </cell>
          <cell r="I352">
            <v>1.2323558197733901E-2</v>
          </cell>
          <cell r="J352">
            <v>2.5524442938030102E-4</v>
          </cell>
          <cell r="K352">
            <v>1.4711919977058801E-4</v>
          </cell>
          <cell r="L352">
            <v>1.53662927785397E-2</v>
          </cell>
          <cell r="M352">
            <v>8.5182782454609106E-5</v>
          </cell>
          <cell r="N352">
            <v>4.0820863506800297E-3</v>
          </cell>
          <cell r="O352">
            <v>1.2928694499766901E-2</v>
          </cell>
          <cell r="P352">
            <v>4.17722756426743E-3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E353">
            <v>2.2806143100061798E-3</v>
          </cell>
          <cell r="F353">
            <v>2.3093315016643819E-3</v>
          </cell>
          <cell r="G353">
            <v>3.4951653037870161E-3</v>
          </cell>
          <cell r="H353">
            <v>4.6812025569778351E-3</v>
          </cell>
          <cell r="I353">
            <v>1.5300747216826846E-2</v>
          </cell>
          <cell r="J353">
            <v>1.3770041014115154E-2</v>
          </cell>
          <cell r="K353">
            <v>1.2703452216843993E-2</v>
          </cell>
          <cell r="L353">
            <v>1.5745913383046484E-2</v>
          </cell>
          <cell r="M353">
            <v>1.5560977228108681E-2</v>
          </cell>
          <cell r="N353">
            <v>1.9498997901289325E-2</v>
          </cell>
          <cell r="O353">
            <v>1.9733643665671083E-2</v>
          </cell>
          <cell r="P353">
            <v>2.1147743159300941E-2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E354">
            <v>1.2440199932159008E-4</v>
          </cell>
          <cell r="F354">
            <v>6.3070943711772835E-5</v>
          </cell>
          <cell r="G354">
            <v>6.4422463934442499E-5</v>
          </cell>
          <cell r="H354">
            <v>1.7540435913027147E-3</v>
          </cell>
          <cell r="I354">
            <v>5.3205970110401599E-3</v>
          </cell>
          <cell r="J354">
            <v>8.1852035515084451E-3</v>
          </cell>
          <cell r="K354">
            <v>1.78819785556978E-2</v>
          </cell>
          <cell r="L354">
            <v>8.9020764660702689E-2</v>
          </cell>
          <cell r="M354">
            <v>7.5683299495667031E-2</v>
          </cell>
          <cell r="N354">
            <v>0.13916399720327996</v>
          </cell>
          <cell r="O354">
            <v>0.1037023373945689</v>
          </cell>
          <cell r="P354">
            <v>0.21473039614832895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E355">
            <v>1.2440199932159027E-4</v>
          </cell>
          <cell r="F355">
            <v>6.3122495951843853E-5</v>
          </cell>
          <cell r="G355">
            <v>6.4504740389020334E-5</v>
          </cell>
          <cell r="H355">
            <v>1.754043591302713E-3</v>
          </cell>
          <cell r="I355">
            <v>5.3265153614417545E-3</v>
          </cell>
          <cell r="J355">
            <v>8.1852035515084364E-3</v>
          </cell>
          <cell r="K355">
            <v>1.7899458495634939E-2</v>
          </cell>
          <cell r="L355">
            <v>8.9020764660702675E-2</v>
          </cell>
          <cell r="M355">
            <v>7.5683299495667003E-2</v>
          </cell>
          <cell r="N355">
            <v>0.13916399720327996</v>
          </cell>
          <cell r="O355">
            <v>0.1037023373945689</v>
          </cell>
          <cell r="P355">
            <v>0.21473039614832895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E356">
            <v>1.2440199932159027E-4</v>
          </cell>
          <cell r="F356">
            <v>6.3122495951843853E-5</v>
          </cell>
          <cell r="G356">
            <v>6.4504740389020334E-5</v>
          </cell>
          <cell r="H356">
            <v>2.0192972594261873E-3</v>
          </cell>
          <cell r="I356">
            <v>5.9227499064685631E-3</v>
          </cell>
          <cell r="J356">
            <v>8.8076934211941977E-3</v>
          </cell>
          <cell r="K356">
            <v>1.8651490788340767E-2</v>
          </cell>
          <cell r="L356">
            <v>8.9930540891164368E-2</v>
          </cell>
          <cell r="M356">
            <v>7.6453776593157496E-2</v>
          </cell>
          <cell r="N356">
            <v>0.14057982633769184</v>
          </cell>
          <cell r="O356">
            <v>0.10475596839526591</v>
          </cell>
          <cell r="P356">
            <v>0.21691147757711901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E357">
            <v>1.2440199932159027E-4</v>
          </cell>
          <cell r="F357">
            <v>6.3122495951843853E-5</v>
          </cell>
          <cell r="G357">
            <v>6.4504740389020334E-5</v>
          </cell>
          <cell r="H357">
            <v>2.0192972594261873E-3</v>
          </cell>
          <cell r="I357">
            <v>5.9227499064685631E-3</v>
          </cell>
          <cell r="J357">
            <v>8.8076934211941977E-3</v>
          </cell>
          <cell r="K357">
            <v>1.8651490788340767E-2</v>
          </cell>
          <cell r="L357">
            <v>8.9930540891164368E-2</v>
          </cell>
          <cell r="M357">
            <v>7.6453776593157496E-2</v>
          </cell>
          <cell r="N357">
            <v>0.14057982633769184</v>
          </cell>
          <cell r="O357">
            <v>0.10475596839526591</v>
          </cell>
          <cell r="P357">
            <v>0.21691147757711901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E358">
            <v>1.13652646857692E-3</v>
          </cell>
          <cell r="F358">
            <v>3.5427390371922997E-5</v>
          </cell>
          <cell r="G358">
            <v>8.1956899375055603E-5</v>
          </cell>
          <cell r="H358">
            <v>8.5939834247198996E-5</v>
          </cell>
          <cell r="I358">
            <v>1.2240752596894E-3</v>
          </cell>
          <cell r="J358">
            <v>9.0889990488991399E-4</v>
          </cell>
          <cell r="K358">
            <v>1.2678412334394301E-4</v>
          </cell>
          <cell r="L358">
            <v>4.547946250349E-3</v>
          </cell>
          <cell r="M358">
            <v>3.8604290288452901E-5</v>
          </cell>
          <cell r="N358">
            <v>4.1601124014764099E-3</v>
          </cell>
          <cell r="O358">
            <v>1.5474296793703301E-3</v>
          </cell>
          <cell r="P358">
            <v>7.7932237527777899E-3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E359">
            <v>1.13652646857692E-3</v>
          </cell>
          <cell r="F359">
            <v>1.1680559339971542E-3</v>
          </cell>
          <cell r="G359">
            <v>1.2415601798820258E-3</v>
          </cell>
          <cell r="H359">
            <v>1.3145876995099438E-3</v>
          </cell>
          <cell r="I359">
            <v>1.6706669453986972E-3</v>
          </cell>
          <cell r="J359">
            <v>2.1899065524406793E-3</v>
          </cell>
          <cell r="K359">
            <v>2.2365483687896265E-3</v>
          </cell>
          <cell r="L359">
            <v>5.5637764280634262E-3</v>
          </cell>
          <cell r="M359">
            <v>4.7603196479411563E-3</v>
          </cell>
          <cell r="N359">
            <v>8.7107530756620009E-3</v>
          </cell>
          <cell r="O359">
            <v>6.4885075702293153E-3</v>
          </cell>
          <cell r="P359">
            <v>1.3463975620155732E-2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E360">
            <v>213.78071173619699</v>
          </cell>
          <cell r="F360">
            <v>177.64135892721501</v>
          </cell>
          <cell r="G360">
            <v>0.24920234802098901</v>
          </cell>
          <cell r="H360">
            <v>7.0518207378904504E-2</v>
          </cell>
          <cell r="I360">
            <v>0.11036419989893</v>
          </cell>
          <cell r="J360">
            <v>9.9600929900093907E-2</v>
          </cell>
          <cell r="K360">
            <v>0.11292900342852701</v>
          </cell>
          <cell r="L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E361">
            <v>2.7300042170278207</v>
          </cell>
          <cell r="F361">
            <v>2.2685005352039722</v>
          </cell>
          <cell r="G361">
            <v>3.1823425764904607E-3</v>
          </cell>
          <cell r="H361">
            <v>9.0052559914391547E-4</v>
          </cell>
          <cell r="I361">
            <v>1.4093634953595583E-3</v>
          </cell>
          <cell r="J361">
            <v>1.2719153025492918E-3</v>
          </cell>
          <cell r="K361">
            <v>1.4421163307055563E-3</v>
          </cell>
          <cell r="L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E362">
            <v>2.7763728796908738</v>
          </cell>
          <cell r="F362">
            <v>2.3070306354183776</v>
          </cell>
          <cell r="G362">
            <v>3.2363941301427105E-3</v>
          </cell>
          <cell r="H362">
            <v>9.1582087505070846E-4</v>
          </cell>
          <cell r="I362">
            <v>1.4333012973887045E-3</v>
          </cell>
          <cell r="J362">
            <v>1.2935185701310884E-3</v>
          </cell>
          <cell r="K362">
            <v>1.4666104341367115E-3</v>
          </cell>
          <cell r="L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E363"/>
          <cell r="F363">
            <v>0.24943900743542899</v>
          </cell>
          <cell r="G363">
            <v>2.5419919213812299</v>
          </cell>
          <cell r="H363">
            <v>71.538091470533402</v>
          </cell>
          <cell r="I363">
            <v>72.648546073719302</v>
          </cell>
          <cell r="J363">
            <v>75.482728333569696</v>
          </cell>
          <cell r="K363">
            <v>74.9100599038686</v>
          </cell>
          <cell r="L363">
            <v>79.085697565336304</v>
          </cell>
          <cell r="M363">
            <v>77.946529910280205</v>
          </cell>
          <cell r="N363">
            <v>74.855695444705106</v>
          </cell>
          <cell r="O363">
            <v>51.586869884469401</v>
          </cell>
          <cell r="P363">
            <v>5.3050004532272501</v>
          </cell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E364"/>
          <cell r="F364">
            <v>1.2813419536013438E-3</v>
          </cell>
          <cell r="G364">
            <v>1.2670860241482141E-2</v>
          </cell>
          <cell r="H364">
            <v>0.37923223941480838</v>
          </cell>
          <cell r="I364">
            <v>0.38771483739096685</v>
          </cell>
          <cell r="J364">
            <v>0.40498395598479853</v>
          </cell>
          <cell r="K364">
            <v>0.40528767137121802</v>
          </cell>
          <cell r="L364">
            <v>0.43136405950181228</v>
          </cell>
          <cell r="M364">
            <v>0.4255668445591006</v>
          </cell>
          <cell r="N364">
            <v>0.40775386377584888</v>
          </cell>
          <cell r="O364">
            <v>0.28133169292306037</v>
          </cell>
          <cell r="P364">
            <v>2.6679623697392806E-2</v>
          </cell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E365"/>
          <cell r="F365">
            <v>2.7565052877704327E-3</v>
          </cell>
          <cell r="G365">
            <v>2.6856398029072519E-2</v>
          </cell>
          <cell r="H365">
            <v>0.78374662812393914</v>
          </cell>
          <cell r="I365">
            <v>0.79153149316538407</v>
          </cell>
          <cell r="J365">
            <v>0.81660699321524988</v>
          </cell>
          <cell r="K365">
            <v>0.80736047491030127</v>
          </cell>
          <cell r="L365">
            <v>0.84881314934227536</v>
          </cell>
          <cell r="M365">
            <v>0.83740572639048749</v>
          </cell>
          <cell r="N365">
            <v>0.80235437710731472</v>
          </cell>
          <cell r="O365">
            <v>0.55358816994537696</v>
          </cell>
          <cell r="P365">
            <v>5.249861437228899E-2</v>
          </cell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E366"/>
          <cell r="F366">
            <v>4.422677436798389E-3</v>
          </cell>
          <cell r="G366">
            <v>4.5070778747894107E-2</v>
          </cell>
          <cell r="H366">
            <v>1.2684058771371163</v>
          </cell>
          <cell r="I366">
            <v>1.2880947885411216</v>
          </cell>
          <cell r="J366">
            <v>1.3383462470491065</v>
          </cell>
          <cell r="K366">
            <v>1.328192551487031</v>
          </cell>
          <cell r="L366">
            <v>1.4022286802364572</v>
          </cell>
          <cell r="M366">
            <v>1.3820306721680884</v>
          </cell>
          <cell r="N366">
            <v>1.3272286426366158</v>
          </cell>
          <cell r="O366">
            <v>0.91466081355442075</v>
          </cell>
          <cell r="P366">
            <v>9.4060291723887468E-2</v>
          </cell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E367"/>
          <cell r="F367">
            <v>1.3388352984412E-4</v>
          </cell>
          <cell r="G367">
            <v>8.0639137616313997E-4</v>
          </cell>
          <cell r="H367">
            <v>2.7200414555953199E-2</v>
          </cell>
          <cell r="I367">
            <v>6.3019599610412199E-4</v>
          </cell>
          <cell r="J367">
            <v>1.3330050235199401E-3</v>
          </cell>
          <cell r="K367">
            <v>9.3912127650597702E-3</v>
          </cell>
          <cell r="L367">
            <v>2.0655914212137499E-2</v>
          </cell>
          <cell r="M367">
            <v>1.8500077297780101E-4</v>
          </cell>
          <cell r="N367">
            <v>2.63586349975758E-5</v>
          </cell>
          <cell r="O367">
            <v>1.02152871348925E-5</v>
          </cell>
          <cell r="P367">
            <v>1.7612254558914901E-3</v>
          </cell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E368"/>
          <cell r="F368">
            <v>1.3388352984412E-4</v>
          </cell>
          <cell r="G368">
            <v>9.4021034846018532E-4</v>
          </cell>
          <cell r="H368">
            <v>2.8140583596984278E-2</v>
          </cell>
          <cell r="I368">
            <v>2.8770472944227538E-2</v>
          </cell>
          <cell r="J368">
            <v>3.0051586911312208E-2</v>
          </cell>
          <cell r="K368">
            <v>3.007396756790813E-2</v>
          </cell>
          <cell r="L368">
            <v>3.2009598266058398E-2</v>
          </cell>
          <cell r="M368">
            <v>3.1579008681765039E-2</v>
          </cell>
          <cell r="N368">
            <v>3.0257632056639203E-2</v>
          </cell>
          <cell r="O368">
            <v>2.0876539477422382E-2</v>
          </cell>
          <cell r="P368">
            <v>1.981560731929022E-3</v>
          </cell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E369">
            <v>26.492979911879338</v>
          </cell>
          <cell r="F369">
            <v>3.8327013483783145E-4</v>
          </cell>
          <cell r="G369">
            <v>4.0869226548880119E-4</v>
          </cell>
          <cell r="H369">
            <v>3.8792139159350085E-4</v>
          </cell>
          <cell r="I369">
            <v>5.5143441002100777E-4</v>
          </cell>
          <cell r="J369">
            <v>5.8981867300869823E-4</v>
          </cell>
          <cell r="K369">
            <v>5.0878149528997519E-4</v>
          </cell>
          <cell r="L369">
            <v>4.6400034598323046E-4</v>
          </cell>
          <cell r="M369">
            <v>3.3033443638172936E-4</v>
          </cell>
          <cell r="N369">
            <v>5.8013712218153604E-4</v>
          </cell>
          <cell r="O369">
            <v>5.7231052626658676E-4</v>
          </cell>
          <cell r="P369">
            <v>1.0902148007127632E-3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E370">
            <v>26.492979911879338</v>
          </cell>
          <cell r="F370">
            <v>3.8327013483783145E-4</v>
          </cell>
          <cell r="G370">
            <v>4.0869226548880119E-4</v>
          </cell>
          <cell r="H370">
            <v>3.8792139159350085E-4</v>
          </cell>
          <cell r="I370">
            <v>5.5143441002100777E-4</v>
          </cell>
          <cell r="J370">
            <v>5.8981867300869823E-4</v>
          </cell>
          <cell r="K370">
            <v>5.0878149528997519E-4</v>
          </cell>
          <cell r="L370">
            <v>4.6400034598323046E-4</v>
          </cell>
          <cell r="M370">
            <v>3.3033443638172936E-4</v>
          </cell>
          <cell r="N370">
            <v>5.8013712218153604E-4</v>
          </cell>
          <cell r="O370">
            <v>5.7231052626658676E-4</v>
          </cell>
          <cell r="P370">
            <v>1.0902148007127632E-3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E371">
            <v>6.90653024692689E-7</v>
          </cell>
          <cell r="F371">
            <v>8.7586289261534595E-7</v>
          </cell>
          <cell r="G371">
            <v>2.6398659708678601E-6</v>
          </cell>
          <cell r="H371">
            <v>2.4120820671008101E-6</v>
          </cell>
          <cell r="I371">
            <v>8.1017497973945903E-6</v>
          </cell>
          <cell r="J371">
            <v>2.9428878493472998E-4</v>
          </cell>
          <cell r="K371">
            <v>3.5059993086672003E-5</v>
          </cell>
          <cell r="L371">
            <v>2.4751280628462199E-4</v>
          </cell>
          <cell r="M371">
            <v>1.47998755913828E-5</v>
          </cell>
          <cell r="N371">
            <v>5.0269204686851201E-4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E372">
            <v>4.0265751136524495</v>
          </cell>
          <cell r="F372">
            <v>4.4626545015002961E-4</v>
          </cell>
          <cell r="G372">
            <v>4.3156304729929928E-4</v>
          </cell>
          <cell r="H372">
            <v>3.9976351285897493E-4</v>
          </cell>
          <cell r="I372">
            <v>3.9997890080734066E-4</v>
          </cell>
          <cell r="J372">
            <v>3.9806447238532883E-4</v>
          </cell>
          <cell r="K372">
            <v>4.4637811921788284E-4</v>
          </cell>
          <cell r="L372">
            <v>4.3130001439761756E-4</v>
          </cell>
          <cell r="M372">
            <v>3.27467947786926E-4</v>
          </cell>
          <cell r="N372">
            <v>5.8274401332636307E-4</v>
          </cell>
          <cell r="O372">
            <v>5.8905305563935616E-4</v>
          </cell>
          <cell r="P372">
            <v>1.0889210062387498E-3</v>
          </cell>
        </row>
        <row r="373">
          <cell r="B373" t="str">
            <v>ENUC_BMGL_EXT</v>
          </cell>
          <cell r="C373" t="str">
            <v>VAR_fout</v>
          </cell>
          <cell r="D373" t="str">
            <v>ELC</v>
          </cell>
          <cell r="E373"/>
          <cell r="F373">
            <v>33.165912915836806</v>
          </cell>
          <cell r="G373">
            <v>32.300431726780999</v>
          </cell>
          <cell r="H373">
            <v>33.165912562111274</v>
          </cell>
          <cell r="I373">
            <v>33.165914002162133</v>
          </cell>
          <cell r="J373">
            <v>33.16592444893142</v>
          </cell>
          <cell r="K373"/>
          <cell r="L373"/>
        </row>
        <row r="374">
          <cell r="B374" t="str">
            <v>ENUC_BMGL_EXT</v>
          </cell>
          <cell r="C374" t="str">
            <v>VAR_fin</v>
          </cell>
          <cell r="D374" t="str">
            <v>URN</v>
          </cell>
          <cell r="E374"/>
          <cell r="F374">
            <v>100.02406577637105</v>
          </cell>
          <cell r="G374">
            <v>97.413887440499167</v>
          </cell>
          <cell r="H374">
            <v>100.02406470958084</v>
          </cell>
          <cell r="I374">
            <v>100.0240690525865</v>
          </cell>
          <cell r="J374">
            <v>100.02410055867948</v>
          </cell>
          <cell r="K374"/>
          <cell r="L374"/>
        </row>
        <row r="375">
          <cell r="B375" t="str">
            <v>ENUC_BMGL_EXT</v>
          </cell>
          <cell r="C375" t="str">
            <v>VAR_ncap</v>
          </cell>
          <cell r="D375" t="str">
            <v>-</v>
          </cell>
          <cell r="E375"/>
          <cell r="F375">
            <v>1.23282841825194</v>
          </cell>
          <cell r="G375"/>
          <cell r="H375"/>
          <cell r="I375"/>
          <cell r="J375"/>
          <cell r="K375"/>
          <cell r="L375"/>
        </row>
        <row r="376">
          <cell r="B376" t="str">
            <v>ENUC_BMGL_EXT</v>
          </cell>
          <cell r="C376" t="str">
            <v>VAR_cap</v>
          </cell>
          <cell r="D376" t="str">
            <v>-</v>
          </cell>
          <cell r="E376"/>
          <cell r="F376">
            <v>1.23282841825194</v>
          </cell>
          <cell r="G376">
            <v>1.2328283425063484</v>
          </cell>
          <cell r="H376">
            <v>1.2328283311428987</v>
          </cell>
          <cell r="I376">
            <v>1.2328282782384778</v>
          </cell>
          <cell r="J376">
            <v>1.2328281941294532</v>
          </cell>
          <cell r="K376"/>
          <cell r="L376"/>
        </row>
        <row r="377">
          <cell r="B377" t="str">
            <v>CEN-EBAT</v>
          </cell>
          <cell r="C377" t="str">
            <v>VAR_fout</v>
          </cell>
          <cell r="D377" t="str">
            <v>ELC13</v>
          </cell>
          <cell r="E377">
            <v>3.4454982323482652E-3</v>
          </cell>
          <cell r="F377">
            <v>2.7645156718262768E-3</v>
          </cell>
          <cell r="G377">
            <v>3.3740713410252755E-3</v>
          </cell>
          <cell r="H377">
            <v>3.2527304258650495E-3</v>
          </cell>
          <cell r="I377">
            <v>8.2866386601692012E-3</v>
          </cell>
          <cell r="J377">
            <v>0.12923076937689842</v>
          </cell>
          <cell r="K377">
            <v>0.12996628379370059</v>
          </cell>
          <cell r="L377">
            <v>0.19993212544272057</v>
          </cell>
          <cell r="M377">
            <v>0.2018231653334695</v>
          </cell>
          <cell r="N377">
            <v>0.25502604335867479</v>
          </cell>
          <cell r="O377">
            <v>0.25589740859814841</v>
          </cell>
          <cell r="P377">
            <v>0.26035355486955369</v>
          </cell>
        </row>
        <row r="378">
          <cell r="B378" t="str">
            <v>CEN-EBAT</v>
          </cell>
          <cell r="C378" t="str">
            <v>VAR_fout</v>
          </cell>
          <cell r="D378" t="str">
            <v>AUX_CEN-EBAT_OUT</v>
          </cell>
          <cell r="E378">
            <v>3.4454982323482574E-3</v>
          </cell>
          <cell r="F378">
            <v>2.7645156718262695E-3</v>
          </cell>
          <cell r="G378">
            <v>3.3740713410252672E-3</v>
          </cell>
          <cell r="H378">
            <v>3.2527304258650408E-3</v>
          </cell>
          <cell r="I378">
            <v>8.286638660169177E-3</v>
          </cell>
          <cell r="J378">
            <v>0.12923076937689792</v>
          </cell>
          <cell r="K378">
            <v>0.12996628379370029</v>
          </cell>
          <cell r="L378">
            <v>0.19993212544271988</v>
          </cell>
          <cell r="M378">
            <v>0.20182316533346906</v>
          </cell>
          <cell r="N378">
            <v>0.2550260433586739</v>
          </cell>
          <cell r="O378">
            <v>0.2558974085981478</v>
          </cell>
          <cell r="P378">
            <v>0.26035355486955292</v>
          </cell>
        </row>
        <row r="379">
          <cell r="B379" t="str">
            <v>CEN-EBAT</v>
          </cell>
          <cell r="C379" t="str">
            <v>VAR_fin</v>
          </cell>
          <cell r="D379" t="str">
            <v>AUX_CEN-EBAT_IN</v>
          </cell>
          <cell r="E379">
            <v>3.9767101690146734E-3</v>
          </cell>
          <cell r="F379">
            <v>3.1955704003548396E-3</v>
          </cell>
          <cell r="G379">
            <v>3.8915490173467974E-3</v>
          </cell>
          <cell r="H379">
            <v>3.7525919493753674E-3</v>
          </cell>
          <cell r="I379">
            <v>9.558250373299949E-3</v>
          </cell>
          <cell r="J379">
            <v>0.14904881161193798</v>
          </cell>
          <cell r="K379">
            <v>0.14989695814962559</v>
          </cell>
          <cell r="L379">
            <v>0.23059528871519738</v>
          </cell>
          <cell r="M379">
            <v>0.23277295647504948</v>
          </cell>
          <cell r="N379">
            <v>0.29413920247262026</v>
          </cell>
          <cell r="O379">
            <v>0.29514213605057882</v>
          </cell>
          <cell r="P379">
            <v>0.30028633480682532</v>
          </cell>
        </row>
        <row r="380">
          <cell r="B380" t="str">
            <v>CEN-EBAT</v>
          </cell>
          <cell r="C380" t="str">
            <v>VAR_fin</v>
          </cell>
          <cell r="D380" t="str">
            <v>ELC13</v>
          </cell>
          <cell r="E380">
            <v>3.9767101690146734E-3</v>
          </cell>
          <cell r="F380">
            <v>3.1955704003548396E-3</v>
          </cell>
          <cell r="G380">
            <v>3.8915490173467974E-3</v>
          </cell>
          <cell r="H380">
            <v>3.7525919493753674E-3</v>
          </cell>
          <cell r="I380">
            <v>9.558250373299949E-3</v>
          </cell>
          <cell r="J380">
            <v>0.14904881161193798</v>
          </cell>
          <cell r="K380">
            <v>0.14989695814962559</v>
          </cell>
          <cell r="L380">
            <v>0.23059528871519738</v>
          </cell>
          <cell r="M380">
            <v>0.23277295647504948</v>
          </cell>
          <cell r="N380">
            <v>0.29413920247262026</v>
          </cell>
          <cell r="O380">
            <v>0.29514213605057882</v>
          </cell>
          <cell r="P380">
            <v>0.30028633480682532</v>
          </cell>
        </row>
        <row r="381">
          <cell r="B381" t="str">
            <v>CEN-EBAT</v>
          </cell>
          <cell r="C381" t="str">
            <v>VAR_ncap</v>
          </cell>
          <cell r="D381" t="str">
            <v>-</v>
          </cell>
          <cell r="E381">
            <v>5.8957277676666305E-4</v>
          </cell>
          <cell r="F381">
            <v>8.6767901850963197E-7</v>
          </cell>
          <cell r="G381">
            <v>3.6720645264519601E-6</v>
          </cell>
          <cell r="H381">
            <v>1.20224896105068E-4</v>
          </cell>
          <cell r="I381">
            <v>1.29267087250918E-3</v>
          </cell>
          <cell r="J381">
            <v>4.6711298413929701E-2</v>
          </cell>
          <cell r="K381">
            <v>4.3934060175081302E-3</v>
          </cell>
          <cell r="L381">
            <v>3.1445960177763799E-2</v>
          </cell>
          <cell r="M381">
            <v>1.8394711112959799E-2</v>
          </cell>
          <cell r="N381">
            <v>1.7352023792270702E-2</v>
          </cell>
          <cell r="O381">
            <v>3.1318126550112901E-2</v>
          </cell>
          <cell r="P381">
            <v>9.5608103548355892E-3</v>
          </cell>
        </row>
        <row r="382">
          <cell r="B382" t="str">
            <v>CEN-EBAT</v>
          </cell>
          <cell r="C382" t="str">
            <v>VAR_cap</v>
          </cell>
          <cell r="D382" t="str">
            <v>-</v>
          </cell>
          <cell r="E382">
            <v>5.8957277676666305E-4</v>
          </cell>
          <cell r="F382">
            <v>5.9007093610442482E-4</v>
          </cell>
          <cell r="G382">
            <v>5.9337169063213935E-4</v>
          </cell>
          <cell r="H382">
            <v>5.5456731814923629E-4</v>
          </cell>
          <cell r="I382">
            <v>1.4139658712758289E-3</v>
          </cell>
          <cell r="J382">
            <v>4.8028343045694095E-2</v>
          </cell>
          <cell r="K382">
            <v>5.1773974212431156E-2</v>
          </cell>
          <cell r="L382">
            <v>5.1793438112693393E-2</v>
          </cell>
          <cell r="M382">
            <v>5.1815511286822873E-2</v>
          </cell>
          <cell r="N382">
            <v>5.1855166663206893E-2</v>
          </cell>
          <cell r="O382">
            <v>5.1926249943861205E-2</v>
          </cell>
          <cell r="P382">
            <v>5.2585549044619588E-2</v>
          </cell>
        </row>
        <row r="383">
          <cell r="B383" t="str">
            <v>ESOL-PV</v>
          </cell>
          <cell r="C383" t="str">
            <v>VAR_fout</v>
          </cell>
          <cell r="D383" t="str">
            <v>ELC35</v>
          </cell>
          <cell r="E383"/>
          <cell r="F383"/>
          <cell r="G383">
            <v>0.15619404613268542</v>
          </cell>
          <cell r="H383">
            <v>0.30074488376468317</v>
          </cell>
          <cell r="I383">
            <v>1.0480996342764779</v>
          </cell>
          <cell r="J383">
            <v>1.0486909444800634</v>
          </cell>
          <cell r="K383">
            <v>0.8546621943695355</v>
          </cell>
          <cell r="L383">
            <v>0.74899739437006962</v>
          </cell>
          <cell r="M383">
            <v>0.22874651602464705</v>
          </cell>
          <cell r="N383">
            <v>7.9061320265399374E-2</v>
          </cell>
          <cell r="O383">
            <v>7.9396156291252712E-2</v>
          </cell>
          <cell r="P383">
            <v>1.0003419292459284</v>
          </cell>
        </row>
        <row r="384">
          <cell r="B384" t="str">
            <v>ESOL-PV</v>
          </cell>
          <cell r="C384" t="str">
            <v>VAR_fin</v>
          </cell>
          <cell r="D384" t="str">
            <v>SOL</v>
          </cell>
          <cell r="E384"/>
          <cell r="F384"/>
          <cell r="G384">
            <v>0.15619404613268542</v>
          </cell>
          <cell r="H384">
            <v>0.30074488376468317</v>
          </cell>
          <cell r="I384">
            <v>1.0480996342764779</v>
          </cell>
          <cell r="J384">
            <v>1.0486909444800634</v>
          </cell>
          <cell r="K384">
            <v>0.8546621943695355</v>
          </cell>
          <cell r="L384">
            <v>0.74899739437006962</v>
          </cell>
          <cell r="M384">
            <v>0.22874651602464705</v>
          </cell>
          <cell r="N384">
            <v>7.9061320265399374E-2</v>
          </cell>
          <cell r="O384">
            <v>7.9396156291252712E-2</v>
          </cell>
          <cell r="P384">
            <v>1.0003419292459284</v>
          </cell>
        </row>
        <row r="385">
          <cell r="B385" t="str">
            <v>ESOL-PV</v>
          </cell>
          <cell r="C385" t="str">
            <v>VAR_fin</v>
          </cell>
          <cell r="D385" t="str">
            <v>SOLPVC</v>
          </cell>
          <cell r="E385"/>
          <cell r="F385"/>
          <cell r="G385">
            <v>0.156194046132685</v>
          </cell>
          <cell r="H385">
            <v>0.300744883764683</v>
          </cell>
          <cell r="I385">
            <v>1.0480996342764799</v>
          </cell>
          <cell r="J385">
            <v>1.0486909444800601</v>
          </cell>
          <cell r="K385">
            <v>0.85466219436953506</v>
          </cell>
          <cell r="L385">
            <v>0.74899739437006896</v>
          </cell>
          <cell r="M385">
            <v>0.22874651602464699</v>
          </cell>
          <cell r="N385">
            <v>7.9061320265399304E-2</v>
          </cell>
          <cell r="O385">
            <v>7.9396156291252601E-2</v>
          </cell>
          <cell r="P385">
            <v>1.0003419292459299</v>
          </cell>
        </row>
        <row r="386">
          <cell r="B386" t="str">
            <v>ESOL-PV</v>
          </cell>
          <cell r="C386" t="str">
            <v>VAR_ncap</v>
          </cell>
          <cell r="D386" t="str">
            <v>-</v>
          </cell>
          <cell r="E386"/>
          <cell r="F386"/>
          <cell r="G386">
            <v>4.4925818250089497E-2</v>
          </cell>
          <cell r="H386">
            <v>2.3702238616219898E-2</v>
          </cell>
          <cell r="I386">
            <v>0.170539852399791</v>
          </cell>
          <cell r="J386">
            <v>1.3517357644868299E-4</v>
          </cell>
          <cell r="K386">
            <v>2.0656689154534001E-4</v>
          </cell>
          <cell r="L386">
            <v>3.3502460948875802E-5</v>
          </cell>
          <cell r="M386">
            <v>7.2683102038806002E-5</v>
          </cell>
          <cell r="N386">
            <v>1.7730671510070201E-2</v>
          </cell>
          <cell r="O386">
            <v>2.8404113767766898E-4</v>
          </cell>
          <cell r="P386">
            <v>0.210188901498677</v>
          </cell>
        </row>
        <row r="387">
          <cell r="B387" t="str">
            <v>ESOL-PV</v>
          </cell>
          <cell r="C387" t="str">
            <v>VAR_cap</v>
          </cell>
          <cell r="D387" t="str">
            <v>-</v>
          </cell>
          <cell r="E387"/>
          <cell r="F387"/>
          <cell r="G387">
            <v>4.4925818250089497E-2</v>
          </cell>
          <cell r="H387">
            <v>6.8628056866309406E-2</v>
          </cell>
          <cell r="I387">
            <v>0.23916790926610099</v>
          </cell>
          <cell r="J387">
            <v>0.239303082842549</v>
          </cell>
          <cell r="K387">
            <v>0.195027244683391</v>
          </cell>
          <cell r="L387">
            <v>0.170915095328734</v>
          </cell>
          <cell r="M387">
            <v>5.21991782246378E-2</v>
          </cell>
          <cell r="N387">
            <v>1.8043423964603199E-2</v>
          </cell>
          <cell r="O387">
            <v>1.8120898210735498E-2</v>
          </cell>
          <cell r="P387">
            <v>0.22827629724846399</v>
          </cell>
        </row>
        <row r="388">
          <cell r="B388" t="str">
            <v>RHEM-SHSTG-CHPNGA</v>
          </cell>
          <cell r="C388" t="str">
            <v>VAR_fout</v>
          </cell>
          <cell r="D388" t="str">
            <v>RHEM_LTH_CHPNGA</v>
          </cell>
          <cell r="E388">
            <v>4.2716675489899381E-2</v>
          </cell>
          <cell r="F388">
            <v>9.22811313255935E-5</v>
          </cell>
          <cell r="G388">
            <v>2.9192082522861125E-3</v>
          </cell>
          <cell r="H388">
            <v>4.0936145618516967E-2</v>
          </cell>
          <cell r="I388">
            <v>5.7993746976786179E-2</v>
          </cell>
          <cell r="J388">
            <v>5.8658974898655812E-2</v>
          </cell>
          <cell r="K388">
            <v>5.3207565286073656E-2</v>
          </cell>
          <cell r="L388">
            <v>6.1808309038783253E-2</v>
          </cell>
          <cell r="M388">
            <v>5.2290703912316681E-2</v>
          </cell>
          <cell r="N388">
            <v>7.3203551575053358E-2</v>
          </cell>
          <cell r="O388">
            <v>7.844613693904888E-2</v>
          </cell>
          <cell r="P388">
            <v>0.1409970811456556</v>
          </cell>
        </row>
        <row r="389">
          <cell r="B389" t="str">
            <v>RHEM-SHSTG-CHPNGA</v>
          </cell>
          <cell r="C389" t="str">
            <v>VAR_fout</v>
          </cell>
          <cell r="D389" t="str">
            <v>AUX_REM-CHPNGA_OUT</v>
          </cell>
          <cell r="E389">
            <v>4.2716675489899485E-2</v>
          </cell>
          <cell r="F389">
            <v>9.2219651557888391E-5</v>
          </cell>
          <cell r="G389">
            <v>2.9161705746042379E-3</v>
          </cell>
          <cell r="H389">
            <v>4.0936145618516967E-2</v>
          </cell>
          <cell r="I389">
            <v>5.7940492847330959E-2</v>
          </cell>
          <cell r="J389">
            <v>5.8658974898656034E-2</v>
          </cell>
          <cell r="K389">
            <v>5.3164130538901511E-2</v>
          </cell>
          <cell r="L389">
            <v>6.1808309038783309E-2</v>
          </cell>
          <cell r="M389">
            <v>5.2290703912316751E-2</v>
          </cell>
          <cell r="N389">
            <v>7.3203551575053469E-2</v>
          </cell>
          <cell r="O389">
            <v>7.8446136939048963E-2</v>
          </cell>
          <cell r="P389">
            <v>0.14099708114565571</v>
          </cell>
        </row>
        <row r="390">
          <cell r="B390" t="str">
            <v>RHEM-SHSTG-CHPNGA</v>
          </cell>
          <cell r="C390" t="str">
            <v>VAR_fin</v>
          </cell>
          <cell r="D390" t="str">
            <v>AUX_REM-CHPNGA_IN</v>
          </cell>
          <cell r="E390">
            <v>5.6904373081466099E-2</v>
          </cell>
          <cell r="F390">
            <v>1.251998938670792E-4</v>
          </cell>
          <cell r="G390">
            <v>3.7624985784459413E-3</v>
          </cell>
          <cell r="H390">
            <v>5.1164404895536031E-2</v>
          </cell>
          <cell r="I390">
            <v>7.0295895275384004E-2</v>
          </cell>
          <cell r="J390">
            <v>6.901242516090858E-2</v>
          </cell>
          <cell r="K390">
            <v>6.0807757252372065E-2</v>
          </cell>
          <cell r="L390">
            <v>6.8676876599742767E-2</v>
          </cell>
          <cell r="M390">
            <v>5.8104781674665797E-2</v>
          </cell>
          <cell r="N390">
            <v>8.1339234863315818E-2</v>
          </cell>
          <cell r="O390">
            <v>8.716450746998633E-2</v>
          </cell>
          <cell r="P390">
            <v>0.15666751192387918</v>
          </cell>
        </row>
        <row r="391">
          <cell r="B391" t="str">
            <v>RHEM-SHSTG-CHPNGA</v>
          </cell>
          <cell r="C391" t="str">
            <v>VAR_fin</v>
          </cell>
          <cell r="D391" t="str">
            <v>RHEM_LTH_CHPNGA</v>
          </cell>
          <cell r="E391">
            <v>5.6904373081466099E-2</v>
          </cell>
          <cell r="F391">
            <v>1.251998938670792E-4</v>
          </cell>
          <cell r="G391">
            <v>3.7624985784459413E-3</v>
          </cell>
          <cell r="H391">
            <v>5.1164404895536031E-2</v>
          </cell>
          <cell r="I391">
            <v>7.0295895275384004E-2</v>
          </cell>
          <cell r="J391">
            <v>6.901242516090858E-2</v>
          </cell>
          <cell r="K391">
            <v>6.0807757252372065E-2</v>
          </cell>
          <cell r="L391">
            <v>6.8676876599742767E-2</v>
          </cell>
          <cell r="M391">
            <v>5.8104781674665797E-2</v>
          </cell>
          <cell r="N391">
            <v>8.1339234863315818E-2</v>
          </cell>
          <cell r="O391">
            <v>8.716450746998633E-2</v>
          </cell>
          <cell r="P391">
            <v>0.15666751192387918</v>
          </cell>
        </row>
        <row r="392">
          <cell r="B392" t="str">
            <v>RHEM-SHSTG-CHPNGA</v>
          </cell>
          <cell r="C392" t="str">
            <v>VAR_ncap</v>
          </cell>
          <cell r="D392" t="str">
            <v>-</v>
          </cell>
          <cell r="E392">
            <v>3.84131278908687E-3</v>
          </cell>
          <cell r="F392">
            <v>3.9993201868686902E-5</v>
          </cell>
          <cell r="G392">
            <v>5.5653290948627702E-5</v>
          </cell>
          <cell r="H392">
            <v>1.6945663642283001E-2</v>
          </cell>
          <cell r="I392">
            <v>1.08749290301332E-3</v>
          </cell>
          <cell r="J392">
            <v>1.6007262690343801E-2</v>
          </cell>
          <cell r="K392">
            <v>1.0712932221653699E-3</v>
          </cell>
          <cell r="L392">
            <v>5.9479441875995402E-3</v>
          </cell>
          <cell r="M392">
            <v>1.07383860234088E-2</v>
          </cell>
          <cell r="N392">
            <v>6.1973040598840498E-4</v>
          </cell>
          <cell r="O392">
            <v>1.3516839973593899E-2</v>
          </cell>
          <cell r="P392">
            <v>1.6730413768845199E-2</v>
          </cell>
        </row>
        <row r="393">
          <cell r="B393" t="str">
            <v>RHEM-SHSTG-CHPNGA</v>
          </cell>
          <cell r="C393" t="str">
            <v>VAR_cap</v>
          </cell>
          <cell r="D393" t="str">
            <v>-</v>
          </cell>
          <cell r="E393">
            <v>3.84131278908687E-3</v>
          </cell>
          <cell r="F393">
            <v>3.8751559334266501E-3</v>
          </cell>
          <cell r="G393">
            <v>3.914442344057802E-3</v>
          </cell>
          <cell r="H393">
            <v>2.0824435703773899E-2</v>
          </cell>
          <cell r="I393">
            <v>1.9043297607913724E-2</v>
          </cell>
          <cell r="J393">
            <v>3.0797143435696037E-2</v>
          </cell>
          <cell r="K393">
            <v>1.8106200441488182E-2</v>
          </cell>
          <cell r="L393">
            <v>2.2984208396419573E-2</v>
          </cell>
          <cell r="M393">
            <v>1.9977578177931051E-2</v>
          </cell>
          <cell r="N393">
            <v>1.7214874738673582E-2</v>
          </cell>
          <cell r="O393">
            <v>2.243269357571372E-2</v>
          </cell>
          <cell r="P393">
            <v>3.0815708246981651E-2</v>
          </cell>
        </row>
        <row r="394">
          <cell r="B394" t="str">
            <v>RHNS-ESOLPV</v>
          </cell>
          <cell r="C394" t="str">
            <v>VAR_fout</v>
          </cell>
          <cell r="D394" t="str">
            <v>RHNS_SOL_ELC</v>
          </cell>
          <cell r="E394"/>
          <cell r="F394">
            <v>3.1636437198465019E-5</v>
          </cell>
          <cell r="G394">
            <v>2.3657269061573114E-3</v>
          </cell>
          <cell r="H394">
            <v>2.6737852700110714E-3</v>
          </cell>
          <cell r="I394">
            <v>2.8137464316647272E-3</v>
          </cell>
          <cell r="J394">
            <v>2.9574475616181073E-3</v>
          </cell>
          <cell r="K394">
            <v>3.1084241105693222E-3</v>
          </cell>
          <cell r="L394">
            <v>3.2683027688832056E-3</v>
          </cell>
          <cell r="M394">
            <v>3.4358942419666404E-3</v>
          </cell>
          <cell r="N394">
            <v>3.6149385892650997E-3</v>
          </cell>
          <cell r="O394">
            <v>3.8027913244803456E-3</v>
          </cell>
          <cell r="P394">
            <v>4.1355730748922782E-3</v>
          </cell>
        </row>
        <row r="395">
          <cell r="B395" t="str">
            <v>RHNS-ESOLPV</v>
          </cell>
          <cell r="C395" t="str">
            <v>VAR_fin</v>
          </cell>
          <cell r="D395" t="str">
            <v>SOL</v>
          </cell>
          <cell r="E395"/>
          <cell r="F395">
            <v>3.1636437198465019E-5</v>
          </cell>
          <cell r="G395">
            <v>2.3657269061573114E-3</v>
          </cell>
          <cell r="H395">
            <v>2.6737852700110714E-3</v>
          </cell>
          <cell r="I395">
            <v>2.8137464316647272E-3</v>
          </cell>
          <cell r="J395">
            <v>2.9574475616181073E-3</v>
          </cell>
          <cell r="K395">
            <v>3.1084241105693222E-3</v>
          </cell>
          <cell r="L395">
            <v>3.2683027688832056E-3</v>
          </cell>
          <cell r="M395">
            <v>3.4358942419666404E-3</v>
          </cell>
          <cell r="N395">
            <v>3.6149385892650997E-3</v>
          </cell>
          <cell r="O395">
            <v>3.8027913244803456E-3</v>
          </cell>
          <cell r="P395">
            <v>4.1355730748922782E-3</v>
          </cell>
        </row>
        <row r="396">
          <cell r="B396" t="str">
            <v>RHNS-ESOLPV</v>
          </cell>
          <cell r="C396" t="str">
            <v>VAR_fin</v>
          </cell>
          <cell r="D396" t="str">
            <v>SOLPVC</v>
          </cell>
          <cell r="E396"/>
          <cell r="F396">
            <v>3.1636437198464999E-5</v>
          </cell>
          <cell r="G396">
            <v>2.3657269061573101E-3</v>
          </cell>
          <cell r="H396">
            <v>2.6737852700110701E-3</v>
          </cell>
          <cell r="I396">
            <v>2.8137464316647298E-3</v>
          </cell>
          <cell r="J396">
            <v>2.9574475616181099E-3</v>
          </cell>
          <cell r="K396">
            <v>3.10842411056932E-3</v>
          </cell>
          <cell r="L396">
            <v>3.26830276888321E-3</v>
          </cell>
          <cell r="M396">
            <v>3.43589424196664E-3</v>
          </cell>
          <cell r="N396">
            <v>3.6149385892651001E-3</v>
          </cell>
          <cell r="O396">
            <v>3.80279132448035E-3</v>
          </cell>
          <cell r="P396">
            <v>4.1355730748922799E-3</v>
          </cell>
        </row>
        <row r="397">
          <cell r="B397" t="str">
            <v>RHNS-ESOLPV</v>
          </cell>
          <cell r="C397" t="str">
            <v>VAR_ncap</v>
          </cell>
          <cell r="D397" t="str">
            <v>-</v>
          </cell>
          <cell r="E397"/>
          <cell r="F397">
            <v>1.08329865587551E-5</v>
          </cell>
          <cell r="G397">
            <v>7.4524115988788603E-4</v>
          </cell>
          <cell r="H397">
            <v>1.8558938151422701E-5</v>
          </cell>
          <cell r="I397">
            <v>4.0048971586126203E-5</v>
          </cell>
          <cell r="J397">
            <v>4.56849023231248E-5</v>
          </cell>
          <cell r="K397">
            <v>6.6753537844997201E-4</v>
          </cell>
          <cell r="L397">
            <v>1.90608413614375E-4</v>
          </cell>
          <cell r="M397">
            <v>8.2409463316803302E-5</v>
          </cell>
          <cell r="N397">
            <v>1.03231305409182E-4</v>
          </cell>
          <cell r="O397">
            <v>7.22287002177052E-4</v>
          </cell>
          <cell r="P397">
            <v>2.8815285563479703E-4</v>
          </cell>
        </row>
        <row r="398">
          <cell r="B398" t="str">
            <v>RHNS-ESOLPV</v>
          </cell>
          <cell r="C398" t="str">
            <v>VAR_cap</v>
          </cell>
          <cell r="D398" t="str">
            <v>-</v>
          </cell>
          <cell r="E398"/>
          <cell r="F398">
            <v>1.08329865587551E-5</v>
          </cell>
          <cell r="G398">
            <v>7.5607414644664097E-4</v>
          </cell>
          <cell r="H398">
            <v>7.7463308459806298E-4</v>
          </cell>
          <cell r="I398">
            <v>8.1468205618418898E-4</v>
          </cell>
          <cell r="J398">
            <v>8.5619355160352305E-4</v>
          </cell>
          <cell r="K398">
            <v>8.9794330057104603E-4</v>
          </cell>
          <cell r="L398">
            <v>9.4387766597359797E-4</v>
          </cell>
          <cell r="M398">
            <v>9.9234240264827909E-4</v>
          </cell>
          <cell r="N398">
            <v>1.04378456079033E-3</v>
          </cell>
          <cell r="O398">
            <v>1.09853618451741E-3</v>
          </cell>
          <cell r="P398">
            <v>1.19608062653784E-3</v>
          </cell>
        </row>
        <row r="399">
          <cell r="B399" t="str">
            <v>RHSA-WHSTG-CHP</v>
          </cell>
          <cell r="C399" t="str">
            <v>VAR_fout</v>
          </cell>
          <cell r="D399" t="str">
            <v>AUX_RHSA-CHP_OUT</v>
          </cell>
          <cell r="E399">
            <v>8.0334481063401721</v>
          </cell>
          <cell r="F399">
            <v>1.2440151803444277E-4</v>
          </cell>
          <cell r="G399">
            <v>3.3533692452739111E-3</v>
          </cell>
          <cell r="H399">
            <v>1.72223849138976E-2</v>
          </cell>
          <cell r="I399">
            <v>0.15663942928733932</v>
          </cell>
          <cell r="J399">
            <v>0.14009854804095764</v>
          </cell>
          <cell r="K399">
            <v>7.0353084837776525E-2</v>
          </cell>
          <cell r="L399">
            <v>6.2255823832346215E-2</v>
          </cell>
          <cell r="M399">
            <v>4.2829077966473783E-2</v>
          </cell>
          <cell r="N399">
            <v>0.1212085757644851</v>
          </cell>
          <cell r="O399">
            <v>3.7304264950455551E-2</v>
          </cell>
          <cell r="P399">
            <v>0.91166325947151261</v>
          </cell>
        </row>
        <row r="400">
          <cell r="B400" t="str">
            <v>RHSA-WHSTG-CHP</v>
          </cell>
          <cell r="C400" t="str">
            <v>VAR_fout</v>
          </cell>
          <cell r="D400" t="str">
            <v>RHSA_LTH</v>
          </cell>
          <cell r="E400">
            <v>8.0334481063401508</v>
          </cell>
          <cell r="F400">
            <v>1.2448445237979881E-4</v>
          </cell>
          <cell r="G400">
            <v>3.356862338237736E-3</v>
          </cell>
          <cell r="H400">
            <v>1.72223849138976E-2</v>
          </cell>
          <cell r="I400">
            <v>0.15678339935102231</v>
          </cell>
          <cell r="J400">
            <v>0.14009854804095717</v>
          </cell>
          <cell r="K400">
            <v>7.0410562848264704E-2</v>
          </cell>
          <cell r="L400">
            <v>6.2255823832346138E-2</v>
          </cell>
          <cell r="M400">
            <v>4.2829077966473755E-2</v>
          </cell>
          <cell r="N400">
            <v>0.12120857576448499</v>
          </cell>
          <cell r="O400">
            <v>3.730426495045553E-2</v>
          </cell>
          <cell r="P400">
            <v>0.9116632594715115</v>
          </cell>
        </row>
        <row r="401">
          <cell r="B401" t="str">
            <v>RHSA-WHSTG-CHP</v>
          </cell>
          <cell r="C401" t="str">
            <v>VAR_fin</v>
          </cell>
          <cell r="D401" t="str">
            <v>RHSA_LTH</v>
          </cell>
          <cell r="E401">
            <v>10.711195882802297</v>
          </cell>
          <cell r="F401">
            <v>1.8521514364741731E-4</v>
          </cell>
          <cell r="G401">
            <v>4.3004634604384513E-3</v>
          </cell>
          <cell r="H401">
            <v>2.1542157324704384E-2</v>
          </cell>
          <cell r="I401">
            <v>0.19002910756442198</v>
          </cell>
          <cell r="J401">
            <v>0.16482373212071663</v>
          </cell>
          <cell r="K401">
            <v>8.0459082490718717E-2</v>
          </cell>
          <cell r="L401">
            <v>6.9195001797483724E-2</v>
          </cell>
          <cell r="M401">
            <v>4.7598440994640126E-2</v>
          </cell>
          <cell r="N401">
            <v>0.13469894828872267</v>
          </cell>
          <cell r="O401">
            <v>4.1465092598898176E-2</v>
          </cell>
          <cell r="P401">
            <v>1.0129565108239744</v>
          </cell>
        </row>
        <row r="402">
          <cell r="B402" t="str">
            <v>RHSA-WHSTG-CHP</v>
          </cell>
          <cell r="C402" t="str">
            <v>VAR_fin</v>
          </cell>
          <cell r="D402" t="str">
            <v>AUX_RHSA-CHP_IN</v>
          </cell>
          <cell r="E402">
            <v>10.711195882802297</v>
          </cell>
          <cell r="F402">
            <v>1.8521514364741731E-4</v>
          </cell>
          <cell r="G402">
            <v>4.3004634604384513E-3</v>
          </cell>
          <cell r="H402">
            <v>2.1542157324704384E-2</v>
          </cell>
          <cell r="I402">
            <v>0.19002910756442198</v>
          </cell>
          <cell r="J402">
            <v>0.16482373212071663</v>
          </cell>
          <cell r="K402">
            <v>8.0459082490718717E-2</v>
          </cell>
          <cell r="L402">
            <v>6.9195001797483724E-2</v>
          </cell>
          <cell r="M402">
            <v>4.7598440994640126E-2</v>
          </cell>
          <cell r="N402">
            <v>0.13469894828872267</v>
          </cell>
          <cell r="O402">
            <v>4.1465092598898176E-2</v>
          </cell>
          <cell r="P402">
            <v>1.0129565108239744</v>
          </cell>
        </row>
        <row r="403">
          <cell r="B403" t="str">
            <v>RHSA-WHSTG-CHP</v>
          </cell>
          <cell r="C403" t="str">
            <v>VAR_ncap</v>
          </cell>
          <cell r="D403" t="str">
            <v>-</v>
          </cell>
          <cell r="E403">
            <v>0.50879686394497803</v>
          </cell>
          <cell r="F403">
            <v>1.6788632969585501E-5</v>
          </cell>
          <cell r="G403">
            <v>1.8530272170034002E-5</v>
          </cell>
          <cell r="H403">
            <v>2.11546971188515E-5</v>
          </cell>
          <cell r="I403">
            <v>7.5479433208944E-2</v>
          </cell>
          <cell r="J403">
            <v>5.2207917122462904E-3</v>
          </cell>
          <cell r="K403">
            <v>1.3497107200358599E-4</v>
          </cell>
          <cell r="L403">
            <v>1.6408218801208099E-2</v>
          </cell>
          <cell r="M403">
            <v>2.2836238997781702E-3</v>
          </cell>
          <cell r="N403">
            <v>3.6629501097196101E-4</v>
          </cell>
          <cell r="O403">
            <v>9.2150387453488402E-4</v>
          </cell>
          <cell r="P403">
            <v>5.6728488977951401E-2</v>
          </cell>
        </row>
        <row r="404">
          <cell r="B404" t="str">
            <v>RHSA-WHSTG-CHP</v>
          </cell>
          <cell r="C404" t="str">
            <v>VAR_cap</v>
          </cell>
          <cell r="D404" t="str">
            <v>-</v>
          </cell>
          <cell r="E404">
            <v>0.50948047605243185</v>
          </cell>
          <cell r="F404">
            <v>9.4587713091188741E-3</v>
          </cell>
          <cell r="G404">
            <v>9.0586740511869879E-3</v>
          </cell>
          <cell r="H404">
            <v>8.2980883593681831E-3</v>
          </cell>
          <cell r="I404">
            <v>7.7634323488510015E-2</v>
          </cell>
          <cell r="J404">
            <v>8.0702176050011482E-2</v>
          </cell>
          <cell r="K404">
            <v>2.0239229971524199E-2</v>
          </cell>
          <cell r="L404">
            <v>2.1719661098666371E-2</v>
          </cell>
          <cell r="M404">
            <v>1.9535217406490765E-2</v>
          </cell>
          <cell r="N404">
            <v>1.8897576071334812E-2</v>
          </cell>
          <cell r="O404">
            <v>5.6485556660619118E-3</v>
          </cell>
          <cell r="P404">
            <v>5.7967660883358821E-2</v>
          </cell>
        </row>
        <row r="405">
          <cell r="B405" t="str">
            <v>G-INTC-SER</v>
          </cell>
          <cell r="C405" t="str">
            <v>VAR_fout</v>
          </cell>
          <cell r="D405" t="str">
            <v>ELC35</v>
          </cell>
          <cell r="E405">
            <v>54.846037518486142</v>
          </cell>
          <cell r="F405">
            <v>4.0802281931599134E-3</v>
          </cell>
          <cell r="G405">
            <v>5.5155143246921352E-3</v>
          </cell>
          <cell r="H405">
            <v>2.0850748119334824E-3</v>
          </cell>
          <cell r="I405">
            <v>4.2528925257998831E-3</v>
          </cell>
          <cell r="J405">
            <v>4.0917587107302802E-3</v>
          </cell>
          <cell r="K405">
            <v>4.0298986016084493E-3</v>
          </cell>
          <cell r="L405">
            <v>1.019295131773252E-2</v>
          </cell>
          <cell r="M405">
            <v>4.9383623707811583E-3</v>
          </cell>
          <cell r="N405">
            <v>9.8021881832102073E-3</v>
          </cell>
          <cell r="O405">
            <v>7.7213424638540246E-3</v>
          </cell>
          <cell r="P405">
            <v>1.9059854540672713E-2</v>
          </cell>
        </row>
        <row r="406">
          <cell r="B406" t="str">
            <v>G-INTC-SER</v>
          </cell>
          <cell r="C406" t="str">
            <v>VAR_fout</v>
          </cell>
          <cell r="D406" t="str">
            <v>SCOM_ELC</v>
          </cell>
          <cell r="E406">
            <v>59.952175896117126</v>
          </cell>
          <cell r="F406">
            <v>58.70173030839689</v>
          </cell>
          <cell r="G406">
            <v>63.463633779915419</v>
          </cell>
          <cell r="H406">
            <v>64.719345413494125</v>
          </cell>
          <cell r="I406">
            <v>64.156018826547012</v>
          </cell>
          <cell r="J406">
            <v>68.015419428359451</v>
          </cell>
          <cell r="K406">
            <v>65.550214454271469</v>
          </cell>
          <cell r="L406">
            <v>63.759121727450605</v>
          </cell>
          <cell r="M406">
            <v>65.20509224336746</v>
          </cell>
          <cell r="N406">
            <v>66.401244772268726</v>
          </cell>
          <cell r="O406">
            <v>68.890757951820859</v>
          </cell>
          <cell r="P406">
            <v>70.417288399079624</v>
          </cell>
        </row>
        <row r="407">
          <cell r="B407" t="str">
            <v>G-INTC-SER</v>
          </cell>
          <cell r="C407" t="str">
            <v>VAR_fin</v>
          </cell>
          <cell r="D407" t="str">
            <v>ELC5</v>
          </cell>
          <cell r="E407">
            <v>114.79820932350958</v>
          </cell>
          <cell r="F407">
            <v>58.705810536590079</v>
          </cell>
          <cell r="G407">
            <v>63.469149294240125</v>
          </cell>
          <cell r="H407">
            <v>64.721430488306083</v>
          </cell>
          <cell r="I407">
            <v>64.160271719072838</v>
          </cell>
          <cell r="J407">
            <v>68.019511187070179</v>
          </cell>
          <cell r="K407">
            <v>65.554244352873056</v>
          </cell>
          <cell r="L407">
            <v>63.769314678768353</v>
          </cell>
          <cell r="M407">
            <v>65.210030605738311</v>
          </cell>
          <cell r="N407">
            <v>66.411046960451941</v>
          </cell>
          <cell r="O407">
            <v>68.898479294284797</v>
          </cell>
          <cell r="P407">
            <v>70.436348253620267</v>
          </cell>
        </row>
        <row r="408">
          <cell r="B408" t="str">
            <v>G-INTC-SER</v>
          </cell>
          <cell r="C408" t="str">
            <v>VAR_ncap</v>
          </cell>
          <cell r="D408" t="str">
            <v>-</v>
          </cell>
          <cell r="E408">
            <v>4.3366212046873997E-8</v>
          </cell>
          <cell r="F408">
            <v>4.5180449891703803E-8</v>
          </cell>
          <cell r="G408">
            <v>5.1052421295821298E-8</v>
          </cell>
          <cell r="H408">
            <v>5.8243461532946399E-8</v>
          </cell>
          <cell r="I408">
            <v>8.19686396586356E-8</v>
          </cell>
          <cell r="J408">
            <v>9.8613480819307896E-8</v>
          </cell>
          <cell r="K408">
            <v>1.2884619713051699E-7</v>
          </cell>
          <cell r="L408">
            <v>1.5488220170990499E-7</v>
          </cell>
          <cell r="M408">
            <v>1.9056574094269401E-7</v>
          </cell>
          <cell r="N408">
            <v>3.4025083255226802E-7</v>
          </cell>
          <cell r="O408">
            <v>6.3489974561915904E-7</v>
          </cell>
        </row>
        <row r="409">
          <cell r="B409" t="str">
            <v>G-INTC-SER</v>
          </cell>
          <cell r="C409" t="str">
            <v>VAR_cap</v>
          </cell>
          <cell r="D409" t="str">
            <v>-</v>
          </cell>
          <cell r="E409">
            <v>4.3683888589490198</v>
          </cell>
          <cell r="F409">
            <v>4.3683888730489873</v>
          </cell>
          <cell r="G409">
            <v>4.3683889474956814</v>
          </cell>
          <cell r="H409">
            <v>4.3683890305930344</v>
          </cell>
          <cell r="I409">
            <v>4.368389076531078</v>
          </cell>
          <cell r="J409">
            <v>4.3683891767510374</v>
          </cell>
          <cell r="K409">
            <v>4.3683892994117119</v>
          </cell>
          <cell r="L409">
            <v>4.3683893662198825</v>
          </cell>
          <cell r="M409">
            <v>4.3683896259493231</v>
          </cell>
          <cell r="N409">
            <v>4.3683897936063074</v>
          </cell>
          <cell r="O409">
            <v>4.3683903576159038</v>
          </cell>
          <cell r="P409">
            <v>4.3683906868184028</v>
          </cell>
        </row>
        <row r="410">
          <cell r="B410" t="str">
            <v>CHPWOD</v>
          </cell>
          <cell r="C410" t="str">
            <v>VAR_fout</v>
          </cell>
          <cell r="D410" t="str">
            <v>ELC35</v>
          </cell>
          <cell r="E410">
            <v>0.40783598442070862</v>
          </cell>
          <cell r="F410">
            <v>5.8751333851921925E-2</v>
          </cell>
          <cell r="G410">
            <v>0.29524110940536669</v>
          </cell>
          <cell r="H410">
            <v>1.0866887394003863</v>
          </cell>
          <cell r="I410">
            <v>1.3231101811989718</v>
          </cell>
          <cell r="J410">
            <v>1.54735076848069</v>
          </cell>
          <cell r="K410">
            <v>1.2563386792833078</v>
          </cell>
          <cell r="L410">
            <v>0.63868434956796283</v>
          </cell>
          <cell r="M410">
            <v>0.36677416312996641</v>
          </cell>
          <cell r="N410">
            <v>0.37450152011855165</v>
          </cell>
          <cell r="O410">
            <v>0.40528890178462607</v>
          </cell>
          <cell r="P410">
            <v>0.34666482076434246</v>
          </cell>
        </row>
        <row r="411">
          <cell r="B411" t="str">
            <v>CHPWOD</v>
          </cell>
          <cell r="C411" t="str">
            <v>VAR_fout</v>
          </cell>
          <cell r="D411" t="str">
            <v>LTH</v>
          </cell>
          <cell r="E411">
            <v>1.0665664410358353</v>
          </cell>
          <cell r="F411">
            <v>0.15364559147854051</v>
          </cell>
          <cell r="G411">
            <v>0.7721100426026184</v>
          </cell>
          <cell r="H411">
            <v>2.8418918034961358</v>
          </cell>
          <cell r="I411">
            <v>3.4601775492275881</v>
          </cell>
          <cell r="J411">
            <v>4.0466081101614408</v>
          </cell>
          <cell r="K411">
            <v>3.2855577366527782</v>
          </cell>
          <cell r="L411">
            <v>1.6702775617790731</v>
          </cell>
          <cell r="M411">
            <v>0.95918219278534489</v>
          </cell>
          <cell r="N411">
            <v>0.97939065882748555</v>
          </cell>
          <cell r="O411">
            <v>1.0599053494059494</v>
          </cell>
          <cell r="P411">
            <v>0.90659254759025676</v>
          </cell>
        </row>
        <row r="412">
          <cell r="B412" t="str">
            <v>CHPWOD</v>
          </cell>
          <cell r="C412" t="str">
            <v>VAR_fin</v>
          </cell>
          <cell r="D412" t="str">
            <v>EWOD</v>
          </cell>
          <cell r="E412">
            <v>1.6728139880049802</v>
          </cell>
          <cell r="F412">
            <v>0.23491651507932401</v>
          </cell>
          <cell r="G412">
            <v>1.1386163768759503</v>
          </cell>
          <cell r="H412">
            <v>3.9519514632645887</v>
          </cell>
          <cell r="I412">
            <v>4.5532306554741933</v>
          </cell>
          <cell r="J412">
            <v>5.0540473819293386</v>
          </cell>
          <cell r="K412">
            <v>4.1041873218172817</v>
          </cell>
          <cell r="L412">
            <v>2.0881938466149812</v>
          </cell>
          <cell r="M412">
            <v>1.1992303875740133</v>
          </cell>
          <cell r="N412">
            <v>1.2249666797812166</v>
          </cell>
          <cell r="O412">
            <v>1.3248061283423775</v>
          </cell>
          <cell r="P412">
            <v>1.1357360438299895</v>
          </cell>
        </row>
        <row r="413">
          <cell r="B413" t="str">
            <v>CHPWOD</v>
          </cell>
          <cell r="C413" t="str">
            <v>VAR_ncap</v>
          </cell>
          <cell r="D413" t="str">
            <v>-</v>
          </cell>
          <cell r="E413"/>
          <cell r="F413">
            <v>1.4116145544802901E-7</v>
          </cell>
          <cell r="G413">
            <v>2.84700873989867E-4</v>
          </cell>
          <cell r="H413">
            <v>3.0370711787452501E-2</v>
          </cell>
          <cell r="I413">
            <v>1.1118455877983701E-2</v>
          </cell>
          <cell r="J413">
            <v>1.44026415049278E-2</v>
          </cell>
          <cell r="K413">
            <v>5.5677453876885896E-4</v>
          </cell>
          <cell r="L413">
            <v>3.6435066480567998E-6</v>
          </cell>
          <cell r="M413">
            <v>4.8593524548091004E-6</v>
          </cell>
          <cell r="N413">
            <v>1.5120078128650599E-2</v>
          </cell>
          <cell r="O413">
            <v>1.52226605810872E-5</v>
          </cell>
          <cell r="P413">
            <v>8.1341323183094604E-6</v>
          </cell>
        </row>
        <row r="414">
          <cell r="B414" t="str">
            <v>CHPWOD</v>
          </cell>
          <cell r="C414" t="str">
            <v>VAR_cap</v>
          </cell>
          <cell r="D414" t="str">
            <v>-</v>
          </cell>
          <cell r="E414">
            <v>1.5225437321250201E-2</v>
          </cell>
          <cell r="F414">
            <v>1.0729993024290049E-2</v>
          </cell>
          <cell r="G414">
            <v>1.1014340129174814E-2</v>
          </cell>
          <cell r="H414">
            <v>4.0540683116552192E-2</v>
          </cell>
          <cell r="I414">
            <v>4.9362408361110777E-2</v>
          </cell>
          <cell r="J414">
            <v>5.7727529719101812E-2</v>
          </cell>
          <cell r="K414">
            <v>4.6869791132632711E-2</v>
          </cell>
          <cell r="L414">
            <v>2.6078190335136045E-2</v>
          </cell>
          <cell r="M414">
            <v>1.6430878109491152E-2</v>
          </cell>
          <cell r="N414">
            <v>1.5683372003800936E-2</v>
          </cell>
          <cell r="O414">
            <v>1.5142107778202515E-2</v>
          </cell>
          <cell r="P414">
            <v>1.5146139114957675E-2</v>
          </cell>
        </row>
        <row r="415">
          <cell r="B415" t="str">
            <v>D-EH2R</v>
          </cell>
          <cell r="C415" t="str">
            <v>VAR_fout</v>
          </cell>
          <cell r="D415" t="str">
            <v>EH2</v>
          </cell>
          <cell r="E415"/>
          <cell r="F415"/>
          <cell r="G415"/>
          <cell r="H415"/>
          <cell r="I415"/>
          <cell r="J415">
            <v>9.7927235880165549E-4</v>
          </cell>
          <cell r="K415">
            <v>9.2051158555459889E-4</v>
          </cell>
          <cell r="L415">
            <v>1.5857157897972711E-3</v>
          </cell>
          <cell r="M415">
            <v>1.2250430078453868E-3</v>
          </cell>
          <cell r="N415">
            <v>3.1774749236390745E-3</v>
          </cell>
          <cell r="O415">
            <v>2.9872846117694044E-3</v>
          </cell>
          <cell r="P415">
            <v>1.4356463244492555E-2</v>
          </cell>
        </row>
        <row r="416">
          <cell r="B416" t="str">
            <v>D-EH2R</v>
          </cell>
          <cell r="C416" t="str">
            <v>VAR_fin</v>
          </cell>
          <cell r="D416" t="str">
            <v>H2</v>
          </cell>
          <cell r="E416"/>
          <cell r="F416"/>
          <cell r="G416"/>
          <cell r="H416"/>
          <cell r="I416"/>
          <cell r="J416">
            <v>9.7927235880165549E-4</v>
          </cell>
          <cell r="K416">
            <v>9.2051158555459889E-4</v>
          </cell>
          <cell r="L416">
            <v>1.5857157897972711E-3</v>
          </cell>
          <cell r="M416">
            <v>1.2250430078453868E-3</v>
          </cell>
          <cell r="N416">
            <v>3.1774749236390745E-3</v>
          </cell>
          <cell r="O416">
            <v>2.9872846117694044E-3</v>
          </cell>
          <cell r="P416">
            <v>1.4356463244492555E-2</v>
          </cell>
        </row>
        <row r="417">
          <cell r="B417" t="str">
            <v>D-EH2R</v>
          </cell>
          <cell r="C417" t="str">
            <v>VAR_ncap</v>
          </cell>
          <cell r="D417" t="str">
            <v>-</v>
          </cell>
          <cell r="E417"/>
          <cell r="F417"/>
          <cell r="G417"/>
          <cell r="H417"/>
          <cell r="I417">
            <v>8.3385107808061801E-7</v>
          </cell>
          <cell r="J417">
            <v>2.5999086382289303E-4</v>
          </cell>
          <cell r="K417">
            <v>2.4951228674866899E-4</v>
          </cell>
          <cell r="L417">
            <v>5.6502698530256101E-5</v>
          </cell>
          <cell r="M417">
            <v>1.10920740760704E-4</v>
          </cell>
          <cell r="N417">
            <v>2.4572059464940301E-4</v>
          </cell>
          <cell r="O417">
            <v>2.32622016535978E-4</v>
          </cell>
          <cell r="P417">
            <v>1.17678820098301E-3</v>
          </cell>
        </row>
        <row r="418">
          <cell r="B418" t="str">
            <v>D-EH2R</v>
          </cell>
          <cell r="C418" t="str">
            <v>VAR_cap</v>
          </cell>
          <cell r="D418" t="str">
            <v>-</v>
          </cell>
          <cell r="E418"/>
          <cell r="F418"/>
          <cell r="G418"/>
          <cell r="H418"/>
          <cell r="I418">
            <v>8.3385107808061801E-7</v>
          </cell>
          <cell r="J418">
            <v>2.60165969995926E-4</v>
          </cell>
          <cell r="K418">
            <v>2.4951228674866899E-4</v>
          </cell>
          <cell r="L418">
            <v>3.0601498527892601E-4</v>
          </cell>
          <cell r="M418">
            <v>1.66411308261978E-4</v>
          </cell>
          <cell r="N418">
            <v>3.2992963822559202E-4</v>
          </cell>
          <cell r="O418">
            <v>2.7614452084513501E-4</v>
          </cell>
          <cell r="P418">
            <v>1.4094102175189901E-3</v>
          </cell>
        </row>
        <row r="419">
          <cell r="B419" t="str">
            <v>G-INTC1</v>
          </cell>
          <cell r="C419" t="str">
            <v>VAR_fout</v>
          </cell>
          <cell r="D419" t="str">
            <v>ELC13</v>
          </cell>
          <cell r="E419">
            <v>124.99138749346845</v>
          </cell>
          <cell r="F419">
            <v>139.73555191664141</v>
          </cell>
          <cell r="G419">
            <v>123.26178674843995</v>
          </cell>
          <cell r="H419">
            <v>106.4578541075993</v>
          </cell>
          <cell r="I419">
            <v>113.63340549946574</v>
          </cell>
          <cell r="J419">
            <v>116.08011717041857</v>
          </cell>
          <cell r="K419">
            <v>107.59337108973712</v>
          </cell>
          <cell r="L419">
            <v>101.18361123690927</v>
          </cell>
          <cell r="M419">
            <v>98.450425492861271</v>
          </cell>
          <cell r="N419">
            <v>104.47734983929313</v>
          </cell>
          <cell r="O419">
            <v>105.89190651302576</v>
          </cell>
          <cell r="P419">
            <v>112.52477226669677</v>
          </cell>
        </row>
        <row r="420">
          <cell r="B420" t="str">
            <v>G-INTC1</v>
          </cell>
          <cell r="C420" t="str">
            <v>VAR_fin</v>
          </cell>
          <cell r="D420" t="str">
            <v>ELC</v>
          </cell>
          <cell r="E420">
            <v>126.30767646683941</v>
          </cell>
          <cell r="F420">
            <v>143.35747435190933</v>
          </cell>
          <cell r="G420">
            <v>126.1822038526826</v>
          </cell>
          <cell r="H420">
            <v>108.58727616975068</v>
          </cell>
          <cell r="I420">
            <v>115.49002614649346</v>
          </cell>
          <cell r="J420">
            <v>117.55446364504648</v>
          </cell>
          <cell r="K420">
            <v>108.57133898925069</v>
          </cell>
          <cell r="L420">
            <v>101.74047724247082</v>
          </cell>
          <cell r="M420">
            <v>98.992249356625919</v>
          </cell>
          <cell r="N420">
            <v>105.05234300039355</v>
          </cell>
          <cell r="O420">
            <v>106.47468471475588</v>
          </cell>
          <cell r="P420">
            <v>113.14405457628111</v>
          </cell>
        </row>
        <row r="421">
          <cell r="B421" t="str">
            <v>G-INTC1</v>
          </cell>
          <cell r="C421" t="str">
            <v>VAR_ncap</v>
          </cell>
          <cell r="D421" t="str">
            <v>-</v>
          </cell>
          <cell r="E421">
            <v>1.00083554797518E-7</v>
          </cell>
          <cell r="F421">
            <v>8.1768267136269506E-8</v>
          </cell>
          <cell r="G421">
            <v>8.7204734250638499E-8</v>
          </cell>
          <cell r="H421">
            <v>1.03009567439171E-7</v>
          </cell>
          <cell r="I421">
            <v>1.3613004899828601E-7</v>
          </cell>
          <cell r="J421">
            <v>2.1322548242512799E-7</v>
          </cell>
          <cell r="K421">
            <v>2.3266423605338799E-7</v>
          </cell>
          <cell r="L421">
            <v>3.5704548345793201E-7</v>
          </cell>
          <cell r="M421">
            <v>5.1737604875679901E-7</v>
          </cell>
          <cell r="N421">
            <v>1.79545362945203E-6</v>
          </cell>
        </row>
        <row r="422">
          <cell r="B422" t="str">
            <v>G-INTC1</v>
          </cell>
          <cell r="C422" t="str">
            <v>VAR_cap</v>
          </cell>
          <cell r="D422" t="str">
            <v>-</v>
          </cell>
          <cell r="E422">
            <v>15.305609183965201</v>
          </cell>
          <cell r="F422">
            <v>15.305609183965201</v>
          </cell>
          <cell r="G422">
            <v>15.305609183965201</v>
          </cell>
          <cell r="H422">
            <v>15.305609272351186</v>
          </cell>
          <cell r="I422">
            <v>15.305609477828302</v>
          </cell>
          <cell r="J422">
            <v>15.305609556031325</v>
          </cell>
          <cell r="K422">
            <v>15.3056097014302</v>
          </cell>
          <cell r="L422">
            <v>15.305609905386856</v>
          </cell>
          <cell r="M422">
            <v>15.305610102301284</v>
          </cell>
          <cell r="N422">
            <v>15.305610619689977</v>
          </cell>
          <cell r="O422">
            <v>15.305611012472625</v>
          </cell>
          <cell r="P422">
            <v>15.305612807926254</v>
          </cell>
        </row>
        <row r="423">
          <cell r="B423" t="str">
            <v>EHYD-RUNS00</v>
          </cell>
          <cell r="C423" t="str">
            <v>VAR_fout</v>
          </cell>
          <cell r="D423" t="str">
            <v>ELC35</v>
          </cell>
          <cell r="E423">
            <v>12.240000078016834</v>
          </cell>
          <cell r="F423">
            <v>12.241616625705818</v>
          </cell>
          <cell r="G423">
            <v>12.244683033742104</v>
          </cell>
          <cell r="H423">
            <v>12.2526641480266</v>
          </cell>
          <cell r="I423">
            <v>12.260750493274896</v>
          </cell>
          <cell r="J423">
            <v>12.268856659277658</v>
          </cell>
          <cell r="K423">
            <v>12.27706016466869</v>
          </cell>
          <cell r="L423">
            <v>12.285349323114291</v>
          </cell>
          <cell r="M423">
            <v>12.28521018767208</v>
          </cell>
          <cell r="N423">
            <v>12.285275025296725</v>
          </cell>
          <cell r="O423">
            <v>12.28521399660265</v>
          </cell>
          <cell r="P423">
            <v>12.283110399760979</v>
          </cell>
        </row>
        <row r="424">
          <cell r="B424" t="str">
            <v>EHYD-RUNS00</v>
          </cell>
          <cell r="C424" t="str">
            <v>VAR_fin</v>
          </cell>
          <cell r="D424" t="str">
            <v>HYDR</v>
          </cell>
          <cell r="E424">
            <v>12.240000078016834</v>
          </cell>
          <cell r="F424">
            <v>12.241616625705818</v>
          </cell>
          <cell r="G424">
            <v>12.244683033742104</v>
          </cell>
          <cell r="H424">
            <v>12.2526641480266</v>
          </cell>
          <cell r="I424">
            <v>12.260750493274896</v>
          </cell>
          <cell r="J424">
            <v>12.268856659277658</v>
          </cell>
          <cell r="K424">
            <v>12.27706016466869</v>
          </cell>
          <cell r="L424">
            <v>12.285349323114291</v>
          </cell>
          <cell r="M424">
            <v>12.28521018767208</v>
          </cell>
          <cell r="N424">
            <v>12.285275025296725</v>
          </cell>
          <cell r="O424">
            <v>12.28521399660265</v>
          </cell>
          <cell r="P424">
            <v>12.283110399760979</v>
          </cell>
        </row>
        <row r="425">
          <cell r="B425" t="str">
            <v>EHYD-RUNS00</v>
          </cell>
          <cell r="C425" t="str">
            <v>VAR_cap</v>
          </cell>
          <cell r="D425" t="str">
            <v>-</v>
          </cell>
          <cell r="E425">
            <v>0.85785999999999896</v>
          </cell>
          <cell r="F425">
            <v>0.88297936593724102</v>
          </cell>
          <cell r="G425">
            <v>0.89707999999999899</v>
          </cell>
          <cell r="H425">
            <v>0.89707999999999899</v>
          </cell>
          <cell r="I425">
            <v>0.89707999999999899</v>
          </cell>
          <cell r="J425">
            <v>0.89707999999999899</v>
          </cell>
          <cell r="K425">
            <v>0.89707999999999899</v>
          </cell>
          <cell r="L425">
            <v>0.89707999999999899</v>
          </cell>
          <cell r="M425">
            <v>0.89707999999999899</v>
          </cell>
          <cell r="N425">
            <v>0.89707999999999899</v>
          </cell>
          <cell r="O425">
            <v>0.89707999999999899</v>
          </cell>
          <cell r="P425">
            <v>0.89707999999999899</v>
          </cell>
        </row>
        <row r="426">
          <cell r="B426" t="str">
            <v>RHNS-SHSTG-CHPWOD</v>
          </cell>
          <cell r="C426" t="str">
            <v>VAR_fout</v>
          </cell>
          <cell r="D426" t="str">
            <v>AUX_RNS-CHPWOD_OUT</v>
          </cell>
          <cell r="E426">
            <v>3.104047637039985E-4</v>
          </cell>
          <cell r="F426">
            <v>2.2655449607961747E-4</v>
          </cell>
          <cell r="G426">
            <v>3.1738090272265647E-4</v>
          </cell>
          <cell r="H426">
            <v>1.1799659528033254E-3</v>
          </cell>
          <cell r="I426">
            <v>1.9597706402575896E-3</v>
          </cell>
          <cell r="J426">
            <v>2.002045979463709E-3</v>
          </cell>
          <cell r="K426">
            <v>2.9062023018933828E-3</v>
          </cell>
          <cell r="L426">
            <v>6.8889987569736638E-3</v>
          </cell>
          <cell r="M426">
            <v>3.5963315170048486E-3</v>
          </cell>
          <cell r="N426">
            <v>7.2010624345762546E-3</v>
          </cell>
          <cell r="O426">
            <v>6.7822992508574991E-3</v>
          </cell>
          <cell r="P426">
            <v>1.7791396120584845E-2</v>
          </cell>
        </row>
        <row r="427">
          <cell r="B427" t="str">
            <v>RHNS-SHSTG-CHPWOD</v>
          </cell>
          <cell r="C427" t="str">
            <v>VAR_fout</v>
          </cell>
          <cell r="D427" t="str">
            <v>RHNS_LTH_CHPWOD</v>
          </cell>
          <cell r="E427">
            <v>3.1040476370399768E-4</v>
          </cell>
          <cell r="F427">
            <v>2.2670553241033658E-4</v>
          </cell>
          <cell r="G427">
            <v>3.1771150782965938E-4</v>
          </cell>
          <cell r="H427">
            <v>1.1799659528033254E-3</v>
          </cell>
          <cell r="I427">
            <v>1.961571900037234E-3</v>
          </cell>
          <cell r="J427">
            <v>2.0020459794637033E-3</v>
          </cell>
          <cell r="K427">
            <v>2.9085766501792351E-3</v>
          </cell>
          <cell r="L427">
            <v>6.8889987569736577E-3</v>
          </cell>
          <cell r="M427">
            <v>3.5963315170048451E-3</v>
          </cell>
          <cell r="N427">
            <v>7.2010624345762459E-3</v>
          </cell>
          <cell r="O427">
            <v>6.7822992508574922E-3</v>
          </cell>
          <cell r="P427">
            <v>1.7791396120584835E-2</v>
          </cell>
        </row>
        <row r="428">
          <cell r="B428" t="str">
            <v>RHNS-SHSTG-CHPWOD</v>
          </cell>
          <cell r="C428" t="str">
            <v>VAR_fin</v>
          </cell>
          <cell r="D428" t="str">
            <v>AUX_RNS-CHPWOD_IN</v>
          </cell>
          <cell r="E428">
            <v>2.3967040148014282E-4</v>
          </cell>
          <cell r="F428">
            <v>6.8806791378406211E-5</v>
          </cell>
          <cell r="G428">
            <v>2.4155064703633349E-4</v>
          </cell>
          <cell r="H428">
            <v>1.4693358514560977E-3</v>
          </cell>
          <cell r="I428">
            <v>2.3831289606350225E-3</v>
          </cell>
          <cell r="J428">
            <v>2.3532151178669134E-3</v>
          </cell>
          <cell r="K428">
            <v>3.3239987213188331E-3</v>
          </cell>
          <cell r="L428">
            <v>7.6653751662925868E-3</v>
          </cell>
          <cell r="M428">
            <v>3.9979236827223513E-3</v>
          </cell>
          <cell r="N428">
            <v>8.0118459491916975E-3</v>
          </cell>
          <cell r="O428">
            <v>7.5416651841027629E-3</v>
          </cell>
          <cell r="P428">
            <v>1.9776039253740003E-2</v>
          </cell>
        </row>
        <row r="429">
          <cell r="B429" t="str">
            <v>RHNS-SHSTG-CHPWOD</v>
          </cell>
          <cell r="C429" t="str">
            <v>VAR_fin</v>
          </cell>
          <cell r="D429" t="str">
            <v>RHNS_LTH_CHPWOD</v>
          </cell>
          <cell r="E429">
            <v>2.3967040148014282E-4</v>
          </cell>
          <cell r="F429">
            <v>6.8806791378406211E-5</v>
          </cell>
          <cell r="G429">
            <v>2.4155064703633349E-4</v>
          </cell>
          <cell r="H429">
            <v>1.4693358514560977E-3</v>
          </cell>
          <cell r="I429">
            <v>2.3831289606350225E-3</v>
          </cell>
          <cell r="J429">
            <v>2.3532151178669134E-3</v>
          </cell>
          <cell r="K429">
            <v>3.3239987213188331E-3</v>
          </cell>
          <cell r="L429">
            <v>7.6653751662925868E-3</v>
          </cell>
          <cell r="M429">
            <v>3.9979236827223513E-3</v>
          </cell>
          <cell r="N429">
            <v>8.0118459491916975E-3</v>
          </cell>
          <cell r="O429">
            <v>7.5416651841027629E-3</v>
          </cell>
          <cell r="P429">
            <v>1.9776039253740003E-2</v>
          </cell>
        </row>
        <row r="430">
          <cell r="B430" t="str">
            <v>RHNS-SHSTG-CHPWOD</v>
          </cell>
          <cell r="C430" t="str">
            <v>VAR_ncap</v>
          </cell>
          <cell r="D430" t="str">
            <v>-</v>
          </cell>
          <cell r="E430">
            <v>1.27501301978552E-3</v>
          </cell>
          <cell r="F430">
            <v>3.0491468050526999E-5</v>
          </cell>
          <cell r="G430">
            <v>5.3594591495817599E-5</v>
          </cell>
          <cell r="H430">
            <v>4.5103533843941599E-5</v>
          </cell>
          <cell r="I430">
            <v>1.4162158729060499E-3</v>
          </cell>
          <cell r="J430">
            <v>6.1432855314324901E-4</v>
          </cell>
          <cell r="K430">
            <v>1.3139994782071301E-4</v>
          </cell>
          <cell r="L430">
            <v>2.2884049092456401E-3</v>
          </cell>
          <cell r="M430">
            <v>5.35458302578012E-5</v>
          </cell>
          <cell r="N430">
            <v>1.7858274336907899E-3</v>
          </cell>
          <cell r="O430">
            <v>8.9242658841773E-4</v>
          </cell>
          <cell r="P430">
            <v>4.21715675864953E-3</v>
          </cell>
        </row>
        <row r="431">
          <cell r="B431" t="str">
            <v>RHNS-SHSTG-CHPWOD</v>
          </cell>
          <cell r="C431" t="str">
            <v>VAR_cap</v>
          </cell>
          <cell r="D431" t="str">
            <v>-</v>
          </cell>
          <cell r="E431">
            <v>1.27501301978552E-3</v>
          </cell>
          <cell r="F431">
            <v>1.3019204721765357E-3</v>
          </cell>
          <cell r="G431">
            <v>1.3460792477029842E-3</v>
          </cell>
          <cell r="H431">
            <v>1.3730683107276234E-3</v>
          </cell>
          <cell r="I431">
            <v>1.8243712853685543E-3</v>
          </cell>
          <cell r="J431">
            <v>2.0542060474679279E-3</v>
          </cell>
          <cell r="K431">
            <v>2.1401104380942581E-3</v>
          </cell>
          <cell r="L431">
            <v>3.0109192986364853E-3</v>
          </cell>
          <cell r="M431">
            <v>2.4880328981640668E-3</v>
          </cell>
          <cell r="N431">
            <v>4.0939574120641723E-3</v>
          </cell>
          <cell r="O431">
            <v>3.0689466556136687E-3</v>
          </cell>
          <cell r="P431">
            <v>6.8595844059136336E-3</v>
          </cell>
        </row>
        <row r="432">
          <cell r="B432" t="str">
            <v>HPLOIL</v>
          </cell>
          <cell r="C432" t="str">
            <v>VAR_fout</v>
          </cell>
          <cell r="D432" t="str">
            <v>LTH</v>
          </cell>
          <cell r="E432">
            <v>0.18408892322306933</v>
          </cell>
          <cell r="F432">
            <v>0.18584950046103374</v>
          </cell>
          <cell r="G432">
            <v>1.4560197329110945E-3</v>
          </cell>
          <cell r="H432">
            <v>1.4328628359242498E-3</v>
          </cell>
          <cell r="I432">
            <v>1.1319221782612509E-3</v>
          </cell>
          <cell r="J432">
            <v>1.0202063136999719E-3</v>
          </cell>
          <cell r="K432">
            <v>9.9631325826629981E-4</v>
          </cell>
          <cell r="L432">
            <v>4.1740506506204221E-4</v>
          </cell>
          <cell r="M432">
            <v>8.9331685070588064E-4</v>
          </cell>
          <cell r="N432">
            <v>4.0648557410163043E-4</v>
          </cell>
          <cell r="O432">
            <v>8.1592025278423303E-4</v>
          </cell>
          <cell r="P432">
            <v>4.1361468811144329E-4</v>
          </cell>
        </row>
        <row r="433">
          <cell r="B433" t="str">
            <v>HPLOIL</v>
          </cell>
          <cell r="C433" t="str">
            <v>VAR_fout</v>
          </cell>
          <cell r="D433" t="str">
            <v>CO2_E</v>
          </cell>
          <cell r="E433">
            <v>15.878370967588101</v>
          </cell>
          <cell r="F433">
            <v>16.0302274617869</v>
          </cell>
          <cell r="G433">
            <v>0.12558724908872601</v>
          </cell>
          <cell r="H433">
            <v>0.123589878500764</v>
          </cell>
          <cell r="I433">
            <v>9.7632600257505295E-2</v>
          </cell>
          <cell r="J433">
            <v>8.7996681325439197E-2</v>
          </cell>
          <cell r="K433">
            <v>8.5935814266831501E-2</v>
          </cell>
          <cell r="L433">
            <v>3.6002777086018498E-2</v>
          </cell>
          <cell r="M433">
            <v>7.7051981720364204E-2</v>
          </cell>
          <cell r="N433">
            <v>3.50609293897476E-2</v>
          </cell>
          <cell r="O433">
            <v>7.0376230285064595E-2</v>
          </cell>
          <cell r="P433">
            <v>3.56758426335003E-2</v>
          </cell>
        </row>
        <row r="434">
          <cell r="B434" t="str">
            <v>HPLOIL</v>
          </cell>
          <cell r="C434" t="str">
            <v>VAR_fin</v>
          </cell>
          <cell r="D434" t="str">
            <v>ELFO</v>
          </cell>
          <cell r="E434">
            <v>0.21544601041503528</v>
          </cell>
          <cell r="F434">
            <v>0.21750647845029705</v>
          </cell>
          <cell r="G434">
            <v>1.7040332305118791E-3</v>
          </cell>
          <cell r="H434">
            <v>1.6769318656820016E-3</v>
          </cell>
          <cell r="I434">
            <v>1.3247299899254452E-3</v>
          </cell>
          <cell r="J434">
            <v>1.1939848212406941E-3</v>
          </cell>
          <cell r="K434">
            <v>1.1660219032134536E-3</v>
          </cell>
          <cell r="L434">
            <v>4.8850443807352153E-4</v>
          </cell>
          <cell r="M434">
            <v>1.0454814344689842E-3</v>
          </cell>
          <cell r="N434">
            <v>4.7572495779847434E-4</v>
          </cell>
          <cell r="O434">
            <v>9.5490136072000711E-4</v>
          </cell>
          <cell r="P434">
            <v>4.8406842107870135E-4</v>
          </cell>
        </row>
        <row r="435">
          <cell r="B435" t="str">
            <v>HPLOIL</v>
          </cell>
          <cell r="C435" t="str">
            <v>VAR_ncap</v>
          </cell>
          <cell r="D435" t="str">
            <v>-</v>
          </cell>
          <cell r="E435">
            <v>1.47289388565346E-5</v>
          </cell>
          <cell r="F435">
            <v>1.0201337648919899E-5</v>
          </cell>
          <cell r="G435">
            <v>8.0198246659279804E-6</v>
          </cell>
          <cell r="H435">
            <v>8.0554532334336007E-6</v>
          </cell>
          <cell r="I435">
            <v>4.9192008021531103E-4</v>
          </cell>
          <cell r="J435">
            <v>2.5206155741784699E-5</v>
          </cell>
          <cell r="K435">
            <v>6.0345931052401598E-5</v>
          </cell>
          <cell r="L435">
            <v>2.68140019322293E-4</v>
          </cell>
          <cell r="M435">
            <v>8.3033991090093203E-5</v>
          </cell>
          <cell r="N435">
            <v>4.4061344967913401E-4</v>
          </cell>
          <cell r="O435">
            <v>8.6503616427642798E-5</v>
          </cell>
          <cell r="P435">
            <v>9.8486294356782606E-4</v>
          </cell>
        </row>
        <row r="436">
          <cell r="B436" t="str">
            <v>HPLOIL</v>
          </cell>
          <cell r="C436" t="str">
            <v>VAR_cap</v>
          </cell>
          <cell r="D436" t="str">
            <v>-</v>
          </cell>
          <cell r="E436">
            <v>2.4112147391581733E-2</v>
          </cell>
          <cell r="F436">
            <v>2.3686919037308657E-2</v>
          </cell>
          <cell r="G436">
            <v>2.3514751094058789E-3</v>
          </cell>
          <cell r="H436">
            <v>1.0254729544756161E-3</v>
          </cell>
          <cell r="I436">
            <v>5.1369045456843945E-4</v>
          </cell>
          <cell r="J436">
            <v>5.2796661680256664E-4</v>
          </cell>
          <cell r="K436">
            <v>5.7510778246854367E-4</v>
          </cell>
          <cell r="L436">
            <v>8.2915094037540305E-4</v>
          </cell>
          <cell r="M436">
            <v>5.6389693283352845E-4</v>
          </cell>
          <cell r="N436">
            <v>8.3362619974652994E-4</v>
          </cell>
          <cell r="O436">
            <v>8.6005166024545631E-4</v>
          </cell>
          <cell r="P436">
            <v>1.5710975346868974E-3</v>
          </cell>
        </row>
        <row r="437">
          <cell r="B437" t="str">
            <v>V2G</v>
          </cell>
          <cell r="C437" t="str">
            <v>VAR_fout</v>
          </cell>
          <cell r="D437" t="str">
            <v>ELC35</v>
          </cell>
          <cell r="E437"/>
          <cell r="F437"/>
          <cell r="G437"/>
          <cell r="H437">
            <v>0.97170837750698102</v>
          </cell>
          <cell r="I437">
            <v>0.91035687201829407</v>
          </cell>
          <cell r="J437">
            <v>0.78289371206080172</v>
          </cell>
          <cell r="K437">
            <v>0.57196132857420134</v>
          </cell>
          <cell r="L437">
            <v>1.5623433634030457</v>
          </cell>
          <cell r="M437">
            <v>2.2197904359466292</v>
          </cell>
          <cell r="N437">
            <v>2.5733289027699713</v>
          </cell>
          <cell r="O437">
            <v>2.5546486121483598</v>
          </cell>
          <cell r="P437">
            <v>2.4155038687150814</v>
          </cell>
        </row>
        <row r="438">
          <cell r="B438" t="str">
            <v>V2G</v>
          </cell>
          <cell r="C438" t="str">
            <v>VAR_fin</v>
          </cell>
          <cell r="D438" t="str">
            <v>T-ELC-Bus_c_BatSTGout_S1</v>
          </cell>
          <cell r="E438"/>
          <cell r="F438"/>
          <cell r="G438"/>
          <cell r="H438">
            <v>1.7578846062809013E-3</v>
          </cell>
          <cell r="I438">
            <v>5.9130413343203804E-3</v>
          </cell>
          <cell r="J438">
            <v>3.0008224371544843E-3</v>
          </cell>
          <cell r="K438">
            <v>3.822190413342301E-3</v>
          </cell>
          <cell r="L438">
            <v>3.7084211430873596E-3</v>
          </cell>
          <cell r="M438">
            <v>3.052477697612836E-3</v>
          </cell>
          <cell r="N438">
            <v>4.5309561666999299E-3</v>
          </cell>
          <cell r="O438">
            <v>3.9296186967119097E-3</v>
          </cell>
          <cell r="P438">
            <v>6.0394402135125081E-3</v>
          </cell>
        </row>
        <row r="439">
          <cell r="B439" t="str">
            <v>V2G</v>
          </cell>
          <cell r="C439" t="str">
            <v>VAR_fin</v>
          </cell>
          <cell r="D439" t="str">
            <v>T-ELC-Bus_c_BatSTGout_S2</v>
          </cell>
          <cell r="E439"/>
          <cell r="F439"/>
          <cell r="G439"/>
          <cell r="H439">
            <v>1.577018083136307E-3</v>
          </cell>
          <cell r="I439">
            <v>3.0410937013062339E-3</v>
          </cell>
          <cell r="J439">
            <v>2.4515875857229678E-3</v>
          </cell>
          <cell r="K439">
            <v>2.9634776619210301E-3</v>
          </cell>
          <cell r="L439">
            <v>3.6147596137566787E-3</v>
          </cell>
          <cell r="M439">
            <v>2.7480707248044769E-3</v>
          </cell>
          <cell r="N439">
            <v>4.0436274587985653E-3</v>
          </cell>
          <cell r="O439">
            <v>3.4291356985754157E-3</v>
          </cell>
          <cell r="P439">
            <v>4.7860810879038519E-3</v>
          </cell>
        </row>
        <row r="440">
          <cell r="B440" t="str">
            <v>V2G</v>
          </cell>
          <cell r="C440" t="str">
            <v>VAR_fin</v>
          </cell>
          <cell r="D440" t="str">
            <v>T-ELC-Bus_c_BatSTGout_S3</v>
          </cell>
          <cell r="E440"/>
          <cell r="F440"/>
          <cell r="G440"/>
          <cell r="H440">
            <v>3.0619910111317203E-4</v>
          </cell>
          <cell r="I440">
            <v>2.6640770086091311E-4</v>
          </cell>
          <cell r="J440">
            <v>2.6706898952567524E-4</v>
          </cell>
          <cell r="K440">
            <v>5.6408231158277438E-4</v>
          </cell>
          <cell r="L440">
            <v>8.7487749306502352E-4</v>
          </cell>
          <cell r="M440">
            <v>8.2383560887091926E-4</v>
          </cell>
          <cell r="N440">
            <v>1.0638192166166659E-3</v>
          </cell>
          <cell r="O440">
            <v>1.2808670549784499E-3</v>
          </cell>
          <cell r="P440">
            <v>2.5962416088423125E-3</v>
          </cell>
        </row>
        <row r="441">
          <cell r="B441" t="str">
            <v>V2G</v>
          </cell>
          <cell r="C441" t="str">
            <v>VAR_fin</v>
          </cell>
          <cell r="D441" t="str">
            <v>T-ELC-Bus_c_BatSTGout_S4</v>
          </cell>
          <cell r="E441"/>
          <cell r="F441"/>
          <cell r="G441"/>
          <cell r="H441">
            <v>2.8188364643566045E-4</v>
          </cell>
          <cell r="I441">
            <v>2.7015210228005851E-4</v>
          </cell>
          <cell r="J441">
            <v>4.0516476878611464E-4</v>
          </cell>
          <cell r="K441">
            <v>4.4130408589302653E-4</v>
          </cell>
          <cell r="L441">
            <v>7.5886484250711609E-4</v>
          </cell>
          <cell r="M441">
            <v>7.1339804633871668E-4</v>
          </cell>
          <cell r="N441">
            <v>7.6469367946830301E-4</v>
          </cell>
          <cell r="O441">
            <v>9.4698412814989564E-4</v>
          </cell>
          <cell r="P441">
            <v>1.3545505376628029E-3</v>
          </cell>
        </row>
        <row r="442">
          <cell r="B442" t="str">
            <v>V2G</v>
          </cell>
          <cell r="C442" t="str">
            <v>VAR_fin</v>
          </cell>
          <cell r="D442" t="str">
            <v>T-ELC-car-BatSTGOut_S1</v>
          </cell>
          <cell r="E442"/>
          <cell r="F442"/>
          <cell r="G442"/>
          <cell r="H442">
            <v>2.9968711361573325E-2</v>
          </cell>
          <cell r="I442">
            <v>2.9030875191063454E-2</v>
          </cell>
          <cell r="J442">
            <v>0.18771773640644779</v>
          </cell>
          <cell r="K442">
            <v>0.15689254351435528</v>
          </cell>
          <cell r="L442">
            <v>0.41548998378120705</v>
          </cell>
          <cell r="M442">
            <v>0.4993149838452518</v>
          </cell>
          <cell r="N442">
            <v>0.60580822213870866</v>
          </cell>
          <cell r="O442">
            <v>0.70368900236833398</v>
          </cell>
          <cell r="P442">
            <v>0.77332012872416156</v>
          </cell>
        </row>
        <row r="443">
          <cell r="B443" t="str">
            <v>V2G</v>
          </cell>
          <cell r="C443" t="str">
            <v>VAR_fin</v>
          </cell>
          <cell r="D443" t="str">
            <v>T-ELC-car-BatSTGOut_S2</v>
          </cell>
          <cell r="E443"/>
          <cell r="F443"/>
          <cell r="G443"/>
          <cell r="H443">
            <v>0.15107801500955778</v>
          </cell>
          <cell r="I443">
            <v>0.10771900271247342</v>
          </cell>
          <cell r="J443">
            <v>9.0594067330698719E-2</v>
          </cell>
          <cell r="K443">
            <v>5.5860273026308964E-2</v>
          </cell>
          <cell r="L443">
            <v>0.11432984485197205</v>
          </cell>
          <cell r="M443">
            <v>0.18364174643859923</v>
          </cell>
          <cell r="N443">
            <v>0.22409124585236018</v>
          </cell>
          <cell r="O443">
            <v>0.22449259873489591</v>
          </cell>
          <cell r="P443">
            <v>0.25511186899370758</v>
          </cell>
        </row>
        <row r="444">
          <cell r="B444" t="str">
            <v>V2G</v>
          </cell>
          <cell r="C444" t="str">
            <v>VAR_fin</v>
          </cell>
          <cell r="D444" t="str">
            <v>T-ELC-car-BatSTGOut_S3</v>
          </cell>
          <cell r="E444"/>
          <cell r="F444"/>
          <cell r="G444"/>
          <cell r="H444">
            <v>0.14848921820477431</v>
          </cell>
          <cell r="I444">
            <v>0.10049742253459963</v>
          </cell>
          <cell r="J444">
            <v>8.7258521235018219E-2</v>
          </cell>
          <cell r="K444">
            <v>5.6475195725834239E-2</v>
          </cell>
          <cell r="L444">
            <v>0.12067563604649963</v>
          </cell>
          <cell r="M444">
            <v>0.18710844053456144</v>
          </cell>
          <cell r="N444">
            <v>0.22343950188875072</v>
          </cell>
          <cell r="O444">
            <v>0.22007948375477582</v>
          </cell>
          <cell r="P444">
            <v>0.25572762106827845</v>
          </cell>
        </row>
        <row r="445">
          <cell r="B445" t="str">
            <v>V2G</v>
          </cell>
          <cell r="C445" t="str">
            <v>VAR_fin</v>
          </cell>
          <cell r="D445" t="str">
            <v>T-ELC-car-BatSTGOut_S4</v>
          </cell>
          <cell r="E445"/>
          <cell r="F445"/>
          <cell r="G445"/>
          <cell r="H445">
            <v>0.25204079956816644</v>
          </cell>
          <cell r="I445">
            <v>0.21083808527776224</v>
          </cell>
          <cell r="J445">
            <v>0.13845105592534215</v>
          </cell>
          <cell r="K445">
            <v>7.2443606502096053E-2</v>
          </cell>
          <cell r="L445">
            <v>0.17821997576901707</v>
          </cell>
          <cell r="M445">
            <v>0.29950380670835519</v>
          </cell>
          <cell r="N445">
            <v>0.38298628791931544</v>
          </cell>
          <cell r="O445">
            <v>0.37168733050025543</v>
          </cell>
          <cell r="P445">
            <v>0.4392181629281614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T-ELC-car-PlgSTGOut_S1</v>
          </cell>
          <cell r="E446"/>
          <cell r="F446"/>
          <cell r="G446"/>
          <cell r="H446">
            <v>4.0328493312936117E-4</v>
          </cell>
          <cell r="I446">
            <v>1.1449706204759822E-3</v>
          </cell>
          <cell r="J446">
            <v>1.7950892432969374E-3</v>
          </cell>
          <cell r="K446">
            <v>2.5005487019594129E-3</v>
          </cell>
          <cell r="L446">
            <v>5.3179914235198219E-3</v>
          </cell>
          <cell r="M446">
            <v>5.926321993207688E-3</v>
          </cell>
          <cell r="N446">
            <v>7.3301802079825222E-3</v>
          </cell>
          <cell r="O446">
            <v>7.2507816435434152E-3</v>
          </cell>
          <cell r="P446">
            <v>9.7404173261909418E-3</v>
          </cell>
        </row>
        <row r="447">
          <cell r="B447" t="str">
            <v>V2G</v>
          </cell>
          <cell r="C447" t="str">
            <v>VAR_fin</v>
          </cell>
          <cell r="D447" t="str">
            <v>T-ELC-car-PlgSTGOut_S2</v>
          </cell>
          <cell r="H447">
            <v>2.0884635481206956E-4</v>
          </cell>
          <cell r="I447">
            <v>4.7629752107352508E-4</v>
          </cell>
          <cell r="J447">
            <v>8.6173153026733223E-4</v>
          </cell>
          <cell r="K447">
            <v>1.3560092594534403E-3</v>
          </cell>
          <cell r="L447">
            <v>3.4635982801675389E-3</v>
          </cell>
          <cell r="M447">
            <v>5.6864825280556093E-3</v>
          </cell>
          <cell r="N447">
            <v>3.0188464460127163E-3</v>
          </cell>
          <cell r="O447">
            <v>2.4670727746104303E-3</v>
          </cell>
          <cell r="P447">
            <v>4.0102186343642767E-3</v>
          </cell>
        </row>
        <row r="448">
          <cell r="B448" t="str">
            <v>V2G</v>
          </cell>
          <cell r="C448" t="str">
            <v>VAR_fin</v>
          </cell>
          <cell r="D448" t="str">
            <v>T-ELC-car-PlgSTGOut_S3</v>
          </cell>
          <cell r="H448">
            <v>0.37009747223773287</v>
          </cell>
          <cell r="I448">
            <v>0.1931056994184244</v>
          </cell>
          <cell r="J448">
            <v>4.7393082549908642E-2</v>
          </cell>
          <cell r="K448">
            <v>5.5420587276110378E-2</v>
          </cell>
          <cell r="L448">
            <v>0.21169645539286147</v>
          </cell>
          <cell r="M448">
            <v>0.46956512679726042</v>
          </cell>
          <cell r="N448">
            <v>0.5050706194473028</v>
          </cell>
          <cell r="O448">
            <v>0.51631563221512589</v>
          </cell>
          <cell r="P448">
            <v>4.4074138442937186E-2</v>
          </cell>
        </row>
        <row r="449">
          <cell r="B449" t="str">
            <v>V2G</v>
          </cell>
          <cell r="C449" t="str">
            <v>VAR_fin</v>
          </cell>
          <cell r="D449" t="str">
            <v>T-ELC-TWSTGout_S1</v>
          </cell>
          <cell r="H449">
            <v>2.3862211061220881E-3</v>
          </cell>
          <cell r="I449">
            <v>4.4934998910030576E-3</v>
          </cell>
          <cell r="J449">
            <v>4.1227640281938146E-3</v>
          </cell>
          <cell r="K449">
            <v>4.436756419298863E-3</v>
          </cell>
          <cell r="L449">
            <v>9.1079568009752032E-3</v>
          </cell>
          <cell r="M449">
            <v>6.6538770445759461E-3</v>
          </cell>
          <cell r="N449">
            <v>1.18156877003401E-2</v>
          </cell>
          <cell r="O449">
            <v>8.7658399146449493E-3</v>
          </cell>
          <cell r="P449">
            <v>1.9709399179572661E-2</v>
          </cell>
        </row>
        <row r="450">
          <cell r="B450" t="str">
            <v>V2G</v>
          </cell>
          <cell r="C450" t="str">
            <v>VAR_fin</v>
          </cell>
          <cell r="D450" t="str">
            <v>T-ELC-car-PlgSTGOut_S4</v>
          </cell>
          <cell r="H450">
            <v>1.7780656155141734E-4</v>
          </cell>
          <cell r="I450">
            <v>0.22759270521820507</v>
          </cell>
          <cell r="J450">
            <v>0.19204247318697565</v>
          </cell>
          <cell r="K450">
            <v>0.13339038338071263</v>
          </cell>
          <cell r="L450">
            <v>0.44469350031557525</v>
          </cell>
          <cell r="M450">
            <v>0.51484303420293387</v>
          </cell>
          <cell r="N450">
            <v>0.53817785447608946</v>
          </cell>
          <cell r="O450">
            <v>0.43430412314292077</v>
          </cell>
          <cell r="P450">
            <v>0.4911779050119674</v>
          </cell>
        </row>
        <row r="451">
          <cell r="B451" t="str">
            <v>V2G</v>
          </cell>
          <cell r="C451" t="str">
            <v>VAR_fin</v>
          </cell>
          <cell r="D451" t="str">
            <v>T-ELC-TWSTGout_S2</v>
          </cell>
          <cell r="H451">
            <v>3.1236888966319353E-3</v>
          </cell>
          <cell r="I451">
            <v>5.3797566137518222E-3</v>
          </cell>
          <cell r="J451">
            <v>5.2121189707479542E-3</v>
          </cell>
          <cell r="K451">
            <v>4.8876449849696666E-3</v>
          </cell>
          <cell r="L451">
            <v>9.8835809014700248E-3</v>
          </cell>
          <cell r="M451">
            <v>8.5622996310249465E-3</v>
          </cell>
          <cell r="N451">
            <v>1.3872722269548591E-2</v>
          </cell>
          <cell r="O451">
            <v>1.0650180414059776E-2</v>
          </cell>
          <cell r="P451">
            <v>2.2060815368303188E-2</v>
          </cell>
        </row>
        <row r="452">
          <cell r="B452" t="str">
            <v>V2G</v>
          </cell>
          <cell r="C452" t="str">
            <v>VAR_fin</v>
          </cell>
          <cell r="D452" t="str">
            <v>T-ELC-TWSTGout_S3</v>
          </cell>
          <cell r="H452">
            <v>3.7641667471243444E-3</v>
          </cell>
          <cell r="I452">
            <v>8.9241276046009739E-3</v>
          </cell>
          <cell r="J452">
            <v>8.6342372985056658E-3</v>
          </cell>
          <cell r="K452">
            <v>7.5246052122944201E-3</v>
          </cell>
          <cell r="L452">
            <v>1.6072093828748465E-2</v>
          </cell>
          <cell r="M452">
            <v>1.2418012727227444E-2</v>
          </cell>
          <cell r="N452">
            <v>1.7679010886464872E-2</v>
          </cell>
          <cell r="O452">
            <v>1.7438075396951812E-2</v>
          </cell>
          <cell r="P452">
            <v>3.1558512233601406E-2</v>
          </cell>
        </row>
        <row r="453">
          <cell r="B453" t="str">
            <v>V2G</v>
          </cell>
          <cell r="C453" t="str">
            <v>VAR_fin</v>
          </cell>
          <cell r="D453" t="str">
            <v>T-ELC-TWSTGout_S4</v>
          </cell>
          <cell r="H453">
            <v>4.4027194448662647E-3</v>
          </cell>
          <cell r="I453">
            <v>9.1014168720273472E-3</v>
          </cell>
          <cell r="J453">
            <v>1.0198104286843129E-2</v>
          </cell>
          <cell r="K453">
            <v>1.0346421659952438E-2</v>
          </cell>
          <cell r="L453">
            <v>1.902451340542257E-2</v>
          </cell>
          <cell r="M453">
            <v>1.5607579197777858E-2</v>
          </cell>
          <cell r="N453">
            <v>2.3571073362178382E-2</v>
          </cell>
          <cell r="O453">
            <v>2.2331259074532935E-2</v>
          </cell>
          <cell r="P453">
            <v>4.1392918203100093E-2</v>
          </cell>
        </row>
        <row r="454">
          <cell r="B454" t="str">
            <v>V2G</v>
          </cell>
          <cell r="C454" t="str">
            <v>VAR_fin</v>
          </cell>
          <cell r="D454" t="str">
            <v>T-ELC-Bus_u_BatSTGout_S1</v>
          </cell>
          <cell r="H454">
            <v>1.4222508362114067E-4</v>
          </cell>
          <cell r="I454">
            <v>2.7790003224805425E-4</v>
          </cell>
          <cell r="J454">
            <v>2.348246608519777E-4</v>
          </cell>
          <cell r="K454">
            <v>3.1965600805482745E-4</v>
          </cell>
          <cell r="L454">
            <v>7.3106238548429909E-4</v>
          </cell>
          <cell r="M454">
            <v>4.9976311076552074E-4</v>
          </cell>
          <cell r="N454">
            <v>9.2845658261644058E-4</v>
          </cell>
          <cell r="O454">
            <v>7.198588810759072E-4</v>
          </cell>
          <cell r="P454">
            <v>1.8197483011149259E-3</v>
          </cell>
        </row>
        <row r="455">
          <cell r="B455" t="str">
            <v>V2G</v>
          </cell>
          <cell r="C455" t="str">
            <v>VAR_fin</v>
          </cell>
          <cell r="D455" t="str">
            <v>T-ELC-Bus_u_BatSTGout_S2</v>
          </cell>
          <cell r="H455">
            <v>1.2168026207924711E-4</v>
          </cell>
          <cell r="I455">
            <v>2.3329672724596473E-4</v>
          </cell>
          <cell r="J455">
            <v>2.1550367623513584E-4</v>
          </cell>
          <cell r="K455">
            <v>2.8793927281560726E-4</v>
          </cell>
          <cell r="L455">
            <v>6.5458300888227049E-4</v>
          </cell>
          <cell r="M455">
            <v>4.5749962579947283E-4</v>
          </cell>
          <cell r="N455">
            <v>8.6428190355190154E-4</v>
          </cell>
          <cell r="O455">
            <v>6.3671779723168331E-4</v>
          </cell>
          <cell r="P455">
            <v>1.556510170527564E-3</v>
          </cell>
        </row>
        <row r="456">
          <cell r="B456" t="str">
            <v>V2G</v>
          </cell>
          <cell r="C456" t="str">
            <v>VAR_fin</v>
          </cell>
          <cell r="D456" t="str">
            <v>T-ELC-Bus_u_BatSTGout_S3</v>
          </cell>
          <cell r="H456">
            <v>5.798342335899956E-5</v>
          </cell>
          <cell r="I456">
            <v>9.7268703787672052E-5</v>
          </cell>
          <cell r="J456">
            <v>1.008479952785122E-4</v>
          </cell>
          <cell r="K456">
            <v>1.4097439143416553E-4</v>
          </cell>
          <cell r="L456">
            <v>3.2742493535926518E-4</v>
          </cell>
          <cell r="M456">
            <v>2.1364164913731737E-4</v>
          </cell>
          <cell r="N456">
            <v>3.3442743633225178E-4</v>
          </cell>
          <cell r="O456">
            <v>2.7958675538015151E-4</v>
          </cell>
          <cell r="P456">
            <v>6.0845358940798673E-4</v>
          </cell>
        </row>
        <row r="457">
          <cell r="B457" t="str">
            <v>V2G</v>
          </cell>
          <cell r="C457" t="str">
            <v>VAR_fin</v>
          </cell>
          <cell r="D457" t="str">
            <v>T-ELC-Bus_u_BatSTGout_S4</v>
          </cell>
          <cell r="H457">
            <v>1.4068059697101116E-4</v>
          </cell>
          <cell r="I457">
            <v>1.8605847543198812E-4</v>
          </cell>
          <cell r="J457">
            <v>2.2543680893699511E-4</v>
          </cell>
          <cell r="K457">
            <v>2.5336483125330139E-4</v>
          </cell>
          <cell r="L457">
            <v>5.9805697866446416E-4</v>
          </cell>
          <cell r="M457">
            <v>4.341735700976588E-4</v>
          </cell>
          <cell r="N457">
            <v>5.9239520191848899E-4</v>
          </cell>
          <cell r="O457">
            <v>6.2142301326914041E-4</v>
          </cell>
          <cell r="P457">
            <v>1.1083291366478683E-3</v>
          </cell>
        </row>
        <row r="458">
          <cell r="B458" t="str">
            <v>V2G</v>
          </cell>
          <cell r="C458" t="str">
            <v>VAR_fin</v>
          </cell>
          <cell r="D458" t="str">
            <v>T-ELC-LGV_BatSTGout</v>
          </cell>
          <cell r="H458">
            <v>7.1008568778172833E-4</v>
          </cell>
          <cell r="I458">
            <v>8.8810183154236597E-4</v>
          </cell>
          <cell r="J458">
            <v>7.0686278264181447E-4</v>
          </cell>
          <cell r="K458">
            <v>8.115891939788635E-4</v>
          </cell>
          <cell r="L458">
            <v>1.6599686477984995E-3</v>
          </cell>
          <cell r="M458">
            <v>9.6894929261866236E-4</v>
          </cell>
          <cell r="N458">
            <v>1.8093284543085357E-3</v>
          </cell>
          <cell r="O458">
            <v>1.2686299925596721E-3</v>
          </cell>
          <cell r="P458">
            <v>2.9838081199152437E-3</v>
          </cell>
        </row>
        <row r="459">
          <cell r="B459" t="str">
            <v>V2G</v>
          </cell>
          <cell r="C459" t="str">
            <v>VAR_fin</v>
          </cell>
          <cell r="D459" t="str">
            <v>T-ELC-HGV_BatSTGout</v>
          </cell>
          <cell r="H459">
            <v>5.6185446009144235E-4</v>
          </cell>
          <cell r="I459">
            <v>9.9166298930337959E-4</v>
          </cell>
          <cell r="J459">
            <v>1.1239954766408913E-3</v>
          </cell>
          <cell r="K459">
            <v>9.490912027580637E-4</v>
          </cell>
          <cell r="L459">
            <v>1.6567385904116196E-3</v>
          </cell>
          <cell r="M459">
            <v>1.2158711374652459E-3</v>
          </cell>
          <cell r="N459">
            <v>1.7838367470082211E-3</v>
          </cell>
          <cell r="O459">
            <v>2.241291358359643E-3</v>
          </cell>
          <cell r="P459">
            <v>5.8366008632781676E-3</v>
          </cell>
        </row>
        <row r="460">
          <cell r="B460" t="str">
            <v>V2G</v>
          </cell>
          <cell r="C460" t="str">
            <v>VAR_ncap</v>
          </cell>
          <cell r="D460" t="str">
            <v>-</v>
          </cell>
          <cell r="H460">
            <v>0.24377725084031801</v>
          </cell>
          <cell r="I460">
            <v>3.0640345940787302E-2</v>
          </cell>
          <cell r="J460">
            <v>0.114291724000013</v>
          </cell>
          <cell r="K460">
            <v>0.275560873754499</v>
          </cell>
          <cell r="L460">
            <v>5.0413931730110598E-4</v>
          </cell>
          <cell r="M460">
            <v>0.28857239624308501</v>
          </cell>
          <cell r="N460">
            <v>0.52085242212911598</v>
          </cell>
          <cell r="O460">
            <v>0.73790691360863603</v>
          </cell>
          <cell r="P460">
            <v>0.327954450345049</v>
          </cell>
        </row>
        <row r="461">
          <cell r="B461" t="str">
            <v>V2G</v>
          </cell>
          <cell r="C461" t="str">
            <v>VAR_cap</v>
          </cell>
          <cell r="D461" t="str">
            <v>-</v>
          </cell>
          <cell r="H461">
            <v>0.24377725084031801</v>
          </cell>
          <cell r="I461">
            <v>0.27440992331374775</v>
          </cell>
          <cell r="J461">
            <v>0.34231566749775766</v>
          </cell>
          <cell r="K461">
            <v>0.42048304054614349</v>
          </cell>
          <cell r="L461">
            <v>0.39033641024698618</v>
          </cell>
          <cell r="M461">
            <v>0.54566835544245773</v>
          </cell>
          <cell r="N461">
            <v>0.80990939799777484</v>
          </cell>
          <cell r="O461">
            <v>1.4559112731751518</v>
          </cell>
          <cell r="P461">
            <v>1.5866917614560427</v>
          </cell>
        </row>
        <row r="462">
          <cell r="B462" t="str">
            <v>D-EBIO</v>
          </cell>
          <cell r="C462" t="str">
            <v>VAR_fout</v>
          </cell>
          <cell r="D462" t="str">
            <v>EBIO</v>
          </cell>
          <cell r="E462">
            <v>1.183953063426149</v>
          </cell>
          <cell r="F462">
            <v>2.0246736866193751</v>
          </cell>
          <cell r="G462">
            <v>2.0246739935050653</v>
          </cell>
          <cell r="H462">
            <v>2.0246726726485171</v>
          </cell>
          <cell r="I462">
            <v>2.0246747505803349</v>
          </cell>
          <cell r="J462">
            <v>2.0246766337209423</v>
          </cell>
          <cell r="K462">
            <v>2.0246786694197878</v>
          </cell>
          <cell r="L462">
            <v>2.0246834095455641</v>
          </cell>
          <cell r="M462">
            <v>2.0246840673832054</v>
          </cell>
          <cell r="N462">
            <v>2.0246957222556072</v>
          </cell>
          <cell r="O462">
            <v>2.0247008085634461</v>
          </cell>
          <cell r="P462">
            <v>2.0247281695909938</v>
          </cell>
        </row>
        <row r="463">
          <cell r="B463" t="str">
            <v>D-EBIO</v>
          </cell>
          <cell r="C463" t="str">
            <v>VAR_fin</v>
          </cell>
          <cell r="D463" t="str">
            <v>BIO</v>
          </cell>
          <cell r="E463">
            <v>1.183953063426149</v>
          </cell>
          <cell r="F463">
            <v>2.0246736866193751</v>
          </cell>
          <cell r="G463">
            <v>2.0246739935050653</v>
          </cell>
          <cell r="H463">
            <v>2.0246726726485171</v>
          </cell>
          <cell r="I463">
            <v>2.0246747505803349</v>
          </cell>
          <cell r="J463">
            <v>2.0246766337209423</v>
          </cell>
          <cell r="K463">
            <v>2.0246786694197878</v>
          </cell>
          <cell r="L463">
            <v>2.0246834095455641</v>
          </cell>
          <cell r="M463">
            <v>2.0246840673832054</v>
          </cell>
          <cell r="N463">
            <v>2.0246957222556072</v>
          </cell>
          <cell r="O463">
            <v>2.0247008085634461</v>
          </cell>
          <cell r="P463">
            <v>2.0247281695909938</v>
          </cell>
        </row>
        <row r="464">
          <cell r="B464" t="str">
            <v>G-INTC3</v>
          </cell>
          <cell r="C464" t="str">
            <v>VAR_fout</v>
          </cell>
          <cell r="D464" t="str">
            <v>ELC35</v>
          </cell>
          <cell r="E464">
            <v>143.98537041572797</v>
          </cell>
          <cell r="F464">
            <v>105.49961425930961</v>
          </cell>
          <cell r="G464">
            <v>101.03776507250642</v>
          </cell>
          <cell r="H464">
            <v>113.19117948618428</v>
          </cell>
          <cell r="I464">
            <v>84.3870165382137</v>
          </cell>
          <cell r="J464">
            <v>126.22052169845647</v>
          </cell>
          <cell r="K464">
            <v>81.513747089203761</v>
          </cell>
          <cell r="L464">
            <v>121.63541935434132</v>
          </cell>
          <cell r="M464">
            <v>81.614094903773974</v>
          </cell>
          <cell r="N464">
            <v>86.364187614042905</v>
          </cell>
          <cell r="O464">
            <v>90.303903248184099</v>
          </cell>
          <cell r="P464">
            <v>96.165593781750488</v>
          </cell>
        </row>
        <row r="465">
          <cell r="B465" t="str">
            <v>G-INTC3</v>
          </cell>
          <cell r="C465" t="str">
            <v>VAR_fout</v>
          </cell>
          <cell r="D465" t="str">
            <v>ELC3</v>
          </cell>
          <cell r="E465">
            <v>31.753224656613359</v>
          </cell>
          <cell r="F465">
            <v>69.505111510901727</v>
          </cell>
          <cell r="G465">
            <v>68.095184921552615</v>
          </cell>
          <cell r="H465">
            <v>39.494744139997785</v>
          </cell>
          <cell r="I465">
            <v>75.187870949478167</v>
          </cell>
          <cell r="J465">
            <v>35.595861500554243</v>
          </cell>
          <cell r="K465">
            <v>75.705397736668601</v>
          </cell>
          <cell r="L465">
            <v>33.805561401735716</v>
          </cell>
          <cell r="M465">
            <v>72.342040275677761</v>
          </cell>
          <cell r="N465">
            <v>75.117842455223084</v>
          </cell>
          <cell r="O465">
            <v>73.229240004141573</v>
          </cell>
          <cell r="P465">
            <v>72.993589988628429</v>
          </cell>
        </row>
        <row r="466">
          <cell r="B466" t="str">
            <v>G-INTC3</v>
          </cell>
          <cell r="C466" t="str">
            <v>VAR_fout</v>
          </cell>
          <cell r="D466" t="str">
            <v>ELC</v>
          </cell>
          <cell r="E466">
            <v>2.2476466901232846E-2</v>
          </cell>
          <cell r="F466">
            <v>2.3442946731160115E-3</v>
          </cell>
          <cell r="G466">
            <v>3.1020204006139201E-3</v>
          </cell>
          <cell r="H466">
            <v>0.15476916876740274</v>
          </cell>
          <cell r="I466">
            <v>2.9595030265683569E-3</v>
          </cell>
          <cell r="J466">
            <v>2.8573042830635949E-3</v>
          </cell>
          <cell r="K466">
            <v>3.065881641234283E-3</v>
          </cell>
          <cell r="L466">
            <v>7.0396438104960105E-3</v>
          </cell>
          <cell r="M466">
            <v>3.4645159288860172E-3</v>
          </cell>
          <cell r="N466">
            <v>6.9091738551028811E-3</v>
          </cell>
          <cell r="O466">
            <v>5.4394021864186655E-3</v>
          </cell>
          <cell r="P466">
            <v>1.1711898543982713E-2</v>
          </cell>
        </row>
        <row r="467">
          <cell r="B467" t="str">
            <v>G-INTC3</v>
          </cell>
          <cell r="C467" t="str">
            <v>VAR_fin</v>
          </cell>
          <cell r="D467" t="str">
            <v>ELC13</v>
          </cell>
          <cell r="E467">
            <v>179.44306459563262</v>
          </cell>
          <cell r="F467">
            <v>183.2546385822256</v>
          </cell>
          <cell r="G467">
            <v>176.52495443978054</v>
          </cell>
          <cell r="H467">
            <v>158.64890954717822</v>
          </cell>
          <cell r="I467">
            <v>164.74478477334279</v>
          </cell>
          <cell r="J467">
            <v>166.15861592297136</v>
          </cell>
          <cell r="K467">
            <v>160.57318799096913</v>
          </cell>
          <cell r="L467">
            <v>157.91486261766772</v>
          </cell>
          <cell r="M467">
            <v>156.40286701983135</v>
          </cell>
          <cell r="N467">
            <v>164.05169368840117</v>
          </cell>
          <cell r="O467">
            <v>166.13386398855872</v>
          </cell>
          <cell r="P467">
            <v>171.85555919398874</v>
          </cell>
        </row>
        <row r="468">
          <cell r="B468" t="str">
            <v>G-INTC3</v>
          </cell>
          <cell r="C468" t="str">
            <v>VAR_ncap</v>
          </cell>
          <cell r="D468" t="str">
            <v>-</v>
          </cell>
          <cell r="E468">
            <v>1.0889493150953201E-7</v>
          </cell>
          <cell r="F468">
            <v>1.10484522758975E-7</v>
          </cell>
          <cell r="G468">
            <v>1.2829547901109101E-7</v>
          </cell>
          <cell r="H468">
            <v>1.4831291777389801E-7</v>
          </cell>
          <cell r="I468">
            <v>2.0871698807727001E-7</v>
          </cell>
          <cell r="J468">
            <v>2.59452951194316E-7</v>
          </cell>
          <cell r="K468">
            <v>3.4927710096791803E-7</v>
          </cell>
          <cell r="L468">
            <v>5.4281092192161095E-7</v>
          </cell>
          <cell r="M468">
            <v>7.0615673385565201E-7</v>
          </cell>
          <cell r="N468">
            <v>2.5218366557383601E-6</v>
          </cell>
        </row>
        <row r="469">
          <cell r="B469" t="str">
            <v>G-INTC3</v>
          </cell>
          <cell r="C469" t="str">
            <v>VAR_cap</v>
          </cell>
          <cell r="D469" t="str">
            <v>-</v>
          </cell>
          <cell r="E469">
            <v>13.914190167241101</v>
          </cell>
          <cell r="F469">
            <v>13.914190167241101</v>
          </cell>
          <cell r="G469">
            <v>13.914190167241101</v>
          </cell>
          <cell r="H469">
            <v>13.914190272177065</v>
          </cell>
          <cell r="I469">
            <v>13.914190550632435</v>
          </cell>
          <cell r="J469">
            <v>13.914190663228952</v>
          </cell>
          <cell r="K469">
            <v>13.914190875594937</v>
          </cell>
          <cell r="L469">
            <v>13.914191131398891</v>
          </cell>
          <cell r="M469">
            <v>13.914191427008141</v>
          </cell>
          <cell r="N469">
            <v>13.914192193542078</v>
          </cell>
          <cell r="O469">
            <v>13.914192729643649</v>
          </cell>
          <cell r="P469">
            <v>13.914195251480303</v>
          </cell>
        </row>
        <row r="470">
          <cell r="B470" t="str">
            <v>HPLBIO</v>
          </cell>
          <cell r="C470" t="str">
            <v>VAR_fout</v>
          </cell>
          <cell r="D470" t="str">
            <v>LTH</v>
          </cell>
          <cell r="E470">
            <v>0.90177662940065095</v>
          </cell>
          <cell r="F470">
            <v>1.542124826699006</v>
          </cell>
          <cell r="G470">
            <v>1.5421250604433603</v>
          </cell>
          <cell r="H470">
            <v>1.5421240543920189</v>
          </cell>
          <cell r="I470">
            <v>1.5421256370817449</v>
          </cell>
          <cell r="J470">
            <v>1.5421270714056583</v>
          </cell>
          <cell r="K470">
            <v>1.5421286219279737</v>
          </cell>
          <cell r="L470">
            <v>1.5421322323199522</v>
          </cell>
          <cell r="M470">
            <v>1.5421327333724268</v>
          </cell>
          <cell r="N470">
            <v>1.5421416104908505</v>
          </cell>
          <cell r="O470">
            <v>1.5421454845578866</v>
          </cell>
          <cell r="P470">
            <v>1.5421663245184931</v>
          </cell>
        </row>
        <row r="471">
          <cell r="B471" t="str">
            <v>HPLBIO</v>
          </cell>
          <cell r="C471" t="str">
            <v>VAR_fin</v>
          </cell>
          <cell r="D471" t="str">
            <v>EBIO</v>
          </cell>
          <cell r="E471">
            <v>1.183953063426149</v>
          </cell>
          <cell r="F471">
            <v>2.0246736866193751</v>
          </cell>
          <cell r="G471">
            <v>2.0246739935050653</v>
          </cell>
          <cell r="H471">
            <v>2.0246726726485171</v>
          </cell>
          <cell r="I471">
            <v>2.0246747505803349</v>
          </cell>
          <cell r="J471">
            <v>2.0246766337209423</v>
          </cell>
          <cell r="K471">
            <v>2.0246786694197878</v>
          </cell>
          <cell r="L471">
            <v>2.0246834095455641</v>
          </cell>
          <cell r="M471">
            <v>2.0246840673832054</v>
          </cell>
          <cell r="N471">
            <v>2.0246957222556072</v>
          </cell>
          <cell r="O471">
            <v>2.0247008085634461</v>
          </cell>
          <cell r="P471">
            <v>2.0247281695909938</v>
          </cell>
        </row>
        <row r="472">
          <cell r="B472" t="str">
            <v>HPLBIO</v>
          </cell>
          <cell r="C472" t="str">
            <v>VAR_ncap</v>
          </cell>
          <cell r="D472" t="str">
            <v>-</v>
          </cell>
          <cell r="E472">
            <v>5.9347381525085599E-5</v>
          </cell>
          <cell r="F472">
            <v>8.1176503972716696E-2</v>
          </cell>
          <cell r="G472">
            <v>1.5587157991660599E-5</v>
          </cell>
          <cell r="H472">
            <v>6.2921275922442399E-2</v>
          </cell>
          <cell r="I472">
            <v>5.14549703602502E-2</v>
          </cell>
          <cell r="J472">
            <v>3.1315860572304802E-2</v>
          </cell>
          <cell r="K472">
            <v>6.9874360965774804E-2</v>
          </cell>
          <cell r="L472">
            <v>4.3003889310714298E-2</v>
          </cell>
          <cell r="M472">
            <v>6.7102587799940105E-2</v>
          </cell>
          <cell r="N472">
            <v>1.56745618018664E-2</v>
          </cell>
          <cell r="O472">
            <v>6.99906679541729E-2</v>
          </cell>
          <cell r="P472">
            <v>4.2951063962647001E-2</v>
          </cell>
        </row>
        <row r="473">
          <cell r="B473" t="str">
            <v>HPLBIO</v>
          </cell>
          <cell r="C473" t="str">
            <v>VAR_cap</v>
          </cell>
          <cell r="D473" t="str">
            <v>-</v>
          </cell>
          <cell r="E473">
            <v>0.11443724714550681</v>
          </cell>
          <cell r="F473">
            <v>0.19560887436125743</v>
          </cell>
          <cell r="G473">
            <v>0.19561913860633603</v>
          </cell>
          <cell r="H473">
            <v>0.19560556165103687</v>
          </cell>
          <cell r="I473">
            <v>0.19560914070350355</v>
          </cell>
          <cell r="J473">
            <v>0.19561148235276118</v>
          </cell>
          <cell r="K473">
            <v>0.19561051997705522</v>
          </cell>
          <cell r="L473">
            <v>0.19563208288731701</v>
          </cell>
          <cell r="M473">
            <v>0.22274856961215636</v>
          </cell>
          <cell r="N473">
            <v>0.19563651786609662</v>
          </cell>
          <cell r="O473">
            <v>0.19575321246089289</v>
          </cell>
          <cell r="P473">
            <v>0.19569338451294513</v>
          </cell>
        </row>
        <row r="474">
          <cell r="B474" t="str">
            <v>ENUC_LRG_BMGL</v>
          </cell>
          <cell r="C474" t="str">
            <v>VAR_fout</v>
          </cell>
          <cell r="D474" t="str">
            <v>LTH</v>
          </cell>
          <cell r="K474">
            <v>6.8519074670950225E-2</v>
          </cell>
          <cell r="L474">
            <v>0.32690489304275167</v>
          </cell>
          <cell r="M474">
            <v>0.34255260699320333</v>
          </cell>
          <cell r="N474">
            <v>0.42242823964392578</v>
          </cell>
          <cell r="O474">
            <v>0.43878403237372682</v>
          </cell>
          <cell r="P474">
            <v>0.41607971987361514</v>
          </cell>
        </row>
        <row r="475">
          <cell r="B475" t="str">
            <v>ENUC_LRG_BMGL</v>
          </cell>
          <cell r="C475" t="str">
            <v>VAR_fout</v>
          </cell>
          <cell r="D475" t="str">
            <v>ELC</v>
          </cell>
          <cell r="K475">
            <v>3.278550194860496E-2</v>
          </cell>
          <cell r="L475">
            <v>0.22319011114455681</v>
          </cell>
          <cell r="M475">
            <v>0.22338232254545698</v>
          </cell>
          <cell r="N475">
            <v>0.28030963641148643</v>
          </cell>
          <cell r="O475">
            <v>0.26752760055533148</v>
          </cell>
          <cell r="P475">
            <v>0.31194906680982531</v>
          </cell>
        </row>
        <row r="476">
          <cell r="B476" t="str">
            <v>ENUC_LRG_BMGL</v>
          </cell>
          <cell r="C476" t="str">
            <v>VAR_fin</v>
          </cell>
          <cell r="D476" t="str">
            <v>URN</v>
          </cell>
          <cell r="K476">
            <v>0.12933533570761271</v>
          </cell>
          <cell r="L476">
            <v>0.81844661370001948</v>
          </cell>
          <cell r="M476">
            <v>0.82599068724421676</v>
          </cell>
          <cell r="N476">
            <v>1.0331821428942554</v>
          </cell>
          <cell r="O476">
            <v>1.001908531095649</v>
          </cell>
          <cell r="P476">
            <v>1.1257666048262907</v>
          </cell>
        </row>
        <row r="477">
          <cell r="B477" t="str">
            <v>ENUC_LRG_BMGL</v>
          </cell>
          <cell r="C477" t="str">
            <v>VAR_ncap</v>
          </cell>
          <cell r="D477" t="str">
            <v>-</v>
          </cell>
          <cell r="J477">
            <v>9.57776117352384E-3</v>
          </cell>
          <cell r="K477">
            <v>6.1387918196437796E-7</v>
          </cell>
          <cell r="L477">
            <v>2.6878145262349E-3</v>
          </cell>
          <cell r="M477">
            <v>1.60440306154989E-5</v>
          </cell>
          <cell r="N477">
            <v>1.4649824458756401E-3</v>
          </cell>
        </row>
        <row r="478">
          <cell r="B478" t="str">
            <v>ENUC_LRG_BMGL</v>
          </cell>
          <cell r="C478" t="str">
            <v>VAR_cap</v>
          </cell>
          <cell r="D478" t="str">
            <v>-</v>
          </cell>
          <cell r="K478">
            <v>1.49939822206154E-3</v>
          </cell>
          <cell r="L478">
            <v>9.57776117352384E-3</v>
          </cell>
          <cell r="M478">
            <v>9.5782807276661597E-3</v>
          </cell>
          <cell r="N478">
            <v>1.2270053268314599E-2</v>
          </cell>
          <cell r="O478">
            <v>1.2282233609556201E-2</v>
          </cell>
          <cell r="P478">
            <v>1.3747216055431799E-2</v>
          </cell>
        </row>
        <row r="479">
          <cell r="B479" t="str">
            <v>CHPGFC</v>
          </cell>
          <cell r="C479" t="str">
            <v>VAR_fout</v>
          </cell>
          <cell r="D479" t="str">
            <v>ELC35</v>
          </cell>
          <cell r="J479">
            <v>0.46092946806281493</v>
          </cell>
          <cell r="K479">
            <v>1.0145770157867637</v>
          </cell>
          <cell r="L479">
            <v>1.014658111930925</v>
          </cell>
          <cell r="M479">
            <v>0.88366793986063241</v>
          </cell>
          <cell r="N479">
            <v>0.58872272819367022</v>
          </cell>
          <cell r="O479">
            <v>2.920049207248979E-2</v>
          </cell>
          <cell r="P479">
            <v>1.9892139967809291E-2</v>
          </cell>
        </row>
        <row r="480">
          <cell r="B480" t="str">
            <v>CHPGFC</v>
          </cell>
          <cell r="C480" t="str">
            <v>VAR_fout</v>
          </cell>
          <cell r="D480" t="str">
            <v>LTH</v>
          </cell>
          <cell r="J480">
            <v>0.58768507178008855</v>
          </cell>
          <cell r="K480">
            <v>1.3189501205227925</v>
          </cell>
          <cell r="L480">
            <v>1.3444219983084755</v>
          </cell>
          <cell r="M480">
            <v>1.1708600203153383</v>
          </cell>
          <cell r="N480">
            <v>0.78005761485661329</v>
          </cell>
          <cell r="O480">
            <v>3.8690651996048951E-2</v>
          </cell>
          <cell r="P480">
            <v>2.6357085457347312E-2</v>
          </cell>
        </row>
        <row r="481">
          <cell r="B481" t="str">
            <v>CHPGFC</v>
          </cell>
          <cell r="C481" t="str">
            <v>VAR_fout</v>
          </cell>
          <cell r="D481" t="str">
            <v>CO2_E</v>
          </cell>
          <cell r="J481">
            <v>64.991054996856803</v>
          </cell>
          <cell r="K481">
            <v>143.05535922593401</v>
          </cell>
          <cell r="L481">
            <v>143.06679378225999</v>
          </cell>
          <cell r="M481">
            <v>124.597179520349</v>
          </cell>
          <cell r="N481">
            <v>83.009904675307496</v>
          </cell>
          <cell r="O481">
            <v>4.1172693822210604</v>
          </cell>
          <cell r="P481">
            <v>2.80479173546111</v>
          </cell>
        </row>
        <row r="482">
          <cell r="B482" t="str">
            <v>CHPGFC</v>
          </cell>
          <cell r="C482" t="str">
            <v>VAR_fin</v>
          </cell>
          <cell r="D482" t="str">
            <v>ENGA</v>
          </cell>
          <cell r="J482">
            <v>1.1523236701570361</v>
          </cell>
          <cell r="K482">
            <v>2.5364425394669077</v>
          </cell>
          <cell r="L482">
            <v>2.5366452798273142</v>
          </cell>
          <cell r="M482">
            <v>2.2091698496515808</v>
          </cell>
          <cell r="N482">
            <v>1.4718068204841763</v>
          </cell>
          <cell r="O482">
            <v>7.3001230181224494E-2</v>
          </cell>
          <cell r="P482">
            <v>4.9730349919523222E-2</v>
          </cell>
        </row>
        <row r="483">
          <cell r="B483" t="str">
            <v>CHPGFC</v>
          </cell>
          <cell r="C483" t="str">
            <v>VAR_ncap</v>
          </cell>
          <cell r="D483" t="str">
            <v>-</v>
          </cell>
          <cell r="J483">
            <v>1.7196328124947001E-2</v>
          </cell>
          <cell r="K483">
            <v>2.06543674499431E-2</v>
          </cell>
          <cell r="L483">
            <v>5.3417063034305999E-6</v>
          </cell>
          <cell r="M483">
            <v>4.83852654750534E-6</v>
          </cell>
          <cell r="N483">
            <v>1.30797432907235E-3</v>
          </cell>
          <cell r="O483">
            <v>8.1795007870041206E-6</v>
          </cell>
          <cell r="P483">
            <v>9.3019692537691298E-6</v>
          </cell>
        </row>
        <row r="484">
          <cell r="B484" t="str">
            <v>CHPGFC</v>
          </cell>
          <cell r="C484" t="str">
            <v>VAR_cap</v>
          </cell>
          <cell r="D484" t="str">
            <v>-</v>
          </cell>
          <cell r="J484">
            <v>1.7196328124947001E-2</v>
          </cell>
          <cell r="K484">
            <v>3.785059984151426E-2</v>
          </cell>
          <cell r="L484">
            <v>3.7855525057081243E-2</v>
          </cell>
          <cell r="M484">
            <v>3.558140805815363E-2</v>
          </cell>
          <cell r="N484">
            <v>2.1971358381183057E-2</v>
          </cell>
          <cell r="O484">
            <v>1.325120410990971E-3</v>
          </cell>
          <cell r="P484">
            <v>1.328688265272646E-3</v>
          </cell>
        </row>
        <row r="485">
          <cell r="B485" t="str">
            <v>G-INTC5</v>
          </cell>
          <cell r="C485" t="str">
            <v>VAR_fout</v>
          </cell>
          <cell r="D485" t="str">
            <v>ELC5</v>
          </cell>
          <cell r="E485">
            <v>259.83253640002783</v>
          </cell>
          <cell r="F485">
            <v>120.22296403214889</v>
          </cell>
          <cell r="G485">
            <v>116.90474714004013</v>
          </cell>
          <cell r="H485">
            <v>131.42168536569528</v>
          </cell>
          <cell r="I485">
            <v>104.55191495267788</v>
          </cell>
          <cell r="J485">
            <v>146.50129570072025</v>
          </cell>
          <cell r="K485">
            <v>103.42988689253761</v>
          </cell>
          <cell r="L485">
            <v>142.54119332808745</v>
          </cell>
          <cell r="M485">
            <v>103.1368584616486</v>
          </cell>
          <cell r="N485">
            <v>107.01796582049322</v>
          </cell>
          <cell r="O485">
            <v>109.92283415190255</v>
          </cell>
          <cell r="P485">
            <v>116.00505932583522</v>
          </cell>
        </row>
        <row r="486">
          <cell r="B486" t="str">
            <v>G-INTC5</v>
          </cell>
          <cell r="C486" t="str">
            <v>VAR_fout</v>
          </cell>
          <cell r="D486" t="str">
            <v>ELC13</v>
          </cell>
          <cell r="E486">
            <v>9.6300955997486268E-2</v>
          </cell>
          <cell r="F486">
            <v>1.8614554038343723E-3</v>
          </cell>
          <cell r="G486">
            <v>2.7332222084820441E-3</v>
          </cell>
          <cell r="H486">
            <v>1.1258531333390345E-3</v>
          </cell>
          <cell r="I486">
            <v>2.3629707417472533E-3</v>
          </cell>
          <cell r="J486">
            <v>2.2551129155377321E-3</v>
          </cell>
          <cell r="K486">
            <v>2.3453407486689545E-3</v>
          </cell>
          <cell r="L486">
            <v>5.7950357370612649E-3</v>
          </cell>
          <cell r="M486">
            <v>2.9375258891435182E-3</v>
          </cell>
          <cell r="N486">
            <v>5.9069872651048043E-3</v>
          </cell>
          <cell r="O486">
            <v>4.6208598759151795E-3</v>
          </cell>
          <cell r="P486">
            <v>9.8181061420946451E-3</v>
          </cell>
        </row>
        <row r="487">
          <cell r="B487" t="str">
            <v>G-INTC5</v>
          </cell>
          <cell r="C487" t="str">
            <v>VAR_fin</v>
          </cell>
          <cell r="D487" t="str">
            <v>ELC35</v>
          </cell>
          <cell r="E487">
            <v>268.13836927518383</v>
          </cell>
          <cell r="F487">
            <v>125.91063154988701</v>
          </cell>
          <cell r="G487">
            <v>122.17062233791921</v>
          </cell>
          <cell r="H487">
            <v>136.844336115869</v>
          </cell>
          <cell r="I487">
            <v>108.47636082882414</v>
          </cell>
          <cell r="J487">
            <v>151.45523179956666</v>
          </cell>
          <cell r="K487">
            <v>106.5468020724216</v>
          </cell>
          <cell r="L487">
            <v>146.31757141956572</v>
          </cell>
          <cell r="M487">
            <v>105.86799930903209</v>
          </cell>
          <cell r="N487">
            <v>109.8548158252198</v>
          </cell>
          <cell r="O487">
            <v>112.83520216228465</v>
          </cell>
          <cell r="P487">
            <v>119.0836460961206</v>
          </cell>
        </row>
        <row r="488">
          <cell r="B488" t="str">
            <v>G-INTC5</v>
          </cell>
          <cell r="C488" t="str">
            <v>VAR_ncap</v>
          </cell>
          <cell r="D488" t="str">
            <v>-</v>
          </cell>
          <cell r="E488">
            <v>4.6079257138003498E-7</v>
          </cell>
          <cell r="F488">
            <v>4.8050457148622196E-7</v>
          </cell>
          <cell r="G488">
            <v>5.4998318515434604E-7</v>
          </cell>
          <cell r="H488">
            <v>7.2056266431170105E-7</v>
          </cell>
          <cell r="I488">
            <v>1.2441855894593E-6</v>
          </cell>
          <cell r="J488">
            <v>1.8884754012697599E-6</v>
          </cell>
          <cell r="K488">
            <v>2.6442415444004301E-6</v>
          </cell>
          <cell r="L488">
            <v>4.2846794772609596E-6</v>
          </cell>
          <cell r="M488">
            <v>4.98790867284926E-6</v>
          </cell>
          <cell r="N488">
            <v>2.2354719955430901E-5</v>
          </cell>
        </row>
        <row r="489">
          <cell r="B489" t="str">
            <v>G-INTC5</v>
          </cell>
          <cell r="C489" t="str">
            <v>VAR_cap</v>
          </cell>
          <cell r="D489" t="str">
            <v>-</v>
          </cell>
          <cell r="E489">
            <v>12.649263788401001</v>
          </cell>
          <cell r="F489">
            <v>12.649263788401001</v>
          </cell>
          <cell r="G489">
            <v>12.649263788401001</v>
          </cell>
          <cell r="H489">
            <v>12.64926423773278</v>
          </cell>
          <cell r="I489">
            <v>12.649265453205699</v>
          </cell>
          <cell r="J489">
            <v>12.649266000243994</v>
          </cell>
          <cell r="K489">
            <v>12.649267319697804</v>
          </cell>
          <cell r="L489">
            <v>12.649269132904983</v>
          </cell>
          <cell r="M489">
            <v>12.649271370848032</v>
          </cell>
          <cell r="N489">
            <v>12.649277263003578</v>
          </cell>
          <cell r="O489">
            <v>12.649281049734679</v>
          </cell>
          <cell r="P489">
            <v>12.649303404454633</v>
          </cell>
        </row>
        <row r="490">
          <cell r="B490" t="str">
            <v>D-SLFO</v>
          </cell>
          <cell r="C490" t="str">
            <v>VAR_fout</v>
          </cell>
          <cell r="D490" t="str">
            <v>CO2</v>
          </cell>
          <cell r="E490">
            <v>2267.7887510718201</v>
          </cell>
          <cell r="F490">
            <v>2012.5555084586399</v>
          </cell>
          <cell r="G490">
            <v>1891.6515214026499</v>
          </cell>
          <cell r="H490">
            <v>1625.4922807862999</v>
          </cell>
          <cell r="I490">
            <v>1276.0483038372399</v>
          </cell>
          <cell r="J490">
            <v>1079.36583418754</v>
          </cell>
          <cell r="K490">
            <v>1004.7599121055</v>
          </cell>
          <cell r="L490">
            <v>775.431290094465</v>
          </cell>
          <cell r="M490">
            <v>647.12019958344001</v>
          </cell>
          <cell r="N490">
            <v>527.13805185465105</v>
          </cell>
          <cell r="O490">
            <v>309.74966449045797</v>
          </cell>
          <cell r="P490">
            <v>106.435430534944</v>
          </cell>
        </row>
        <row r="491">
          <cell r="B491" t="str">
            <v>D-SLFO</v>
          </cell>
          <cell r="C491" t="str">
            <v>VAR_fout</v>
          </cell>
          <cell r="D491" t="str">
            <v>SLFO</v>
          </cell>
          <cell r="E491">
            <v>30.256635496042268</v>
          </cell>
          <cell r="F491">
            <v>26.851336309964996</v>
          </cell>
          <cell r="G491">
            <v>25.238334744214029</v>
          </cell>
          <cell r="H491">
            <v>21.687380534066161</v>
          </cell>
          <cell r="I491">
            <v>17.025362529784346</v>
          </cell>
          <cell r="J491">
            <v>14.40101966375398</v>
          </cell>
          <cell r="K491">
            <v>13.405627170041045</v>
          </cell>
          <cell r="L491">
            <v>10.34618948895042</v>
          </cell>
          <cell r="M491">
            <v>8.6340371321382889</v>
          </cell>
          <cell r="N491">
            <v>7.0334792071369137</v>
          </cell>
          <cell r="O491">
            <v>4.1329925162609795</v>
          </cell>
          <cell r="P491">
            <v>1.4208266283965183</v>
          </cell>
        </row>
        <row r="492">
          <cell r="B492" t="str">
            <v>D-SLFO</v>
          </cell>
          <cell r="C492" t="str">
            <v>VAR_fin</v>
          </cell>
          <cell r="D492" t="str">
            <v>LFO</v>
          </cell>
          <cell r="E492">
            <v>30.770539363253999</v>
          </cell>
          <cell r="F492">
            <v>27.307401742993722</v>
          </cell>
          <cell r="G492">
            <v>25.6669134518677</v>
          </cell>
          <cell r="H492">
            <v>22.055526197914439</v>
          </cell>
          <cell r="I492">
            <v>17.314088247452322</v>
          </cell>
          <cell r="J492">
            <v>14.645398021540631</v>
          </cell>
          <cell r="K492">
            <v>13.633105998717737</v>
          </cell>
          <cell r="L492">
            <v>10.521455767903184</v>
          </cell>
          <cell r="M492">
            <v>8.7804640377671621</v>
          </cell>
          <cell r="N492">
            <v>7.1524837429396255</v>
          </cell>
          <cell r="O492">
            <v>4.202844837048282</v>
          </cell>
          <cell r="P492">
            <v>1.4441713776790217</v>
          </cell>
        </row>
        <row r="493">
          <cell r="B493" t="str">
            <v>D-SLFO</v>
          </cell>
          <cell r="C493" t="str">
            <v>VAR_fin</v>
          </cell>
          <cell r="D493" t="str">
            <v>BDS</v>
          </cell>
          <cell r="G493">
            <v>9.0007095212298407E-5</v>
          </cell>
          <cell r="H493">
            <v>2.1084848127672409E-4</v>
          </cell>
          <cell r="I493">
            <v>4.4793749651467327E-4</v>
          </cell>
          <cell r="J493">
            <v>2.2054012992837898E-4</v>
          </cell>
          <cell r="K493">
            <v>2.1341885646593078E-4</v>
          </cell>
          <cell r="L493">
            <v>4.6165297519852648E-4</v>
          </cell>
          <cell r="M493">
            <v>2.21720537696935E-4</v>
          </cell>
          <cell r="N493">
            <v>4.575197158994133E-4</v>
          </cell>
          <cell r="O493">
            <v>3.4695379348140314E-4</v>
          </cell>
          <cell r="P493">
            <v>7.8566020138050459E-4</v>
          </cell>
        </row>
        <row r="494">
          <cell r="B494" t="str">
            <v>D-RCOA</v>
          </cell>
          <cell r="C494" t="str">
            <v>VAR_fout</v>
          </cell>
          <cell r="D494" t="str">
            <v>CO2</v>
          </cell>
          <cell r="E494">
            <v>9.2700968222343505</v>
          </cell>
          <cell r="F494">
            <v>9.2700887317488796</v>
          </cell>
          <cell r="G494">
            <v>0.19195943958690601</v>
          </cell>
          <cell r="H494">
            <v>0.16352377951901401</v>
          </cell>
          <cell r="I494">
            <v>6.6685435583247701E-2</v>
          </cell>
        </row>
        <row r="495">
          <cell r="B495" t="str">
            <v>D-RCOA</v>
          </cell>
          <cell r="C495" t="str">
            <v>VAR_fout</v>
          </cell>
          <cell r="D495" t="str">
            <v>RCOA</v>
          </cell>
          <cell r="E495">
            <v>0.1000010444685473</v>
          </cell>
          <cell r="F495">
            <v>0.10000095719254458</v>
          </cell>
          <cell r="G495">
            <v>2.0707598660939116E-3</v>
          </cell>
          <cell r="H495">
            <v>1.7640105665481622E-3</v>
          </cell>
          <cell r="I495">
            <v>7.1936823714398919E-4</v>
          </cell>
        </row>
        <row r="496">
          <cell r="B496" t="str">
            <v>D-RCOA</v>
          </cell>
          <cell r="C496" t="str">
            <v>VAR_fin</v>
          </cell>
          <cell r="D496" t="str">
            <v>COA</v>
          </cell>
          <cell r="E496">
            <v>0.1000010444685473</v>
          </cell>
          <cell r="F496">
            <v>0.10000095719254458</v>
          </cell>
          <cell r="G496">
            <v>2.0707598660939116E-3</v>
          </cell>
          <cell r="H496">
            <v>1.7640105665481622E-3</v>
          </cell>
          <cell r="I496">
            <v>7.1936823714398919E-4</v>
          </cell>
        </row>
        <row r="497">
          <cell r="B497" t="str">
            <v>EHYD-RUN00</v>
          </cell>
          <cell r="C497" t="str">
            <v>VAR_fout</v>
          </cell>
          <cell r="D497" t="str">
            <v>ELC13</v>
          </cell>
          <cell r="E497">
            <v>54.392400435552013</v>
          </cell>
          <cell r="F497">
            <v>43.51758786050479</v>
          </cell>
          <cell r="G497">
            <v>53.295665255191281</v>
          </cell>
          <cell r="H497">
            <v>52.202432031331497</v>
          </cell>
          <cell r="I497">
            <v>51.109437762607612</v>
          </cell>
          <cell r="J497">
            <v>50.016335477743496</v>
          </cell>
          <cell r="K497">
            <v>48.923342939001451</v>
          </cell>
          <cell r="L497">
            <v>47.830399324645327</v>
          </cell>
          <cell r="M497">
            <v>47.830333244773719</v>
          </cell>
          <cell r="N497">
            <v>47.83032193685888</v>
          </cell>
          <cell r="O497">
            <v>47.830251670668069</v>
          </cell>
          <cell r="P497">
            <v>47.827962216962078</v>
          </cell>
        </row>
        <row r="498">
          <cell r="B498" t="str">
            <v>EHYD-RUN00</v>
          </cell>
          <cell r="C498" t="str">
            <v>VAR_fin</v>
          </cell>
          <cell r="D498" t="str">
            <v>HYDR</v>
          </cell>
          <cell r="E498">
            <v>54.392400435552013</v>
          </cell>
          <cell r="F498">
            <v>43.51758786050479</v>
          </cell>
          <cell r="G498">
            <v>53.295665255191281</v>
          </cell>
          <cell r="H498">
            <v>52.202432031331497</v>
          </cell>
          <cell r="I498">
            <v>51.109437762607612</v>
          </cell>
          <cell r="J498">
            <v>50.016335477743496</v>
          </cell>
          <cell r="K498">
            <v>48.923342939001451</v>
          </cell>
          <cell r="L498">
            <v>47.830399324645327</v>
          </cell>
          <cell r="M498">
            <v>47.830333244773719</v>
          </cell>
          <cell r="N498">
            <v>47.83032193685888</v>
          </cell>
          <cell r="O498">
            <v>47.830251670668069</v>
          </cell>
          <cell r="P498">
            <v>47.827962216962078</v>
          </cell>
        </row>
        <row r="499">
          <cell r="B499" t="str">
            <v>EHYD-RUN00</v>
          </cell>
          <cell r="C499" t="str">
            <v>VAR_cap</v>
          </cell>
          <cell r="D499" t="str">
            <v>-</v>
          </cell>
          <cell r="E499">
            <v>3.86687</v>
          </cell>
          <cell r="F499">
            <v>3.9240852000672399</v>
          </cell>
          <cell r="G499">
            <v>3.9610124303882599</v>
          </cell>
          <cell r="H499">
            <v>3.9647700000000001</v>
          </cell>
          <cell r="I499">
            <v>3.9647700000000001</v>
          </cell>
          <cell r="J499">
            <v>3.9647700000000001</v>
          </cell>
          <cell r="K499">
            <v>3.9647700000000001</v>
          </cell>
          <cell r="L499">
            <v>3.9647700000000001</v>
          </cell>
          <cell r="M499">
            <v>3.9647700000000001</v>
          </cell>
          <cell r="N499">
            <v>3.9647700000000001</v>
          </cell>
          <cell r="O499">
            <v>3.9647700000000001</v>
          </cell>
          <cell r="P499">
            <v>3.9647700000000001</v>
          </cell>
        </row>
        <row r="500">
          <cell r="B500" t="str">
            <v>HPLELCHP</v>
          </cell>
          <cell r="C500" t="str">
            <v>VAR_fout</v>
          </cell>
          <cell r="D500" t="str">
            <v>LTH</v>
          </cell>
          <cell r="F500">
            <v>3.3405456473014263</v>
          </cell>
          <cell r="G500">
            <v>3.4417682446558082</v>
          </cell>
          <cell r="H500">
            <v>3.6173321217141066</v>
          </cell>
          <cell r="I500">
            <v>3.8018532895302655</v>
          </cell>
          <cell r="J500">
            <v>3.99578638100142</v>
          </cell>
          <cell r="K500">
            <v>4.1996121939344517</v>
          </cell>
          <cell r="L500">
            <v>4.4138367878036497</v>
          </cell>
          <cell r="M500">
            <v>4.6389864404367751</v>
          </cell>
          <cell r="N500">
            <v>4.8756243946867297</v>
          </cell>
          <cell r="O500">
            <v>5.1243328438578688</v>
          </cell>
          <cell r="P500">
            <v>5.3857450877398536</v>
          </cell>
        </row>
        <row r="501">
          <cell r="B501" t="str">
            <v>HPLELCHP</v>
          </cell>
          <cell r="C501" t="str">
            <v>VAR_fin</v>
          </cell>
          <cell r="D501" t="str">
            <v>ELC35</v>
          </cell>
          <cell r="F501">
            <v>1.113515215767142</v>
          </cell>
          <cell r="G501">
            <v>1.1472560815519364</v>
          </cell>
          <cell r="H501">
            <v>1.2057773739047015</v>
          </cell>
          <cell r="I501">
            <v>1.2672844298434214</v>
          </cell>
          <cell r="J501">
            <v>1.3319287936671409</v>
          </cell>
          <cell r="K501">
            <v>1.3998707313114827</v>
          </cell>
          <cell r="L501">
            <v>1.4712789292678858</v>
          </cell>
          <cell r="M501">
            <v>1.5463288134789244</v>
          </cell>
          <cell r="N501">
            <v>1.6252081315622429</v>
          </cell>
          <cell r="O501">
            <v>1.7081109479526226</v>
          </cell>
          <cell r="P501">
            <v>1.7952483625799507</v>
          </cell>
        </row>
        <row r="502">
          <cell r="B502" t="str">
            <v>HPLELCHP</v>
          </cell>
          <cell r="C502" t="str">
            <v>VAR_fin</v>
          </cell>
          <cell r="D502" t="str">
            <v>WWTPCC</v>
          </cell>
          <cell r="F502">
            <v>6.68109129460285</v>
          </cell>
          <cell r="G502">
            <v>6.8835364893116102</v>
          </cell>
          <cell r="H502">
            <v>7.2346642434282096</v>
          </cell>
          <cell r="I502">
            <v>7.60370657906053</v>
          </cell>
          <cell r="J502">
            <v>7.9915727620028401</v>
          </cell>
          <cell r="K502">
            <v>8.3992243878688999</v>
          </cell>
          <cell r="L502">
            <v>8.8276735756073101</v>
          </cell>
          <cell r="M502">
            <v>9.2779728808735502</v>
          </cell>
          <cell r="N502">
            <v>9.7512487893734505</v>
          </cell>
          <cell r="O502">
            <v>10.2486656877157</v>
          </cell>
          <cell r="P502">
            <v>10.7714901754797</v>
          </cell>
        </row>
        <row r="503">
          <cell r="B503" t="str">
            <v>HPLELCHP</v>
          </cell>
          <cell r="C503" t="str">
            <v>VAR_ncap</v>
          </cell>
          <cell r="D503" t="str">
            <v>-</v>
          </cell>
          <cell r="F503">
            <v>0.20575412081054001</v>
          </cell>
          <cell r="G503">
            <v>6.2383636648876096E-3</v>
          </cell>
          <cell r="H503">
            <v>1.0775794564906E-2</v>
          </cell>
          <cell r="I503">
            <v>1.13948002515639E-2</v>
          </cell>
          <cell r="J503">
            <v>9.3031632506507006E-2</v>
          </cell>
          <cell r="K503">
            <v>0.147118813570771</v>
          </cell>
          <cell r="L503">
            <v>2.0357081593864301E-2</v>
          </cell>
          <cell r="M503">
            <v>3.6212149415224597E-2</v>
          </cell>
          <cell r="N503">
            <v>9.8883699398130395E-2</v>
          </cell>
          <cell r="O503">
            <v>0.160228622459546</v>
          </cell>
          <cell r="P503">
            <v>3.6573840693756202E-2</v>
          </cell>
        </row>
        <row r="504">
          <cell r="B504" t="str">
            <v>HPLELCHP</v>
          </cell>
          <cell r="C504" t="str">
            <v>VAR_cap</v>
          </cell>
          <cell r="D504" t="str">
            <v>-</v>
          </cell>
          <cell r="F504">
            <v>0.20575412081054001</v>
          </cell>
          <cell r="G504">
            <v>0.21199215367474789</v>
          </cell>
          <cell r="H504">
            <v>0.2227673634086087</v>
          </cell>
          <cell r="I504">
            <v>0.23416049323228488</v>
          </cell>
          <cell r="J504">
            <v>0.24792328723698007</v>
          </cell>
          <cell r="K504">
            <v>0.26000585568079615</v>
          </cell>
          <cell r="L504">
            <v>0.27189801588031648</v>
          </cell>
          <cell r="M504">
            <v>0.28784709004695463</v>
          </cell>
          <cell r="N504">
            <v>0.30256625807173476</v>
          </cell>
          <cell r="O504">
            <v>0.31567624554238111</v>
          </cell>
          <cell r="P504">
            <v>0.33189101250527731</v>
          </cell>
        </row>
        <row r="505">
          <cell r="B505" t="str">
            <v>D-ITOT_LTH</v>
          </cell>
          <cell r="C505" t="str">
            <v>VAR_fout</v>
          </cell>
          <cell r="D505" t="str">
            <v>ITOT_LTH_DH</v>
          </cell>
          <cell r="E505">
            <v>7.1200255971190005</v>
          </cell>
          <cell r="F505">
            <v>7.6289170535816035</v>
          </cell>
          <cell r="G505">
            <v>7.3930204187738093</v>
          </cell>
          <cell r="H505">
            <v>7.8106274081554652</v>
          </cell>
          <cell r="I505">
            <v>7.3347087831452509</v>
          </cell>
          <cell r="J505">
            <v>7.8082811720037464</v>
          </cell>
          <cell r="K505">
            <v>8.8814866456378443</v>
          </cell>
          <cell r="L505">
            <v>9.2266148348845718</v>
          </cell>
          <cell r="M505">
            <v>9.1450611029591169</v>
          </cell>
          <cell r="N505">
            <v>9.3853704984917599</v>
          </cell>
          <cell r="O505">
            <v>9.0428497688784226</v>
          </cell>
          <cell r="P505">
            <v>8.9637257080306068</v>
          </cell>
        </row>
        <row r="506">
          <cell r="B506" t="str">
            <v>D-ITOT_LTH</v>
          </cell>
          <cell r="C506" t="str">
            <v>VAR_fin</v>
          </cell>
          <cell r="D506" t="str">
            <v>LTH</v>
          </cell>
          <cell r="E506">
            <v>7.740363517831212</v>
          </cell>
          <cell r="F506">
            <v>8.2914128927751136</v>
          </cell>
          <cell r="G506">
            <v>8.031864666402571</v>
          </cell>
          <cell r="H506">
            <v>8.4799884168964486</v>
          </cell>
          <cell r="I506">
            <v>7.9580609647319074</v>
          </cell>
          <cell r="J506">
            <v>8.4663275282398995</v>
          </cell>
          <cell r="K506">
            <v>9.6236697475571429</v>
          </cell>
          <cell r="L506">
            <v>9.9910939683590314</v>
          </cell>
          <cell r="M506">
            <v>9.9027830316049492</v>
          </cell>
          <cell r="N506">
            <v>10.16300346945919</v>
          </cell>
          <cell r="O506">
            <v>9.7921028892443438</v>
          </cell>
          <cell r="P506">
            <v>9.7064229360615428</v>
          </cell>
        </row>
        <row r="507">
          <cell r="B507" t="str">
            <v>D-ITOT_LTH</v>
          </cell>
          <cell r="C507" t="str">
            <v>VAR_ncap</v>
          </cell>
          <cell r="D507" t="str">
            <v>-</v>
          </cell>
          <cell r="E507">
            <v>0.79547455405791001</v>
          </cell>
          <cell r="F507">
            <v>4.6132829424220697E-8</v>
          </cell>
          <cell r="G507">
            <v>5.1606436688686503E-8</v>
          </cell>
          <cell r="H507">
            <v>5.793656056662E-8</v>
          </cell>
          <cell r="I507">
            <v>2.9706643734350298E-7</v>
          </cell>
          <cell r="J507">
            <v>9.3060601042553596E-8</v>
          </cell>
          <cell r="K507">
            <v>1.1824263541128699E-7</v>
          </cell>
          <cell r="L507">
            <v>2.5318042236841401E-7</v>
          </cell>
          <cell r="M507">
            <v>1.96626276459592E-7</v>
          </cell>
          <cell r="N507">
            <v>3.48246770038876E-7</v>
          </cell>
          <cell r="O507">
            <v>5.2052303470962499E-7</v>
          </cell>
          <cell r="P507">
            <v>1.91372443680372E-6</v>
          </cell>
        </row>
        <row r="508">
          <cell r="B508" t="str">
            <v>D-ITOT_LTH</v>
          </cell>
          <cell r="C508" t="str">
            <v>VAR_cap</v>
          </cell>
          <cell r="D508" t="str">
            <v>-</v>
          </cell>
          <cell r="E508">
            <v>0.79547455405791001</v>
          </cell>
          <cell r="F508">
            <v>0.79547460019073901</v>
          </cell>
          <cell r="G508">
            <v>0.79547465179717602</v>
          </cell>
          <cell r="H508">
            <v>0.79547470973373702</v>
          </cell>
          <cell r="I508">
            <v>0.79547500680017402</v>
          </cell>
          <cell r="J508">
            <v>0.79547509986077503</v>
          </cell>
          <cell r="K508">
            <v>0.79547521810341004</v>
          </cell>
          <cell r="L508">
            <v>0.795475471283833</v>
          </cell>
          <cell r="M508">
            <v>0.79547566791010904</v>
          </cell>
          <cell r="N508">
            <v>0.79547601615687902</v>
          </cell>
          <cell r="O508">
            <v>0.79547653667991403</v>
          </cell>
          <cell r="P508">
            <v>0.79547845040435095</v>
          </cell>
        </row>
        <row r="509">
          <cell r="B509" t="str">
            <v>D-IH2</v>
          </cell>
          <cell r="C509" t="str">
            <v>VAR_fout</v>
          </cell>
          <cell r="D509" t="str">
            <v>IH2</v>
          </cell>
          <cell r="H509">
            <v>6.1079631294741119E-4</v>
          </cell>
          <cell r="I509">
            <v>1.8714819253446209E-3</v>
          </cell>
          <cell r="J509">
            <v>2.4514536269114487E-3</v>
          </cell>
          <cell r="K509">
            <v>2.5006356602632219E-3</v>
          </cell>
          <cell r="L509">
            <v>7.8005844434196874E-3</v>
          </cell>
          <cell r="M509">
            <v>8.4713576463593728E-3</v>
          </cell>
          <cell r="N509">
            <v>9.7087320749915385E-2</v>
          </cell>
          <cell r="O509">
            <v>8.2342238595735223E-2</v>
          </cell>
          <cell r="P509">
            <v>8.0887983862445889E-2</v>
          </cell>
        </row>
        <row r="510">
          <cell r="B510" t="str">
            <v>D-IH2</v>
          </cell>
          <cell r="C510" t="str">
            <v>VAR_fin</v>
          </cell>
          <cell r="D510" t="str">
            <v>H2</v>
          </cell>
          <cell r="H510">
            <v>6.1544959625962339E-4</v>
          </cell>
          <cell r="I510">
            <v>1.8857396008212313E-3</v>
          </cell>
          <cell r="J510">
            <v>2.4701297518502602E-3</v>
          </cell>
          <cell r="K510">
            <v>2.5196864730156364E-3</v>
          </cell>
          <cell r="L510">
            <v>7.8600123224795895E-3</v>
          </cell>
          <cell r="M510">
            <v>8.5358957359515757E-3</v>
          </cell>
          <cell r="N510">
            <v>9.7826969631050573E-2</v>
          </cell>
          <cell r="O510">
            <v>8.2969553719657266E-2</v>
          </cell>
          <cell r="P510">
            <v>8.1504219909532286E-2</v>
          </cell>
        </row>
        <row r="511">
          <cell r="B511" t="str">
            <v>D-IH2</v>
          </cell>
          <cell r="C511" t="str">
            <v>VAR_ncap</v>
          </cell>
          <cell r="D511" t="str">
            <v>-</v>
          </cell>
          <cell r="H511">
            <v>1.65300448525461E-4</v>
          </cell>
          <cell r="I511">
            <v>1.6666247789129599E-4</v>
          </cell>
          <cell r="J511">
            <v>2.45614528336605E-5</v>
          </cell>
          <cell r="K511">
            <v>1.4784717342307201E-5</v>
          </cell>
          <cell r="L511">
            <v>5.1235909820501302E-4</v>
          </cell>
          <cell r="M511">
            <v>6.6009209966743696E-6</v>
          </cell>
          <cell r="N511">
            <v>7.8501552769919894E-3</v>
          </cell>
          <cell r="O511">
            <v>3.3181713871588902E-4</v>
          </cell>
          <cell r="P511">
            <v>1.21978622532026E-4</v>
          </cell>
        </row>
        <row r="512">
          <cell r="B512" t="str">
            <v>D-IH2</v>
          </cell>
          <cell r="C512" t="str">
            <v>VAR_cap</v>
          </cell>
          <cell r="D512" t="str">
            <v>-</v>
          </cell>
          <cell r="H512">
            <v>1.65300448525461E-4</v>
          </cell>
          <cell r="I512">
            <v>3.3196292641675699E-4</v>
          </cell>
          <cell r="J512">
            <v>3.5652437925041801E-4</v>
          </cell>
          <cell r="K512">
            <v>3.7130909659272498E-4</v>
          </cell>
          <cell r="L512">
            <v>8.8366819479773697E-4</v>
          </cell>
          <cell r="M512">
            <v>8.9026911579441199E-4</v>
          </cell>
          <cell r="N512">
            <v>8.7404243927864007E-3</v>
          </cell>
          <cell r="O512">
            <v>9.0198390262996794E-3</v>
          </cell>
          <cell r="P512">
            <v>9.0289197055088595E-3</v>
          </cell>
        </row>
        <row r="513">
          <cell r="B513" t="str">
            <v>RHEM-ESOLPV</v>
          </cell>
          <cell r="C513" t="str">
            <v>VAR_fout</v>
          </cell>
          <cell r="D513" t="str">
            <v>RHEM_SOL_ELC</v>
          </cell>
          <cell r="E513">
            <v>0.86248322578584768</v>
          </cell>
          <cell r="F513">
            <v>1.2875826910935031</v>
          </cell>
          <cell r="G513">
            <v>2.9282402042339832</v>
          </cell>
          <cell r="H513">
            <v>6.7470701582722921</v>
          </cell>
          <cell r="I513">
            <v>7.0912431886085834</v>
          </cell>
          <cell r="J513">
            <v>7.4529678693310855</v>
          </cell>
          <cell r="K513">
            <v>7.8331442787070662</v>
          </cell>
          <cell r="L513">
            <v>8.2327145737545546</v>
          </cell>
          <cell r="M513">
            <v>8.6526664481938802</v>
          </cell>
          <cell r="N513">
            <v>9.0940415759906248</v>
          </cell>
          <cell r="O513">
            <v>9.557931642838609</v>
          </cell>
          <cell r="P513">
            <v>10.045504947066664</v>
          </cell>
        </row>
        <row r="514">
          <cell r="B514" t="str">
            <v>RHEM-ESOLPV</v>
          </cell>
          <cell r="C514" t="str">
            <v>VAR_fin</v>
          </cell>
          <cell r="D514" t="str">
            <v>SOL</v>
          </cell>
          <cell r="E514">
            <v>0.86248322578584768</v>
          </cell>
          <cell r="F514">
            <v>1.2875826910935031</v>
          </cell>
          <cell r="G514">
            <v>2.9282402042339832</v>
          </cell>
          <cell r="H514">
            <v>6.7470701582722921</v>
          </cell>
          <cell r="I514">
            <v>7.0912431886085834</v>
          </cell>
          <cell r="J514">
            <v>7.4529678693310855</v>
          </cell>
          <cell r="K514">
            <v>7.8331442787070662</v>
          </cell>
          <cell r="L514">
            <v>8.2327145737545546</v>
          </cell>
          <cell r="M514">
            <v>8.6526664481938802</v>
          </cell>
          <cell r="N514">
            <v>9.0940415759906248</v>
          </cell>
          <cell r="O514">
            <v>9.557931642838609</v>
          </cell>
          <cell r="P514">
            <v>10.045504947066664</v>
          </cell>
        </row>
        <row r="515">
          <cell r="B515" t="str">
            <v>RHEM-ESOLPV</v>
          </cell>
          <cell r="C515" t="str">
            <v>VAR_fin</v>
          </cell>
          <cell r="D515" t="str">
            <v>SOLPVC</v>
          </cell>
          <cell r="E515">
            <v>0.86248322578584802</v>
          </cell>
          <cell r="F515">
            <v>1.2875826910935</v>
          </cell>
          <cell r="G515">
            <v>2.9282402042339801</v>
          </cell>
          <cell r="H515">
            <v>6.7470701582723001</v>
          </cell>
          <cell r="I515">
            <v>7.0912431886085896</v>
          </cell>
          <cell r="J515">
            <v>7.4529678693310801</v>
          </cell>
          <cell r="K515">
            <v>7.8331442787070698</v>
          </cell>
          <cell r="L515">
            <v>8.2327145737545493</v>
          </cell>
          <cell r="M515">
            <v>8.6526664481938802</v>
          </cell>
          <cell r="N515">
            <v>9.0940415759906408</v>
          </cell>
          <cell r="O515">
            <v>9.5579316428386001</v>
          </cell>
          <cell r="P515">
            <v>10.0455049470667</v>
          </cell>
        </row>
        <row r="516">
          <cell r="B516" t="str">
            <v>RHEM-ESOLPV</v>
          </cell>
          <cell r="C516" t="str">
            <v>VAR_ncap</v>
          </cell>
          <cell r="D516" t="str">
            <v>-</v>
          </cell>
          <cell r="F516">
            <v>4.0156730696959097E-8</v>
          </cell>
          <cell r="G516">
            <v>0.39116955959167499</v>
          </cell>
          <cell r="H516">
            <v>0.80655454989828901</v>
          </cell>
          <cell r="I516">
            <v>0.17359117821393699</v>
          </cell>
          <cell r="J516">
            <v>0.28515109351739798</v>
          </cell>
          <cell r="K516">
            <v>0.85893279151698898</v>
          </cell>
          <cell r="L516">
            <v>0.71899820051204899</v>
          </cell>
          <cell r="M516">
            <v>0.262567994036559</v>
          </cell>
          <cell r="N516">
            <v>0.40925593595653598</v>
          </cell>
          <cell r="O516">
            <v>0.97369342879527299</v>
          </cell>
          <cell r="P516">
            <v>0.83962004531841194</v>
          </cell>
        </row>
        <row r="517">
          <cell r="B517" t="str">
            <v>RHEM-ESOLPV</v>
          </cell>
          <cell r="C517" t="str">
            <v>VAR_cap</v>
          </cell>
          <cell r="D517" t="str">
            <v>-</v>
          </cell>
          <cell r="E517">
            <v>0.27424799999999999</v>
          </cell>
          <cell r="F517">
            <v>0.43894535763314374</v>
          </cell>
          <cell r="G517">
            <v>0.87431759974840606</v>
          </cell>
          <cell r="H517">
            <v>1.6691473619061719</v>
          </cell>
          <cell r="I517">
            <v>1.7542912604373919</v>
          </cell>
          <cell r="J517">
            <v>1.8437774838771839</v>
          </cell>
          <cell r="K517">
            <v>1.93782548353549</v>
          </cell>
          <cell r="L517">
            <v>2.0366732637603699</v>
          </cell>
          <cell r="M517">
            <v>2.1405642873079</v>
          </cell>
          <cell r="N517">
            <v>2.24975492202213</v>
          </cell>
          <cell r="O517">
            <v>2.3645155593004201</v>
          </cell>
          <cell r="P517">
            <v>2.48513740410678</v>
          </cell>
        </row>
        <row r="518">
          <cell r="B518" t="str">
            <v>HPLNUC</v>
          </cell>
          <cell r="C518" t="str">
            <v>VAR_fout</v>
          </cell>
          <cell r="D518" t="str">
            <v>LTH</v>
          </cell>
          <cell r="E518">
            <v>1.4500338557958306</v>
          </cell>
          <cell r="F518">
            <v>3.8019238095733119</v>
          </cell>
          <cell r="G518">
            <v>3.8011203961961888</v>
          </cell>
          <cell r="H518">
            <v>1.1501121146463997</v>
          </cell>
          <cell r="I518">
            <v>0.69724305995293068</v>
          </cell>
        </row>
        <row r="519">
          <cell r="B519" t="str">
            <v>HPLNUC</v>
          </cell>
          <cell r="C519" t="str">
            <v>VAR_fin</v>
          </cell>
          <cell r="D519" t="str">
            <v>URN</v>
          </cell>
          <cell r="E519">
            <v>1.4500338557958306</v>
          </cell>
          <cell r="F519">
            <v>3.8019238095733119</v>
          </cell>
          <cell r="G519">
            <v>3.8011203961961888</v>
          </cell>
          <cell r="H519">
            <v>1.1501121146463997</v>
          </cell>
          <cell r="I519">
            <v>0.69724305995293068</v>
          </cell>
        </row>
        <row r="520">
          <cell r="B520" t="str">
            <v>HPLNUC</v>
          </cell>
          <cell r="C520" t="str">
            <v>VAR_cap</v>
          </cell>
          <cell r="D520" t="str">
            <v>-</v>
          </cell>
          <cell r="E520">
            <v>0.120558721922211</v>
          </cell>
          <cell r="F520">
            <v>0.120558721922211</v>
          </cell>
          <cell r="G520">
            <v>0.120558721922211</v>
          </cell>
          <cell r="H520">
            <v>0.120558721922211</v>
          </cell>
          <cell r="I520">
            <v>0.120558721922211</v>
          </cell>
          <cell r="J520">
            <v>0.120558721922211</v>
          </cell>
          <cell r="K520">
            <v>0.120558721922211</v>
          </cell>
          <cell r="L520">
            <v>0.120558721922211</v>
          </cell>
          <cell r="M520">
            <v>8.85558611937695E-2</v>
          </cell>
        </row>
        <row r="521">
          <cell r="B521" t="str">
            <v>ITOT-CHPWODCCS</v>
          </cell>
          <cell r="C521" t="str">
            <v>VAR_fin</v>
          </cell>
          <cell r="D521" t="str">
            <v>IWOD</v>
          </cell>
          <cell r="J521">
            <v>4.4576625651690402E-4</v>
          </cell>
          <cell r="K521">
            <v>4.9467450100366831E-4</v>
          </cell>
          <cell r="L521">
            <v>1.2680717160062781E-3</v>
          </cell>
          <cell r="M521">
            <v>6.1348648092095952E-4</v>
          </cell>
          <cell r="N521">
            <v>1.1718481345943524E-3</v>
          </cell>
          <cell r="O521">
            <v>9.7291247074082808E-4</v>
          </cell>
          <cell r="P521">
            <v>2.2947578555887892E-3</v>
          </cell>
        </row>
        <row r="522">
          <cell r="B522" t="str">
            <v>SUP_WODBIO</v>
          </cell>
          <cell r="C522" t="str">
            <v>VAR_fout</v>
          </cell>
          <cell r="D522" t="str">
            <v>ELC35</v>
          </cell>
          <cell r="F522">
            <v>1.00090093426921E-7</v>
          </cell>
          <cell r="G522">
            <v>5.2879631542103682E-6</v>
          </cell>
          <cell r="H522">
            <v>1.1641691984191816E-5</v>
          </cell>
          <cell r="I522">
            <v>1.8057347224040282E-5</v>
          </cell>
          <cell r="J522">
            <v>1.9229906512806428E-5</v>
          </cell>
          <cell r="K522">
            <v>1.9787601986379204E-5</v>
          </cell>
          <cell r="L522">
            <v>2.496535718634742E-5</v>
          </cell>
          <cell r="M522">
            <v>2.5668066233720493E-5</v>
          </cell>
          <cell r="N522">
            <v>3.059155023416939E-5</v>
          </cell>
          <cell r="O522">
            <v>3.218373918073794E-5</v>
          </cell>
          <cell r="P522">
            <v>5.977794611902869E-5</v>
          </cell>
        </row>
        <row r="523">
          <cell r="B523" t="str">
            <v>SUP_WODBIO</v>
          </cell>
          <cell r="C523" t="str">
            <v>VAR_fout</v>
          </cell>
          <cell r="D523" t="str">
            <v>BIO</v>
          </cell>
          <cell r="F523">
            <v>6.0145032387251627E-5</v>
          </cell>
          <cell r="G523">
            <v>1.3219907885525902E-4</v>
          </cell>
          <cell r="H523">
            <v>2.9104229960479473E-4</v>
          </cell>
          <cell r="I523">
            <v>4.5143368060100616E-4</v>
          </cell>
          <cell r="J523">
            <v>4.8074766282015972E-4</v>
          </cell>
          <cell r="K523">
            <v>4.9469004965947878E-4</v>
          </cell>
          <cell r="L523">
            <v>6.2413392965868458E-4</v>
          </cell>
          <cell r="M523">
            <v>6.4170165584301081E-4</v>
          </cell>
          <cell r="N523">
            <v>7.6478875585423334E-4</v>
          </cell>
          <cell r="O523">
            <v>8.0459347951844723E-4</v>
          </cell>
          <cell r="P523">
            <v>1.4944486529757156E-3</v>
          </cell>
        </row>
        <row r="524">
          <cell r="B524" t="str">
            <v>SUP_WODBIO</v>
          </cell>
          <cell r="C524" t="str">
            <v>VAR_fout</v>
          </cell>
          <cell r="D524" t="str">
            <v>LTH</v>
          </cell>
          <cell r="F524">
            <v>7.2174038864702012E-6</v>
          </cell>
          <cell r="G524">
            <v>1.5863889462631082E-5</v>
          </cell>
          <cell r="H524">
            <v>3.4925075952575408E-5</v>
          </cell>
          <cell r="I524">
            <v>5.4172041672120828E-5</v>
          </cell>
          <cell r="J524">
            <v>5.7689719538419179E-5</v>
          </cell>
          <cell r="K524">
            <v>5.9362805959137562E-5</v>
          </cell>
          <cell r="L524">
            <v>7.4896071559042257E-5</v>
          </cell>
          <cell r="M524">
            <v>7.700419870116137E-5</v>
          </cell>
          <cell r="N524">
            <v>9.177465070250809E-5</v>
          </cell>
          <cell r="O524">
            <v>9.6551217542213658E-5</v>
          </cell>
          <cell r="P524">
            <v>1.793338383570859E-4</v>
          </cell>
        </row>
        <row r="525">
          <cell r="B525" t="str">
            <v>SUP_WODBIO</v>
          </cell>
          <cell r="C525" t="str">
            <v>VAR_fin</v>
          </cell>
          <cell r="D525" t="str">
            <v>CWOD</v>
          </cell>
          <cell r="F525">
            <v>8.1195793722789599E-5</v>
          </cell>
          <cell r="G525">
            <v>1.7846875645459974E-4</v>
          </cell>
          <cell r="H525">
            <v>3.9290710446647341E-4</v>
          </cell>
          <cell r="I525">
            <v>6.0943546881135852E-4</v>
          </cell>
          <cell r="J525">
            <v>6.4900934480721553E-4</v>
          </cell>
          <cell r="K525">
            <v>6.6783156704029744E-4</v>
          </cell>
          <cell r="L525">
            <v>8.4258080503922441E-4</v>
          </cell>
          <cell r="M525">
            <v>8.6629723538806541E-4</v>
          </cell>
          <cell r="N525">
            <v>1.0324648204032164E-3</v>
          </cell>
          <cell r="O525">
            <v>1.0862011973499044E-3</v>
          </cell>
          <cell r="P525">
            <v>2.0175056815172165E-3</v>
          </cell>
        </row>
        <row r="526">
          <cell r="B526" t="str">
            <v>SUP_WODBIO</v>
          </cell>
          <cell r="C526" t="str">
            <v>VAR_ncap</v>
          </cell>
          <cell r="D526" t="str">
            <v>-</v>
          </cell>
          <cell r="E526">
            <v>6.4660260969566299E-7</v>
          </cell>
          <cell r="F526">
            <v>2.45426077636122E-5</v>
          </cell>
          <cell r="G526">
            <v>1.79902657072195E-6</v>
          </cell>
          <cell r="H526">
            <v>4.62765774325099E-7</v>
          </cell>
          <cell r="I526">
            <v>1.9072896471125601E-5</v>
          </cell>
          <cell r="J526">
            <v>6.3684875706069403E-6</v>
          </cell>
          <cell r="K526">
            <v>1.5493082665025099E-5</v>
          </cell>
          <cell r="L526">
            <v>2.40555042969191E-5</v>
          </cell>
          <cell r="M526">
            <v>1.51356658774956E-6</v>
          </cell>
          <cell r="N526">
            <v>3.7480047505330101E-5</v>
          </cell>
          <cell r="O526">
            <v>5.3323613225677103E-6</v>
          </cell>
          <cell r="P526">
            <v>9.4969702650167696E-5</v>
          </cell>
        </row>
        <row r="527">
          <cell r="B527" t="str">
            <v>SUP_WODBIO</v>
          </cell>
          <cell r="C527" t="str">
            <v>VAR_cap</v>
          </cell>
          <cell r="D527" t="str">
            <v>-</v>
          </cell>
          <cell r="E527">
            <v>6.4660260969566299E-7</v>
          </cell>
          <cell r="F527">
            <v>2.5103863222768687E-5</v>
          </cell>
          <cell r="G527">
            <v>2.6800248318394541E-5</v>
          </cell>
          <cell r="H527">
            <v>2.7021536370293006E-5</v>
          </cell>
          <cell r="I527">
            <v>4.5659073318161402E-5</v>
          </cell>
          <cell r="J527">
            <v>4.1826952573027641E-5</v>
          </cell>
          <cell r="K527">
            <v>4.0895983127246436E-5</v>
          </cell>
          <cell r="L527">
            <v>6.423321673298687E-5</v>
          </cell>
          <cell r="M527">
            <v>5.1154846937819259E-5</v>
          </cell>
          <cell r="N527">
            <v>7.7409969330567721E-5</v>
          </cell>
          <cell r="O527">
            <v>6.7285662817719158E-5</v>
          </cell>
          <cell r="P527">
            <v>1.3827181192551744E-4</v>
          </cell>
        </row>
        <row r="528">
          <cell r="B528" t="str">
            <v>D-RLFO</v>
          </cell>
          <cell r="C528" t="str">
            <v>VAR_fout</v>
          </cell>
          <cell r="D528" t="str">
            <v>CO2</v>
          </cell>
          <cell r="E528">
            <v>4514.4841358598396</v>
          </cell>
          <cell r="F528">
            <v>3846.5254200827399</v>
          </cell>
          <cell r="G528">
            <v>3346.8997284166899</v>
          </cell>
          <cell r="H528">
            <v>3437.9928799132499</v>
          </cell>
          <cell r="I528">
            <v>2754.6783994328898</v>
          </cell>
          <cell r="J528">
            <v>2522.9673175134099</v>
          </cell>
          <cell r="K528">
            <v>2434.09816956842</v>
          </cell>
          <cell r="L528">
            <v>2089.17583760661</v>
          </cell>
          <cell r="M528">
            <v>1948.7307746834799</v>
          </cell>
          <cell r="N528">
            <v>1674.7471294412401</v>
          </cell>
          <cell r="O528">
            <v>1254.079204765</v>
          </cell>
          <cell r="P528">
            <v>483.66943325506401</v>
          </cell>
        </row>
        <row r="529">
          <cell r="B529" t="str">
            <v>D-RLFO</v>
          </cell>
          <cell r="C529" t="str">
            <v>VAR_fout</v>
          </cell>
          <cell r="D529" t="str">
            <v>RLFO</v>
          </cell>
          <cell r="E529">
            <v>60.231845178180187</v>
          </cell>
          <cell r="F529">
            <v>51.319999495851896</v>
          </cell>
          <cell r="G529">
            <v>44.654126513159405</v>
          </cell>
          <cell r="H529">
            <v>45.869603457981398</v>
          </cell>
          <cell r="I529">
            <v>36.753114741473084</v>
          </cell>
          <cell r="J529">
            <v>33.66142229776662</v>
          </cell>
          <cell r="K529">
            <v>32.47573114564134</v>
          </cell>
          <cell r="L529">
            <v>27.87405276384585</v>
          </cell>
          <cell r="M529">
            <v>26.000011497878493</v>
          </cell>
          <cell r="N529">
            <v>22.344782092061163</v>
          </cell>
          <cell r="O529">
            <v>16.732157998847843</v>
          </cell>
          <cell r="P529">
            <v>6.453866460928797</v>
          </cell>
        </row>
        <row r="530">
          <cell r="B530" t="str">
            <v>D-RLFO</v>
          </cell>
          <cell r="C530" t="str">
            <v>VAR_fin</v>
          </cell>
          <cell r="D530" t="str">
            <v>LFO</v>
          </cell>
          <cell r="E530">
            <v>61.254872942467266</v>
          </cell>
          <cell r="F530">
            <v>52.1916610594674</v>
          </cell>
          <cell r="G530">
            <v>45.412479354364862</v>
          </cell>
          <cell r="H530">
            <v>46.648478696244901</v>
          </cell>
          <cell r="I530">
            <v>37.376911796918478</v>
          </cell>
          <cell r="J530">
            <v>34.232935108730182</v>
          </cell>
          <cell r="K530">
            <v>33.027112205812998</v>
          </cell>
          <cell r="L530">
            <v>28.347026290455982</v>
          </cell>
          <cell r="M530">
            <v>26.441394500454233</v>
          </cell>
          <cell r="N530">
            <v>22.723841647778002</v>
          </cell>
          <cell r="O530">
            <v>17.016000064654076</v>
          </cell>
          <cell r="P530">
            <v>6.5626788772735996</v>
          </cell>
        </row>
        <row r="531">
          <cell r="B531" t="str">
            <v>D-RLFO</v>
          </cell>
          <cell r="C531" t="str">
            <v>VAR_fin</v>
          </cell>
          <cell r="D531" t="str">
            <v>BDS</v>
          </cell>
          <cell r="G531">
            <v>9.0047150118142432E-5</v>
          </cell>
          <cell r="H531">
            <v>2.1226495897884909E-4</v>
          </cell>
          <cell r="I531">
            <v>4.4843232168835376E-4</v>
          </cell>
          <cell r="J531">
            <v>2.2078766912030849E-4</v>
          </cell>
          <cell r="K531">
            <v>2.1380083800530856E-4</v>
          </cell>
          <cell r="L531">
            <v>4.6254433468339835E-4</v>
          </cell>
          <cell r="M531">
            <v>2.2285810537218389E-4</v>
          </cell>
          <cell r="N531">
            <v>4.62782438273051E-4</v>
          </cell>
          <cell r="O531">
            <v>3.5083354648681315E-4</v>
          </cell>
          <cell r="P531">
            <v>8.0538747512801101E-4</v>
          </cell>
        </row>
        <row r="532">
          <cell r="B532" t="str">
            <v>G-INTC-EXP00-IT</v>
          </cell>
          <cell r="C532" t="str">
            <v>VAR_fout</v>
          </cell>
          <cell r="D532" t="str">
            <v>ELC_E-IT</v>
          </cell>
          <cell r="E532">
            <v>71.694107738035981</v>
          </cell>
          <cell r="F532">
            <v>35.81834628458293</v>
          </cell>
          <cell r="G532">
            <v>64.429789798811868</v>
          </cell>
          <cell r="H532">
            <v>81.825419717354251</v>
          </cell>
          <cell r="I532">
            <v>65.69281654643504</v>
          </cell>
          <cell r="J532">
            <v>43.589628126898241</v>
          </cell>
          <cell r="K532">
            <v>27.481467277635861</v>
          </cell>
          <cell r="L532">
            <v>30.209975473030497</v>
          </cell>
          <cell r="M532">
            <v>46.722680714154762</v>
          </cell>
          <cell r="N532">
            <v>40.625744373874177</v>
          </cell>
          <cell r="O532">
            <v>38.845824907310195</v>
          </cell>
          <cell r="P532">
            <v>32.388013479889807</v>
          </cell>
        </row>
        <row r="533">
          <cell r="B533" t="str">
            <v>G-INTC-EXP00-IT</v>
          </cell>
          <cell r="C533" t="str">
            <v>VAR_fin</v>
          </cell>
          <cell r="D533" t="str">
            <v>ELC</v>
          </cell>
          <cell r="E533">
            <v>71.694107738035981</v>
          </cell>
          <cell r="F533">
            <v>35.81834628458293</v>
          </cell>
          <cell r="G533">
            <v>64.429789798811868</v>
          </cell>
          <cell r="H533">
            <v>81.825419717354251</v>
          </cell>
          <cell r="I533">
            <v>65.69281654643504</v>
          </cell>
          <cell r="J533">
            <v>43.589628126898241</v>
          </cell>
          <cell r="K533">
            <v>27.481467277635861</v>
          </cell>
          <cell r="L533">
            <v>30.209975473030497</v>
          </cell>
          <cell r="M533">
            <v>46.722680714154762</v>
          </cell>
          <cell r="N533">
            <v>40.625744373874177</v>
          </cell>
          <cell r="O533">
            <v>38.845824907310195</v>
          </cell>
          <cell r="P533">
            <v>32.388013479889807</v>
          </cell>
        </row>
        <row r="534">
          <cell r="B534" t="str">
            <v>G-INTC-EXP00-IT</v>
          </cell>
          <cell r="C534" t="str">
            <v>VAR_ncap</v>
          </cell>
          <cell r="D534" t="str">
            <v>-</v>
          </cell>
          <cell r="E534">
            <v>2.0219800529332499</v>
          </cell>
          <cell r="F534">
            <v>1.6638236704975701E-5</v>
          </cell>
          <cell r="G534">
            <v>5.9389637541818197E-6</v>
          </cell>
          <cell r="H534">
            <v>5.2107996633799098E-6</v>
          </cell>
          <cell r="I534">
            <v>3.49394572297497E-5</v>
          </cell>
          <cell r="J534">
            <v>3.2093860433264499E-6</v>
          </cell>
          <cell r="K534">
            <v>3.0522042366854101</v>
          </cell>
          <cell r="L534">
            <v>1.34107487099587</v>
          </cell>
          <cell r="M534">
            <v>0.91993958658632102</v>
          </cell>
          <cell r="N534">
            <v>0.66733376261755795</v>
          </cell>
        </row>
        <row r="535">
          <cell r="B535" t="str">
            <v>G-INTC-EXP00-IT</v>
          </cell>
          <cell r="C535" t="str">
            <v>VAR_cap</v>
          </cell>
          <cell r="D535" t="str">
            <v>-</v>
          </cell>
          <cell r="E535">
            <v>3.7499994099516107</v>
          </cell>
          <cell r="F535">
            <v>3.7499985959758062</v>
          </cell>
          <cell r="G535">
            <v>3.749998294462507</v>
          </cell>
          <cell r="H535">
            <v>4.8624775849886701</v>
          </cell>
          <cell r="I535">
            <v>5.7719997293544365</v>
          </cell>
          <cell r="J535">
            <v>5.7720008374318343</v>
          </cell>
          <cell r="K535">
            <v>5.7720282153211029</v>
          </cell>
          <cell r="L535">
            <v>5.7720006340215155</v>
          </cell>
          <cell r="M535">
            <v>8.3552190378957771</v>
          </cell>
          <cell r="N535">
            <v>7.6093337812322854</v>
          </cell>
          <cell r="O535">
            <v>7.3352358516475364</v>
          </cell>
          <cell r="P535">
            <v>6.6712814689834357</v>
          </cell>
        </row>
        <row r="536">
          <cell r="B536" t="str">
            <v>EWOD-CCS</v>
          </cell>
          <cell r="C536" t="str">
            <v>VAR_fin</v>
          </cell>
          <cell r="D536" t="str">
            <v>EWOD</v>
          </cell>
          <cell r="J536">
            <v>4.3955422057792023E-4</v>
          </cell>
          <cell r="K536">
            <v>4.9444957279225817E-4</v>
          </cell>
          <cell r="L536">
            <v>1.2692832993838274E-3</v>
          </cell>
          <cell r="M536">
            <v>6.1424886279085598E-4</v>
          </cell>
          <cell r="N536">
            <v>1.1727706889987216E-3</v>
          </cell>
          <cell r="O536">
            <v>9.7451736489516155E-4</v>
          </cell>
          <cell r="P536">
            <v>2.2967250564303889E-3</v>
          </cell>
        </row>
        <row r="537">
          <cell r="B537" t="str">
            <v>EOIL-ENG</v>
          </cell>
          <cell r="C537" t="str">
            <v>VAR_fout</v>
          </cell>
          <cell r="D537" t="str">
            <v>ELC35</v>
          </cell>
          <cell r="E537">
            <v>3.9603192165147752E-2</v>
          </cell>
          <cell r="F537">
            <v>4.0921741177653021E-5</v>
          </cell>
          <cell r="G537">
            <v>3.6829281070392184E-3</v>
          </cell>
          <cell r="H537">
            <v>1.769358089038319E-3</v>
          </cell>
          <cell r="I537">
            <v>2.2222212371971928E-3</v>
          </cell>
          <cell r="J537">
            <v>2.8691039277796678E-3</v>
          </cell>
          <cell r="K537">
            <v>9.4537332715362889E-3</v>
          </cell>
          <cell r="L537">
            <v>1.88732737660804E-2</v>
          </cell>
          <cell r="M537">
            <v>1.0039286931708606E-2</v>
          </cell>
          <cell r="N537">
            <v>1.2047809618373444E-2</v>
          </cell>
          <cell r="O537">
            <v>1.431985257064536E-2</v>
          </cell>
          <cell r="P537">
            <v>2.0391627459347361E-2</v>
          </cell>
        </row>
        <row r="538">
          <cell r="B538" t="str">
            <v>EOIL-ENG</v>
          </cell>
          <cell r="C538" t="str">
            <v>VAR_fout</v>
          </cell>
          <cell r="D538" t="str">
            <v>CO2_E</v>
          </cell>
          <cell r="E538">
            <v>8.8545477652609907</v>
          </cell>
          <cell r="F538">
            <v>1.7919996566954002E-2</v>
          </cell>
          <cell r="G538">
            <v>0.91975200564887905</v>
          </cell>
          <cell r="H538">
            <v>0.42391361824667001</v>
          </cell>
          <cell r="I538">
            <v>0.54012411591848397</v>
          </cell>
          <cell r="J538">
            <v>0.67114269024002804</v>
          </cell>
          <cell r="K538">
            <v>2.1581958168763098</v>
          </cell>
          <cell r="L538">
            <v>4.3434833913583297</v>
          </cell>
          <cell r="M538">
            <v>2.3154853949350702</v>
          </cell>
          <cell r="N538">
            <v>2.7608513291949199</v>
          </cell>
          <cell r="O538">
            <v>3.2968958136410298</v>
          </cell>
          <cell r="P538">
            <v>4.7111880287842904</v>
          </cell>
        </row>
        <row r="539">
          <cell r="B539" t="str">
            <v>EOIL-ENG</v>
          </cell>
          <cell r="C539" t="str">
            <v>VAR_fin</v>
          </cell>
          <cell r="D539" t="str">
            <v>ELFO</v>
          </cell>
          <cell r="E539">
            <v>0.12014311757477594</v>
          </cell>
          <cell r="F539">
            <v>2.4314785029788349E-4</v>
          </cell>
          <cell r="G539">
            <v>1.2479674432142186E-2</v>
          </cell>
          <cell r="H539">
            <v>5.7518808445952531E-3</v>
          </cell>
          <cell r="I539">
            <v>7.3286854263023525E-3</v>
          </cell>
          <cell r="J539">
            <v>9.1064137074630697E-3</v>
          </cell>
          <cell r="K539">
            <v>2.9283525330750418E-2</v>
          </cell>
          <cell r="L539">
            <v>5.8934645744346335E-2</v>
          </cell>
          <cell r="M539">
            <v>3.1417712278630605E-2</v>
          </cell>
          <cell r="N539">
            <v>3.7460669324218779E-2</v>
          </cell>
          <cell r="O539">
            <v>4.4734000185088607E-2</v>
          </cell>
          <cell r="P539">
            <v>6.3923853850533119E-2</v>
          </cell>
        </row>
        <row r="540">
          <cell r="B540" t="str">
            <v>EOIL-ENG</v>
          </cell>
          <cell r="C540" t="str">
            <v>VAR_ncap</v>
          </cell>
          <cell r="D540" t="str">
            <v>-</v>
          </cell>
          <cell r="F540">
            <v>3.2993230405652001E-6</v>
          </cell>
          <cell r="G540">
            <v>1.11938786555511E-4</v>
          </cell>
          <cell r="H540">
            <v>2.69770309011222E-2</v>
          </cell>
          <cell r="I540">
            <v>2.4313533439514999E-2</v>
          </cell>
          <cell r="J540">
            <v>1.7954620678670499E-3</v>
          </cell>
          <cell r="K540">
            <v>5.37159000285449E-5</v>
          </cell>
          <cell r="L540">
            <v>5.1555145087703797E-5</v>
          </cell>
          <cell r="M540">
            <v>1.8690693526009099E-2</v>
          </cell>
          <cell r="N540">
            <v>2.0347003626735799E-3</v>
          </cell>
          <cell r="O540">
            <v>4.27789647618786E-4</v>
          </cell>
          <cell r="P540">
            <v>3.2703348477109099E-3</v>
          </cell>
        </row>
        <row r="541">
          <cell r="B541" t="str">
            <v>EOIL-ENG</v>
          </cell>
          <cell r="C541" t="str">
            <v>VAR_cap</v>
          </cell>
          <cell r="D541" t="str">
            <v>-</v>
          </cell>
          <cell r="E541">
            <v>2.1526394752099005E-2</v>
          </cell>
          <cell r="F541">
            <v>2.1390393349644966E-2</v>
          </cell>
          <cell r="G541">
            <v>1.2026767593768577E-2</v>
          </cell>
          <cell r="H541">
            <v>3.4089867089364574E-2</v>
          </cell>
          <cell r="I541">
            <v>5.8401063653725729E-2</v>
          </cell>
          <cell r="J541">
            <v>6.0192625775271388E-2</v>
          </cell>
          <cell r="K541">
            <v>5.4482420385976144E-2</v>
          </cell>
          <cell r="L541">
            <v>5.3173800527284494E-2</v>
          </cell>
          <cell r="M541">
            <v>4.4896572376682355E-2</v>
          </cell>
          <cell r="N541">
            <v>2.2615787333643562E-2</v>
          </cell>
          <cell r="O541">
            <v>2.1240163034650608E-2</v>
          </cell>
          <cell r="P541">
            <v>2.4463410608523736E-2</v>
          </cell>
        </row>
        <row r="542">
          <cell r="B542" t="str">
            <v>D-SWOD</v>
          </cell>
          <cell r="C542" t="str">
            <v>VAR_fout</v>
          </cell>
          <cell r="D542" t="str">
            <v>SWOD</v>
          </cell>
          <cell r="E542">
            <v>8.5743734981499795</v>
          </cell>
          <cell r="F542">
            <v>9.3510657465569356</v>
          </cell>
          <cell r="G542">
            <v>9.2554145057482131</v>
          </cell>
          <cell r="H542">
            <v>7.4335327096613684</v>
          </cell>
          <cell r="I542">
            <v>5.1137686156220559</v>
          </cell>
          <cell r="J542">
            <v>3.2250530802261261</v>
          </cell>
          <cell r="K542">
            <v>2.0107241511513223</v>
          </cell>
          <cell r="L542">
            <v>0.66072442786993435</v>
          </cell>
          <cell r="M542">
            <v>0.63833039671154901</v>
          </cell>
          <cell r="N542">
            <v>0.62935277164166614</v>
          </cell>
          <cell r="O542">
            <v>0.61580659524597814</v>
          </cell>
          <cell r="P542">
            <v>0.61536138877472968</v>
          </cell>
        </row>
        <row r="543">
          <cell r="B543" t="str">
            <v>D-SWOD</v>
          </cell>
          <cell r="C543" t="str">
            <v>VAR_fin</v>
          </cell>
          <cell r="D543" t="str">
            <v>WOD</v>
          </cell>
          <cell r="E543">
            <v>8.5743734981499795</v>
          </cell>
          <cell r="F543">
            <v>9.3510657465569356</v>
          </cell>
          <cell r="G543">
            <v>9.2554145057482131</v>
          </cell>
          <cell r="H543">
            <v>7.4335327096613684</v>
          </cell>
          <cell r="I543">
            <v>5.1137686156220559</v>
          </cell>
          <cell r="J543">
            <v>3.2250530802261261</v>
          </cell>
          <cell r="K543">
            <v>2.0107241511513223</v>
          </cell>
          <cell r="L543">
            <v>0.66072442786993435</v>
          </cell>
          <cell r="M543">
            <v>0.63833039671154901</v>
          </cell>
          <cell r="N543">
            <v>0.62935277164166614</v>
          </cell>
          <cell r="O543">
            <v>0.61580659524597814</v>
          </cell>
          <cell r="P543">
            <v>0.61536138877472968</v>
          </cell>
        </row>
        <row r="544">
          <cell r="B544" t="str">
            <v>SCOM-CHPWOD</v>
          </cell>
          <cell r="C544" t="str">
            <v>VAR_fout</v>
          </cell>
          <cell r="D544" t="str">
            <v>SCOM_KEV_WOD_ELC_CHP</v>
          </cell>
          <cell r="H544">
            <v>3.9749258279597396E-3</v>
          </cell>
          <cell r="I544">
            <v>3.0993185991248836E-3</v>
          </cell>
          <cell r="J544">
            <v>2.4352982555070333E-3</v>
          </cell>
          <cell r="K544">
            <v>3.646891764244025E-3</v>
          </cell>
          <cell r="L544">
            <v>5.9326226555966597E-3</v>
          </cell>
          <cell r="M544">
            <v>5.353799139702041E-3</v>
          </cell>
          <cell r="N544">
            <v>7.025501060492126E-3</v>
          </cell>
          <cell r="O544">
            <v>7.0292029218229904E-3</v>
          </cell>
          <cell r="P544">
            <v>1.5385836093663754E-2</v>
          </cell>
        </row>
        <row r="545">
          <cell r="B545" t="str">
            <v>SCOM-CHPWOD</v>
          </cell>
          <cell r="C545" t="str">
            <v>VAR_fout</v>
          </cell>
          <cell r="D545" t="str">
            <v>SCOM_LTH_CHPWOD</v>
          </cell>
          <cell r="H545">
            <v>6.3526009155800431E-3</v>
          </cell>
          <cell r="I545">
            <v>4.8464823840237477E-3</v>
          </cell>
          <cell r="J545">
            <v>3.7242574133983064E-3</v>
          </cell>
          <cell r="K545">
            <v>5.4664681224232993E-3</v>
          </cell>
          <cell r="L545">
            <v>8.7126262522155412E-3</v>
          </cell>
          <cell r="M545">
            <v>7.8625683178506003E-3</v>
          </cell>
          <cell r="N545">
            <v>1.0317623170735051E-2</v>
          </cell>
          <cell r="O545">
            <v>1.0323059709696934E-2</v>
          </cell>
          <cell r="P545">
            <v>2.2595578253317736E-2</v>
          </cell>
        </row>
        <row r="546">
          <cell r="B546" t="str">
            <v>SCOM-CHPWOD</v>
          </cell>
          <cell r="C546" t="str">
            <v>VAR_fin</v>
          </cell>
          <cell r="D546" t="str">
            <v>SWOD</v>
          </cell>
          <cell r="H546">
            <v>1.2437211036022732E-2</v>
          </cell>
          <cell r="I546">
            <v>9.9496953124765322E-3</v>
          </cell>
          <cell r="J546">
            <v>7.8830500037659745E-3</v>
          </cell>
          <cell r="K546">
            <v>1.1143756806369984E-2</v>
          </cell>
          <cell r="L546">
            <v>1.8665532315816077E-2</v>
          </cell>
          <cell r="M546">
            <v>1.5904607679019869E-2</v>
          </cell>
          <cell r="N546">
            <v>2.1479728494110634E-2</v>
          </cell>
          <cell r="O546">
            <v>2.1069917939453543E-2</v>
          </cell>
          <cell r="P546">
            <v>4.6457673053820266E-2</v>
          </cell>
        </row>
        <row r="547">
          <cell r="B547" t="str">
            <v>SCOM-CHPWOD</v>
          </cell>
          <cell r="C547" t="str">
            <v>VAR_ncap</v>
          </cell>
          <cell r="D547" t="str">
            <v>-</v>
          </cell>
          <cell r="H547">
            <v>2.37984111046505E-4</v>
          </cell>
          <cell r="I547">
            <v>2.4983964873467001E-6</v>
          </cell>
          <cell r="J547">
            <v>1.0932315730905601E-5</v>
          </cell>
          <cell r="K547">
            <v>2.2590048866937701E-4</v>
          </cell>
          <cell r="L547">
            <v>2.0097764403494199E-4</v>
          </cell>
          <cell r="M547">
            <v>1.44692332180171E-6</v>
          </cell>
          <cell r="N547">
            <v>3.3768781348014998E-4</v>
          </cell>
          <cell r="O547">
            <v>1.4117731815808601E-4</v>
          </cell>
          <cell r="P547">
            <v>6.4914273923848901E-4</v>
          </cell>
        </row>
        <row r="548">
          <cell r="B548" t="str">
            <v>SCOM-CHPWOD</v>
          </cell>
          <cell r="C548" t="str">
            <v>VAR_cap</v>
          </cell>
          <cell r="D548" t="str">
            <v>-</v>
          </cell>
          <cell r="H548">
            <v>2.37984111046505E-4</v>
          </cell>
          <cell r="I548">
            <v>2.4039443132009179E-4</v>
          </cell>
          <cell r="J548">
            <v>2.0578457860437809E-4</v>
          </cell>
          <cell r="K548">
            <v>2.3908397093637607E-4</v>
          </cell>
          <cell r="L548">
            <v>4.3747870217125488E-4</v>
          </cell>
          <cell r="M548">
            <v>3.9936767936142885E-4</v>
          </cell>
          <cell r="N548">
            <v>5.3960638934588646E-4</v>
          </cell>
          <cell r="O548">
            <v>5.1481640893242099E-4</v>
          </cell>
          <cell r="P548">
            <v>1.1274490909216558E-3</v>
          </cell>
        </row>
        <row r="549">
          <cell r="B549" t="str">
            <v>ENUC_BMGL</v>
          </cell>
          <cell r="C549" t="str">
            <v>VAR_fout</v>
          </cell>
          <cell r="D549" t="str">
            <v>ELC</v>
          </cell>
          <cell r="E549">
            <v>32.820801514469288</v>
          </cell>
          <cell r="F549">
            <v>4.6154301652226275E-3</v>
          </cell>
        </row>
        <row r="550">
          <cell r="B550" t="str">
            <v>ENUC_BMGL</v>
          </cell>
          <cell r="C550" t="str">
            <v>VAR_fin</v>
          </cell>
          <cell r="D550" t="str">
            <v>URN</v>
          </cell>
          <cell r="E550">
            <v>98.945503972362914</v>
          </cell>
          <cell r="F550">
            <v>1.3914226425758366E-2</v>
          </cell>
        </row>
        <row r="551">
          <cell r="B551" t="str">
            <v>ENUC_BMGL</v>
          </cell>
          <cell r="C551" t="str">
            <v>VAR_cap</v>
          </cell>
          <cell r="D551" t="str">
            <v>-</v>
          </cell>
          <cell r="E551">
            <v>1.2329999719853793</v>
          </cell>
          <cell r="F551">
            <v>1.7161525619013851E-4</v>
          </cell>
        </row>
        <row r="552">
          <cell r="B552" t="str">
            <v>D-RSH2R</v>
          </cell>
          <cell r="C552" t="str">
            <v>VAR_fout</v>
          </cell>
          <cell r="D552" t="str">
            <v>RSH2</v>
          </cell>
          <cell r="H552">
            <v>3.1311003559614101E-4</v>
          </cell>
          <cell r="I552">
            <v>6.107818180773214E-4</v>
          </cell>
          <cell r="J552">
            <v>7.0331915125678975E-4</v>
          </cell>
          <cell r="K552">
            <v>7.8321947036302613E-4</v>
          </cell>
          <cell r="L552">
            <v>1.4078719663453568E-3</v>
          </cell>
          <cell r="M552">
            <v>8.9290993425274103E-4</v>
          </cell>
          <cell r="N552">
            <v>1.6766830882538283E-3</v>
          </cell>
          <cell r="O552">
            <v>1.5567254845713051E-3</v>
          </cell>
          <cell r="P552">
            <v>4.0750637958527278E-3</v>
          </cell>
        </row>
        <row r="553">
          <cell r="B553" t="str">
            <v>D-RSH2R</v>
          </cell>
          <cell r="C553" t="str">
            <v>VAR_fin</v>
          </cell>
          <cell r="D553" t="str">
            <v>H2</v>
          </cell>
          <cell r="H553">
            <v>3.1311003559614101E-4</v>
          </cell>
          <cell r="I553">
            <v>6.107818180773214E-4</v>
          </cell>
          <cell r="J553">
            <v>7.0331915125678975E-4</v>
          </cell>
          <cell r="K553">
            <v>7.8321947036302613E-4</v>
          </cell>
          <cell r="L553">
            <v>1.4078719663453568E-3</v>
          </cell>
          <cell r="M553">
            <v>8.9290993425274103E-4</v>
          </cell>
          <cell r="N553">
            <v>1.6766830882538283E-3</v>
          </cell>
          <cell r="O553">
            <v>1.5567254845713051E-3</v>
          </cell>
          <cell r="P553">
            <v>4.0750637958527278E-3</v>
          </cell>
        </row>
        <row r="554">
          <cell r="B554" t="str">
            <v>D-RSH2R</v>
          </cell>
          <cell r="C554" t="str">
            <v>VAR_ncap</v>
          </cell>
          <cell r="D554" t="str">
            <v>-</v>
          </cell>
          <cell r="H554">
            <v>4.3914028379375903E-5</v>
          </cell>
          <cell r="I554">
            <v>5.0108949798933603E-5</v>
          </cell>
          <cell r="J554">
            <v>6.9668782812389005E-5</v>
          </cell>
          <cell r="K554">
            <v>8.9594926777513006E-5</v>
          </cell>
          <cell r="L554">
            <v>3.6527643476266599E-5</v>
          </cell>
          <cell r="M554">
            <v>4.14075514916401E-5</v>
          </cell>
          <cell r="N554">
            <v>1.1524475202751099E-4</v>
          </cell>
          <cell r="O554">
            <v>1.03791242838966E-4</v>
          </cell>
          <cell r="P554">
            <v>2.36673951753097E-4</v>
          </cell>
        </row>
        <row r="555">
          <cell r="B555" t="str">
            <v>D-RSH2R</v>
          </cell>
          <cell r="C555" t="str">
            <v>VAR_cap</v>
          </cell>
          <cell r="D555" t="str">
            <v>-</v>
          </cell>
          <cell r="H555">
            <v>4.3914028379375903E-5</v>
          </cell>
          <cell r="I555">
            <v>8.3447695141273905E-5</v>
          </cell>
          <cell r="J555">
            <v>8.0191508829847795E-5</v>
          </cell>
          <cell r="K555">
            <v>8.9594926777513006E-5</v>
          </cell>
          <cell r="L555">
            <v>1.2612257025378001E-4</v>
          </cell>
          <cell r="M555">
            <v>6.6262526898705802E-5</v>
          </cell>
          <cell r="N555">
            <v>1.4668062492224099E-4</v>
          </cell>
          <cell r="O555">
            <v>1.2420361496382401E-4</v>
          </cell>
          <cell r="P555">
            <v>3.4046519459206298E-4</v>
          </cell>
        </row>
        <row r="556">
          <cell r="B556" t="str">
            <v>ENGA-GTOC</v>
          </cell>
          <cell r="C556" t="str">
            <v>VAR_fout</v>
          </cell>
          <cell r="D556" t="str">
            <v>ELC13</v>
          </cell>
          <cell r="I556">
            <v>8.9638608466044833E-3</v>
          </cell>
          <cell r="J556">
            <v>6.7422437719700481E-2</v>
          </cell>
          <cell r="K556">
            <v>0.46220771207547667</v>
          </cell>
          <cell r="L556">
            <v>0.26292475228066103</v>
          </cell>
          <cell r="M556">
            <v>0.39910237685953914</v>
          </cell>
          <cell r="N556">
            <v>0.3072387355080804</v>
          </cell>
          <cell r="O556">
            <v>5.1781815175710517E-2</v>
          </cell>
          <cell r="P556">
            <v>0.1723784721168084</v>
          </cell>
        </row>
        <row r="557">
          <cell r="B557" t="str">
            <v>ENGA-GTOC</v>
          </cell>
          <cell r="C557" t="str">
            <v>VAR_fout</v>
          </cell>
          <cell r="D557" t="str">
            <v>CO2_E</v>
          </cell>
          <cell r="I557">
            <v>1.26537153299848</v>
          </cell>
          <cell r="J557">
            <v>9.91566068653621</v>
          </cell>
          <cell r="K557">
            <v>61.4489046011713</v>
          </cell>
          <cell r="L557">
            <v>34.111501291678401</v>
          </cell>
          <cell r="M557">
            <v>51.034725370107402</v>
          </cell>
          <cell r="N557">
            <v>39.262441701404597</v>
          </cell>
          <cell r="O557">
            <v>6.6860806395124097</v>
          </cell>
          <cell r="P557">
            <v>22.025543904895098</v>
          </cell>
        </row>
        <row r="558">
          <cell r="B558" t="str">
            <v>ENGA-GTOC</v>
          </cell>
          <cell r="C558" t="str">
            <v>VAR_fin</v>
          </cell>
          <cell r="D558" t="str">
            <v>ENGA</v>
          </cell>
          <cell r="I558">
            <v>2.2435665478696441E-2</v>
          </cell>
          <cell r="J558">
            <v>0.17580958664071275</v>
          </cell>
          <cell r="K558">
            <v>1.0895195851271506</v>
          </cell>
          <cell r="L558">
            <v>0.6048138526893333</v>
          </cell>
          <cell r="M558">
            <v>0.90487101720048624</v>
          </cell>
          <cell r="N558">
            <v>0.69614258335823864</v>
          </cell>
          <cell r="O558">
            <v>0.11854752906936897</v>
          </cell>
          <cell r="P558">
            <v>0.39052382810097619</v>
          </cell>
        </row>
        <row r="559">
          <cell r="B559" t="str">
            <v>ENGA-GTOC</v>
          </cell>
          <cell r="C559" t="str">
            <v>VAR_fin</v>
          </cell>
          <cell r="D559" t="str">
            <v>GTC</v>
          </cell>
          <cell r="I559">
            <v>1.6706048148116201E-2</v>
          </cell>
          <cell r="J559">
            <v>6.9373386951420923E-2</v>
          </cell>
          <cell r="K559">
            <v>6.93788480790338E-2</v>
          </cell>
          <cell r="L559">
            <v>6.9379831506961087E-2</v>
          </cell>
          <cell r="M559">
            <v>6.9387683193012958E-2</v>
          </cell>
          <cell r="N559">
            <v>5.2686335568293899E-2</v>
          </cell>
          <cell r="O559">
            <v>1.0485551974917363E-2</v>
          </cell>
          <cell r="P559">
            <v>2.1726657182206524E-2</v>
          </cell>
        </row>
        <row r="560">
          <cell r="B560" t="str">
            <v>ENGA-GTOC</v>
          </cell>
          <cell r="C560" t="str">
            <v>VAR_ncap</v>
          </cell>
          <cell r="D560" t="str">
            <v>-</v>
          </cell>
          <cell r="I560">
            <v>6.9372126487240005E-2</v>
          </cell>
          <cell r="J560">
            <v>7.4489845888375002E-6</v>
          </cell>
          <cell r="K560">
            <v>8.9239085806953696E-6</v>
          </cell>
          <cell r="L560">
            <v>4.7159453885598497E-6</v>
          </cell>
          <cell r="M560">
            <v>1.28384902413164E-5</v>
          </cell>
          <cell r="N560">
            <v>2.43335719061232E-5</v>
          </cell>
          <cell r="O560">
            <v>2.1690120734176602E-2</v>
          </cell>
        </row>
        <row r="561">
          <cell r="B561" t="str">
            <v>ENGA-GTOC</v>
          </cell>
          <cell r="C561" t="str">
            <v>VAR_cap</v>
          </cell>
          <cell r="D561" t="str">
            <v>-</v>
          </cell>
          <cell r="I561">
            <v>1.6706048148116201E-2</v>
          </cell>
          <cell r="J561">
            <v>6.9373386951420923E-2</v>
          </cell>
          <cell r="K561">
            <v>6.9378848079033828E-2</v>
          </cell>
          <cell r="L561">
            <v>6.9379831506961032E-2</v>
          </cell>
          <cell r="M561">
            <v>6.9387683193012917E-2</v>
          </cell>
          <cell r="N561">
            <v>5.2686335568293892E-2</v>
          </cell>
          <cell r="O561">
            <v>1.0485551974917316E-2</v>
          </cell>
          <cell r="P561">
            <v>2.1726657182206524E-2</v>
          </cell>
        </row>
        <row r="562">
          <cell r="B562" t="str">
            <v>D-RSH2</v>
          </cell>
          <cell r="C562" t="str">
            <v>VAR_fout</v>
          </cell>
          <cell r="D562" t="str">
            <v>RSH2</v>
          </cell>
          <cell r="H562">
            <v>2.8584997991433871E-4</v>
          </cell>
          <cell r="I562">
            <v>5.6652331953396297E-4</v>
          </cell>
          <cell r="J562">
            <v>6.7386378168058931E-4</v>
          </cell>
          <cell r="K562">
            <v>6.9067171280864394E-4</v>
          </cell>
          <cell r="L562">
            <v>1.5456844320501566E-3</v>
          </cell>
          <cell r="M562">
            <v>1.7012115689013407E-3</v>
          </cell>
          <cell r="N562">
            <v>2.6255478936757829E-3</v>
          </cell>
          <cell r="O562">
            <v>3.0778093680426111E-3</v>
          </cell>
          <cell r="P562">
            <v>6.9266811931461515E-3</v>
          </cell>
        </row>
        <row r="563">
          <cell r="B563" t="str">
            <v>D-RSH2</v>
          </cell>
          <cell r="C563" t="str">
            <v>VAR_fin</v>
          </cell>
          <cell r="D563" t="str">
            <v>H2</v>
          </cell>
          <cell r="H563">
            <v>2.8802769597636432E-4</v>
          </cell>
          <cell r="I563">
            <v>5.7083931400361756E-4</v>
          </cell>
          <cell r="J563">
            <v>6.7899753744094708E-4</v>
          </cell>
          <cell r="K563">
            <v>6.9593351791012042E-4</v>
          </cell>
          <cell r="L563">
            <v>1.5574600558074432E-3</v>
          </cell>
          <cell r="M563">
            <v>1.7141720587345423E-3</v>
          </cell>
          <cell r="N563">
            <v>2.6455503362905744E-3</v>
          </cell>
          <cell r="O563">
            <v>3.1012573140548859E-3</v>
          </cell>
          <cell r="P563">
            <v>6.9794513381549721E-3</v>
          </cell>
        </row>
        <row r="564">
          <cell r="B564" t="str">
            <v>D-RSH2</v>
          </cell>
          <cell r="C564" t="str">
            <v>VAR_ncap</v>
          </cell>
          <cell r="D564" t="str">
            <v>-</v>
          </cell>
          <cell r="H564">
            <v>5.5145924416740897E-5</v>
          </cell>
          <cell r="I564">
            <v>4.8717784840944799E-5</v>
          </cell>
          <cell r="J564">
            <v>5.6597829968129299E-6</v>
          </cell>
          <cell r="K564">
            <v>4.7091633757974701E-6</v>
          </cell>
          <cell r="L564">
            <v>9.0019257853831501E-5</v>
          </cell>
          <cell r="M564">
            <v>1.64332252257656E-6</v>
          </cell>
          <cell r="N564">
            <v>1.15216183425346E-4</v>
          </cell>
          <cell r="O564">
            <v>3.4568866376740903E-5</v>
          </cell>
          <cell r="P564">
            <v>4.8294766634854899E-4</v>
          </cell>
        </row>
        <row r="565">
          <cell r="B565" t="str">
            <v>D-RSH2</v>
          </cell>
          <cell r="C565" t="str">
            <v>VAR_cap</v>
          </cell>
          <cell r="D565" t="str">
            <v>-</v>
          </cell>
          <cell r="H565">
            <v>5.5145924416740897E-5</v>
          </cell>
          <cell r="I565">
            <v>1.0386370925768599E-4</v>
          </cell>
          <cell r="J565">
            <v>1.0952349225449901E-4</v>
          </cell>
          <cell r="K565">
            <v>1.14232655630296E-4</v>
          </cell>
          <cell r="L565">
            <v>2.0425191348412799E-4</v>
          </cell>
          <cell r="M565">
            <v>2.05895236006704E-4</v>
          </cell>
          <cell r="N565">
            <v>3.21111419432051E-4</v>
          </cell>
          <cell r="O565">
            <v>3.38198272801996E-4</v>
          </cell>
          <cell r="P565">
            <v>7.8348202774060002E-4</v>
          </cell>
        </row>
        <row r="566">
          <cell r="B566" t="str">
            <v>D-RWOD</v>
          </cell>
          <cell r="C566" t="str">
            <v>VAR_fout</v>
          </cell>
          <cell r="D566" t="str">
            <v>RWOD</v>
          </cell>
          <cell r="E566">
            <v>13.723009805682228</v>
          </cell>
          <cell r="F566">
            <v>13.922393101503275</v>
          </cell>
          <cell r="G566">
            <v>12.11437311774683</v>
          </cell>
          <cell r="H566">
            <v>9.5900240436752906</v>
          </cell>
          <cell r="I566">
            <v>8.9203385151588872</v>
          </cell>
          <cell r="J566">
            <v>7.8297957130339588</v>
          </cell>
          <cell r="K566">
            <v>6.9149898943305033</v>
          </cell>
          <cell r="L566">
            <v>5.7790943369291163</v>
          </cell>
          <cell r="M566">
            <v>5.4933197509202429</v>
          </cell>
          <cell r="N566">
            <v>4.6525957266785749</v>
          </cell>
          <cell r="O566">
            <v>4.3275795301128186</v>
          </cell>
          <cell r="P566">
            <v>2.7863864377188627</v>
          </cell>
        </row>
        <row r="567">
          <cell r="B567" t="str">
            <v>D-RWOD</v>
          </cell>
          <cell r="C567" t="str">
            <v>VAR_fin</v>
          </cell>
          <cell r="D567" t="str">
            <v>WOD</v>
          </cell>
          <cell r="E567">
            <v>13.723009805682228</v>
          </cell>
          <cell r="F567">
            <v>13.922393101503275</v>
          </cell>
          <cell r="G567">
            <v>12.11437311774683</v>
          </cell>
          <cell r="H567">
            <v>9.5900240436752906</v>
          </cell>
          <cell r="I567">
            <v>8.9203385151588872</v>
          </cell>
          <cell r="J567">
            <v>7.8297957130339588</v>
          </cell>
          <cell r="K567">
            <v>6.9149898943305033</v>
          </cell>
          <cell r="L567">
            <v>5.7790943369291163</v>
          </cell>
          <cell r="M567">
            <v>5.4933197509202429</v>
          </cell>
          <cell r="N567">
            <v>4.6525957266785749</v>
          </cell>
          <cell r="O567">
            <v>4.3275795301128186</v>
          </cell>
          <cell r="P567">
            <v>2.7863864377188627</v>
          </cell>
        </row>
        <row r="568">
          <cell r="B568" t="str">
            <v>SCOM-CHPGFC</v>
          </cell>
          <cell r="C568" t="str">
            <v>VAR_fout</v>
          </cell>
          <cell r="D568" t="str">
            <v>CO2_S</v>
          </cell>
          <cell r="H568">
            <v>0.14553736091031799</v>
          </cell>
          <cell r="I568">
            <v>0.46761153215303097</v>
          </cell>
          <cell r="J568">
            <v>0.44983297991041798</v>
          </cell>
          <cell r="K568">
            <v>0.33872934988977499</v>
          </cell>
          <cell r="L568">
            <v>0.73139294430094004</v>
          </cell>
          <cell r="M568">
            <v>0.733045661472983</v>
          </cell>
          <cell r="N568">
            <v>1.5557310727971301</v>
          </cell>
          <cell r="O568">
            <v>1.2009752973388299</v>
          </cell>
          <cell r="P568">
            <v>2.7581653548780598</v>
          </cell>
        </row>
        <row r="569">
          <cell r="B569" t="str">
            <v>SCOM-CHPGFC</v>
          </cell>
          <cell r="C569" t="str">
            <v>VAR_fout</v>
          </cell>
          <cell r="D569" t="str">
            <v>SCOM_NKEV_GAS_ELC_CHP</v>
          </cell>
          <cell r="H569">
            <v>1.5482697969182767E-3</v>
          </cell>
          <cell r="I569">
            <v>5.0160456906486479E-3</v>
          </cell>
          <cell r="J569">
            <v>4.8652148536410481E-3</v>
          </cell>
          <cell r="K569">
            <v>3.6935913152874459E-3</v>
          </cell>
          <cell r="L569">
            <v>8.0401352033081953E-3</v>
          </cell>
          <cell r="M569">
            <v>8.0583033708022927E-3</v>
          </cell>
          <cell r="N569">
            <v>1.7102008247060679E-2</v>
          </cell>
          <cell r="O569">
            <v>1.3202210715426897E-2</v>
          </cell>
          <cell r="P569">
            <v>3.0320257447241102E-2</v>
          </cell>
        </row>
        <row r="570">
          <cell r="B570" t="str">
            <v>SCOM-CHPGFC</v>
          </cell>
          <cell r="C570" t="str">
            <v>VAR_fout</v>
          </cell>
          <cell r="D570" t="str">
            <v>SCOM_LTH_CHPNGA</v>
          </cell>
          <cell r="H570">
            <v>4.6448093907548342E-4</v>
          </cell>
          <cell r="I570">
            <v>1.492479168611033E-3</v>
          </cell>
          <cell r="J570">
            <v>1.4356371699268686E-3</v>
          </cell>
          <cell r="K570">
            <v>1.0811225769495516E-3</v>
          </cell>
          <cell r="L570">
            <v>2.3342328009604424E-3</v>
          </cell>
          <cell r="M570">
            <v>2.3395074302329216E-3</v>
          </cell>
          <cell r="N570">
            <v>4.9650991685014859E-3</v>
          </cell>
          <cell r="O570">
            <v>3.8328998851239349E-3</v>
          </cell>
          <cell r="P570">
            <v>8.8026553879086908E-3</v>
          </cell>
        </row>
        <row r="571">
          <cell r="B571" t="str">
            <v>SCOM-CHPGFC</v>
          </cell>
          <cell r="C571" t="str">
            <v>VAR_fin</v>
          </cell>
          <cell r="D571" t="str">
            <v>SNGA</v>
          </cell>
          <cell r="H571">
            <v>2.5804496615304626E-3</v>
          </cell>
          <cell r="I571">
            <v>8.2909846126423981E-3</v>
          </cell>
          <cell r="J571">
            <v>7.9757620551492592E-3</v>
          </cell>
          <cell r="K571">
            <v>6.0058395370527528E-3</v>
          </cell>
          <cell r="L571">
            <v>1.2967960005335805E-2</v>
          </cell>
          <cell r="M571">
            <v>1.2997263501294017E-2</v>
          </cell>
          <cell r="N571">
            <v>2.758388426945272E-2</v>
          </cell>
          <cell r="O571">
            <v>2.1293888250688557E-2</v>
          </cell>
          <cell r="P571">
            <v>4.8903641043937282E-2</v>
          </cell>
        </row>
        <row r="572">
          <cell r="B572" t="str">
            <v>SCOM-CHPGFC</v>
          </cell>
          <cell r="C572" t="str">
            <v>VAR_ncap</v>
          </cell>
          <cell r="D572" t="str">
            <v>-</v>
          </cell>
          <cell r="H572">
            <v>9.1188399391736001E-5</v>
          </cell>
          <cell r="I572">
            <v>2.0372337829352999E-4</v>
          </cell>
          <cell r="J572">
            <v>8.3147348687594201E-6</v>
          </cell>
          <cell r="K572">
            <v>5.0305319022138896E-6</v>
          </cell>
          <cell r="L572">
            <v>4.59937804514014E-4</v>
          </cell>
          <cell r="M572">
            <v>8.1038669736511294E-6</v>
          </cell>
          <cell r="N572">
            <v>5.3707989890494699E-4</v>
          </cell>
          <cell r="O572">
            <v>1.5196236464490599E-4</v>
          </cell>
          <cell r="P572">
            <v>1.09315333487683E-3</v>
          </cell>
        </row>
        <row r="573">
          <cell r="B573" t="str">
            <v>SCOM-CHPGFC</v>
          </cell>
          <cell r="C573" t="str">
            <v>VAR_cap</v>
          </cell>
          <cell r="D573" t="str">
            <v>-</v>
          </cell>
          <cell r="H573">
            <v>9.1188399391736001E-5</v>
          </cell>
          <cell r="I573">
            <v>2.948770972913896E-4</v>
          </cell>
          <cell r="J573">
            <v>2.8576870379926658E-4</v>
          </cell>
          <cell r="K573">
            <v>2.1694992578612335E-4</v>
          </cell>
          <cell r="L573">
            <v>4.7300128742874754E-4</v>
          </cell>
          <cell r="M573">
            <v>4.7332968114694547E-4</v>
          </cell>
          <cell r="N573">
            <v>1.0047604977115505E-3</v>
          </cell>
          <cell r="O573">
            <v>7.7560090602495058E-4</v>
          </cell>
          <cell r="P573">
            <v>1.7818001859753936E-3</v>
          </cell>
        </row>
        <row r="574">
          <cell r="B574" t="str">
            <v>CHPOIL</v>
          </cell>
          <cell r="C574" t="str">
            <v>VAR_fout</v>
          </cell>
          <cell r="D574" t="str">
            <v>ELC35</v>
          </cell>
          <cell r="E574">
            <v>1.8031993001388538E-3</v>
          </cell>
          <cell r="F574">
            <v>2.785602404618923E-5</v>
          </cell>
          <cell r="G574">
            <v>1.1074486920138312E-3</v>
          </cell>
          <cell r="H574">
            <v>7.3385182996396679E-4</v>
          </cell>
          <cell r="I574">
            <v>1.039695722883242E-3</v>
          </cell>
          <cell r="J574">
            <v>1.1532511660071511E-3</v>
          </cell>
          <cell r="K574">
            <v>1.1752212724732314E-3</v>
          </cell>
          <cell r="L574">
            <v>1.7609581090413556E-3</v>
          </cell>
          <cell r="M574">
            <v>1.2777321484483859E-3</v>
          </cell>
          <cell r="N574">
            <v>1.7670435525961102E-3</v>
          </cell>
          <cell r="O574">
            <v>1.3507276872726174E-3</v>
          </cell>
          <cell r="P574">
            <v>1.7690756262803572E-3</v>
          </cell>
        </row>
        <row r="575">
          <cell r="B575" t="str">
            <v>CHPOIL</v>
          </cell>
          <cell r="C575" t="str">
            <v>VAR_fout</v>
          </cell>
          <cell r="D575" t="str">
            <v>LTH</v>
          </cell>
          <cell r="E575">
            <v>9.2735964007140872E-3</v>
          </cell>
          <cell r="F575">
            <v>1.4325955223754461E-4</v>
          </cell>
          <cell r="G575">
            <v>5.6954504160711249E-3</v>
          </cell>
          <cell r="H575">
            <v>3.774095125528969E-3</v>
          </cell>
          <cell r="I575">
            <v>5.3470065748280971E-3</v>
          </cell>
          <cell r="J575">
            <v>5.9310059966081992E-3</v>
          </cell>
          <cell r="K575">
            <v>6.0439951155766081E-3</v>
          </cell>
          <cell r="L575">
            <v>9.0563559893555318E-3</v>
          </cell>
          <cell r="M575">
            <v>6.5711939063059777E-3</v>
          </cell>
          <cell r="N575">
            <v>9.0876525562085565E-3</v>
          </cell>
          <cell r="O575">
            <v>6.9465995345448818E-3</v>
          </cell>
          <cell r="P575">
            <v>9.0981032208704068E-3</v>
          </cell>
        </row>
        <row r="576">
          <cell r="B576" t="str">
            <v>CHPOIL</v>
          </cell>
          <cell r="C576" t="str">
            <v>VAR_fout</v>
          </cell>
          <cell r="D576" t="str">
            <v>CO2_E</v>
          </cell>
          <cell r="E576">
            <v>1.61077704041628</v>
          </cell>
          <cell r="F576">
            <v>2.8841772476355301E-2</v>
          </cell>
          <cell r="G576">
            <v>0.84739738034166001</v>
          </cell>
          <cell r="H576">
            <v>0.51892371612017996</v>
          </cell>
          <cell r="I576">
            <v>0.73382111721759802</v>
          </cell>
          <cell r="J576">
            <v>0.78547181197374105</v>
          </cell>
          <cell r="K576">
            <v>0.814091521233271</v>
          </cell>
          <cell r="L576">
            <v>1.2875104619720601</v>
          </cell>
          <cell r="M576">
            <v>0.90812142209163904</v>
          </cell>
          <cell r="N576">
            <v>1.2815011570582899</v>
          </cell>
          <cell r="O576">
            <v>0.97677416176324705</v>
          </cell>
          <cell r="P576">
            <v>1.3464263079832299</v>
          </cell>
        </row>
        <row r="577">
          <cell r="B577" t="str">
            <v>CHPOIL</v>
          </cell>
          <cell r="C577" t="str">
            <v>VAR_fin</v>
          </cell>
          <cell r="D577" t="str">
            <v>ELFO</v>
          </cell>
          <cell r="E577">
            <v>2.1855862149474575E-2</v>
          </cell>
          <cell r="F577">
            <v>3.9134019642273203E-4</v>
          </cell>
          <cell r="G577">
            <v>1.1497929176956034E-2</v>
          </cell>
          <cell r="H577">
            <v>7.0410273557690636E-3</v>
          </cell>
          <cell r="I577">
            <v>9.9568672621112436E-3</v>
          </cell>
          <cell r="J577">
            <v>1.0657690800186446E-2</v>
          </cell>
          <cell r="K577">
            <v>1.1046017927181434E-2</v>
          </cell>
          <cell r="L577">
            <v>1.7469612781167668E-2</v>
          </cell>
          <cell r="M577">
            <v>1.2321864614540552E-2</v>
          </cell>
          <cell r="N577">
            <v>1.7388075401062235E-2</v>
          </cell>
          <cell r="O577">
            <v>1.3253380756624786E-2</v>
          </cell>
          <cell r="P577">
            <v>1.8269013676841601E-2</v>
          </cell>
        </row>
        <row r="578">
          <cell r="B578" t="str">
            <v>CHPOIL</v>
          </cell>
          <cell r="C578" t="str">
            <v>VAR_ncap</v>
          </cell>
          <cell r="D578" t="str">
            <v>-</v>
          </cell>
          <cell r="F578">
            <v>2.51914209249118E-6</v>
          </cell>
          <cell r="G578">
            <v>2.1046220302496302E-6</v>
          </cell>
          <cell r="H578">
            <v>2.39637914331165E-6</v>
          </cell>
          <cell r="I578">
            <v>1.5993397606910999E-5</v>
          </cell>
          <cell r="J578">
            <v>8.4236730992470505E-5</v>
          </cell>
          <cell r="K578">
            <v>1.8908185864681401E-4</v>
          </cell>
          <cell r="L578">
            <v>1.6159116474668501E-4</v>
          </cell>
          <cell r="M578">
            <v>1.1196346609444801E-5</v>
          </cell>
          <cell r="N578">
            <v>2.04125421658345E-4</v>
          </cell>
          <cell r="O578">
            <v>8.7552345633245906E-5</v>
          </cell>
          <cell r="P578">
            <v>4.8744997620715199E-4</v>
          </cell>
        </row>
        <row r="579">
          <cell r="B579" t="str">
            <v>CHPOIL</v>
          </cell>
          <cell r="C579" t="str">
            <v>VAR_cap</v>
          </cell>
          <cell r="D579" t="str">
            <v>-</v>
          </cell>
          <cell r="E579">
            <v>2.0586434646017709E-3</v>
          </cell>
          <cell r="F579">
            <v>7.7943710400247244E-4</v>
          </cell>
          <cell r="G579">
            <v>7.2914170977498097E-4</v>
          </cell>
          <cell r="H579">
            <v>5.631856023608512E-4</v>
          </cell>
          <cell r="I579">
            <v>5.3963927067430303E-4</v>
          </cell>
          <cell r="J579">
            <v>2.8831522615002398E-4</v>
          </cell>
          <cell r="K579">
            <v>2.8925409546819229E-4</v>
          </cell>
          <cell r="L579">
            <v>4.4782643172626305E-4</v>
          </cell>
          <cell r="M579">
            <v>4.3421225620032973E-4</v>
          </cell>
          <cell r="N579">
            <v>5.6102420100249408E-4</v>
          </cell>
          <cell r="O579">
            <v>4.60051814126399E-4</v>
          </cell>
          <cell r="P579">
            <v>7.8450478025010508E-4</v>
          </cell>
        </row>
        <row r="580">
          <cell r="B580" t="str">
            <v>CHPHFC</v>
          </cell>
          <cell r="C580" t="str">
            <v>VAR_fout</v>
          </cell>
          <cell r="D580" t="str">
            <v>ELC35</v>
          </cell>
          <cell r="J580">
            <v>1.8927139312730522E-3</v>
          </cell>
          <cell r="K580">
            <v>1.9329595636958395E-3</v>
          </cell>
          <cell r="L580">
            <v>3.3566977855187521E-3</v>
          </cell>
          <cell r="M580">
            <v>3.374954105947283E-3</v>
          </cell>
          <cell r="N580">
            <v>3.8245540298928023E-2</v>
          </cell>
          <cell r="O580">
            <v>4.0100207031980958E-2</v>
          </cell>
          <cell r="P580">
            <v>4.0636065124901533E-2</v>
          </cell>
        </row>
        <row r="581">
          <cell r="B581" t="str">
            <v>CHPHFC</v>
          </cell>
          <cell r="C581" t="str">
            <v>VAR_fout</v>
          </cell>
          <cell r="D581" t="str">
            <v>LTH</v>
          </cell>
          <cell r="J581">
            <v>2.2982954879744132E-3</v>
          </cell>
          <cell r="K581">
            <v>2.3931880312424623E-3</v>
          </cell>
          <cell r="L581">
            <v>4.2358329198212731E-3</v>
          </cell>
          <cell r="M581">
            <v>4.2588706575048966E-3</v>
          </cell>
          <cell r="N581">
            <v>4.826222942483771E-2</v>
          </cell>
          <cell r="O581">
            <v>5.0602642207023485E-2</v>
          </cell>
          <cell r="P581">
            <v>5.1278844086185167E-2</v>
          </cell>
        </row>
        <row r="582">
          <cell r="B582" t="str">
            <v>CHPHFC</v>
          </cell>
          <cell r="C582" t="str">
            <v>VAR_fin</v>
          </cell>
          <cell r="D582" t="str">
            <v>EH2</v>
          </cell>
          <cell r="J582">
            <v>4.5064617411263146E-3</v>
          </cell>
          <cell r="K582">
            <v>4.6022846754662818E-3</v>
          </cell>
          <cell r="L582">
            <v>7.9921375845684508E-3</v>
          </cell>
          <cell r="M582">
            <v>8.0356050141601916E-3</v>
          </cell>
          <cell r="N582">
            <v>9.1060810235542938E-2</v>
          </cell>
          <cell r="O582">
            <v>9.5476683409478458E-2</v>
          </cell>
          <cell r="P582">
            <v>9.6752536011670193E-2</v>
          </cell>
        </row>
        <row r="583">
          <cell r="B583" t="str">
            <v>CHPHFC</v>
          </cell>
          <cell r="C583" t="str">
            <v>VAR_ncap</v>
          </cell>
          <cell r="D583" t="str">
            <v>-</v>
          </cell>
          <cell r="J583">
            <v>1.56981165879409E-4</v>
          </cell>
          <cell r="K583">
            <v>2.9813582083948801E-5</v>
          </cell>
          <cell r="L583">
            <v>1.46620611566989E-4</v>
          </cell>
          <cell r="M583">
            <v>3.0650408163927901E-6</v>
          </cell>
          <cell r="N583">
            <v>2.0101804477078E-3</v>
          </cell>
          <cell r="O583">
            <v>2.3461647526956999E-5</v>
          </cell>
          <cell r="P583">
            <v>4.21271396811613E-4</v>
          </cell>
        </row>
        <row r="584">
          <cell r="B584" t="str">
            <v>CHPHFC</v>
          </cell>
          <cell r="C584" t="str">
            <v>VAR_cap</v>
          </cell>
          <cell r="D584" t="str">
            <v>-</v>
          </cell>
          <cell r="J584">
            <v>1.56981165879409E-4</v>
          </cell>
          <cell r="K584">
            <v>1.866905023199365E-4</v>
          </cell>
          <cell r="L584">
            <v>3.329539401309164E-4</v>
          </cell>
          <cell r="M584">
            <v>3.1467282758769835E-4</v>
          </cell>
          <cell r="N584">
            <v>2.188322804210377E-3</v>
          </cell>
          <cell r="O584">
            <v>2.181920257410307E-3</v>
          </cell>
          <cell r="P584">
            <v>2.4563162928520777E-3</v>
          </cell>
        </row>
        <row r="585">
          <cell r="B585" t="str">
            <v>ITOT-ESOLPV</v>
          </cell>
          <cell r="C585" t="str">
            <v>VAR_fout</v>
          </cell>
          <cell r="D585" t="str">
            <v>ITOT_SOL_ELC</v>
          </cell>
          <cell r="E585">
            <v>3.517953999707534</v>
          </cell>
          <cell r="F585">
            <v>4.8486223629257434</v>
          </cell>
          <cell r="G585">
            <v>11.927077850684414</v>
          </cell>
          <cell r="H585">
            <v>14.116600821845296</v>
          </cell>
          <cell r="I585">
            <v>14.836697360292424</v>
          </cell>
          <cell r="J585">
            <v>15.593517416461676</v>
          </cell>
          <cell r="K585">
            <v>16.388945344742538</v>
          </cell>
          <cell r="L585">
            <v>17.224949043055599</v>
          </cell>
          <cell r="M585">
            <v>18.103597582950265</v>
          </cell>
          <cell r="N585">
            <v>19.027068944121876</v>
          </cell>
          <cell r="O585">
            <v>19.997650575076346</v>
          </cell>
          <cell r="P585">
            <v>21.017784969573515</v>
          </cell>
        </row>
        <row r="586">
          <cell r="B586" t="str">
            <v>ITOT-ESOLPV</v>
          </cell>
          <cell r="C586" t="str">
            <v>VAR_fin</v>
          </cell>
          <cell r="D586" t="str">
            <v>SOL</v>
          </cell>
          <cell r="E586">
            <v>3.517953999707534</v>
          </cell>
          <cell r="F586">
            <v>4.8486223629257434</v>
          </cell>
          <cell r="G586">
            <v>11.927077850684414</v>
          </cell>
          <cell r="H586">
            <v>14.116600821845296</v>
          </cell>
          <cell r="I586">
            <v>14.836697360292424</v>
          </cell>
          <cell r="J586">
            <v>15.593517416461676</v>
          </cell>
          <cell r="K586">
            <v>16.388945344742538</v>
          </cell>
          <cell r="L586">
            <v>17.224949043055599</v>
          </cell>
          <cell r="M586">
            <v>18.103597582950265</v>
          </cell>
          <cell r="N586">
            <v>19.027068944121876</v>
          </cell>
          <cell r="O586">
            <v>19.997650575076346</v>
          </cell>
          <cell r="P586">
            <v>21.017784969573515</v>
          </cell>
        </row>
        <row r="587">
          <cell r="B587" t="str">
            <v>ITOT-ESOLPV</v>
          </cell>
          <cell r="C587" t="str">
            <v>VAR_fin</v>
          </cell>
          <cell r="D587" t="str">
            <v>SOLPVC</v>
          </cell>
          <cell r="E587">
            <v>3.51795399970753</v>
          </cell>
          <cell r="F587">
            <v>4.8486223629257399</v>
          </cell>
          <cell r="G587">
            <v>11.9270778506844</v>
          </cell>
          <cell r="H587">
            <v>14.116600821845299</v>
          </cell>
          <cell r="I587">
            <v>14.836697360292399</v>
          </cell>
          <cell r="J587">
            <v>15.593517416461699</v>
          </cell>
          <cell r="K587">
            <v>16.388945344742499</v>
          </cell>
          <cell r="L587">
            <v>17.224949043055599</v>
          </cell>
          <cell r="M587">
            <v>18.1035975829503</v>
          </cell>
          <cell r="N587">
            <v>19.027068944121901</v>
          </cell>
          <cell r="O587">
            <v>19.9976505750763</v>
          </cell>
          <cell r="P587">
            <v>21.017784969573501</v>
          </cell>
        </row>
        <row r="588">
          <cell r="B588" t="str">
            <v>ITOT-ESOLPV</v>
          </cell>
          <cell r="C588" t="str">
            <v>VAR_ncap</v>
          </cell>
          <cell r="D588" t="str">
            <v>-</v>
          </cell>
          <cell r="F588">
            <v>4.93167213532643E-8</v>
          </cell>
          <cell r="G588">
            <v>1.7679686917703199</v>
          </cell>
          <cell r="H588">
            <v>2.06862079636306E-6</v>
          </cell>
          <cell r="I588">
            <v>0.690526389064823</v>
          </cell>
          <cell r="J588">
            <v>0.80694907906412705</v>
          </cell>
          <cell r="K588">
            <v>2.24380038040582</v>
          </cell>
          <cell r="L588">
            <v>0.51996424831898702</v>
          </cell>
          <cell r="M588">
            <v>0.80519370497306697</v>
          </cell>
          <cell r="N588">
            <v>1.13810380175954</v>
          </cell>
          <cell r="O588">
            <v>2.4839113114795701</v>
          </cell>
          <cell r="P588">
            <v>0.77233509440153902</v>
          </cell>
        </row>
        <row r="589">
          <cell r="B589" t="str">
            <v>ITOT-ESOLPV</v>
          </cell>
          <cell r="C589" t="str">
            <v>VAR_cap</v>
          </cell>
          <cell r="D589" t="str">
            <v>-</v>
          </cell>
          <cell r="E589">
            <v>1.1186210000000001</v>
          </cell>
          <cell r="F589">
            <v>1.6529270639037714</v>
          </cell>
          <cell r="G589">
            <v>3.5611897410870399</v>
          </cell>
          <cell r="H589">
            <v>3.4922759129037297</v>
          </cell>
          <cell r="I589">
            <v>3.6704190558322201</v>
          </cell>
          <cell r="J589">
            <v>3.857646883443381</v>
          </cell>
          <cell r="K589">
            <v>4.0544232763261698</v>
          </cell>
          <cell r="L589">
            <v>4.2612400968537498</v>
          </cell>
          <cell r="M589">
            <v>4.4786068814762503</v>
          </cell>
          <cell r="N589">
            <v>4.7070621354574103</v>
          </cell>
          <cell r="O589">
            <v>4.9471730665311604</v>
          </cell>
          <cell r="P589">
            <v>5.1995439126137102</v>
          </cell>
        </row>
        <row r="590">
          <cell r="B590" t="str">
            <v>RHNS-CHPNGA</v>
          </cell>
          <cell r="C590" t="str">
            <v>VAR_fout</v>
          </cell>
          <cell r="D590" t="str">
            <v>CO2_R</v>
          </cell>
          <cell r="F590">
            <v>9.7627333637914607E-2</v>
          </cell>
          <cell r="G590">
            <v>0.429402601555605</v>
          </cell>
          <cell r="H590">
            <v>0.38112110903990998</v>
          </cell>
          <cell r="I590">
            <v>1.0473430453438799</v>
          </cell>
          <cell r="J590">
            <v>0.993988819750521</v>
          </cell>
          <cell r="K590">
            <v>1.8549774847307099</v>
          </cell>
          <cell r="L590">
            <v>2.7473482476098199</v>
          </cell>
          <cell r="M590">
            <v>2.2046580684308501</v>
          </cell>
          <cell r="N590">
            <v>2.5625597949041801</v>
          </cell>
          <cell r="O590">
            <v>1.3732764743358501</v>
          </cell>
          <cell r="P590">
            <v>1.7020291809261201</v>
          </cell>
        </row>
        <row r="591">
          <cell r="B591" t="str">
            <v>RHNS-CHPNGA</v>
          </cell>
          <cell r="C591" t="str">
            <v>VAR_fout</v>
          </cell>
          <cell r="D591" t="str">
            <v>RHNS_LTH_CHPNGA</v>
          </cell>
          <cell r="F591">
            <v>1.1060337249697676E-3</v>
          </cell>
          <cell r="G591">
            <v>3.5368208677419542E-3</v>
          </cell>
          <cell r="H591">
            <v>3.4509367871583142E-3</v>
          </cell>
          <cell r="I591">
            <v>9.9930239006568982E-3</v>
          </cell>
          <cell r="J591">
            <v>9.6040789716112969E-3</v>
          </cell>
          <cell r="K591">
            <v>1.9187103783046867E-2</v>
          </cell>
          <cell r="L591">
            <v>2.7160292198926073E-2</v>
          </cell>
          <cell r="M591">
            <v>2.2894764043346321E-2</v>
          </cell>
          <cell r="N591">
            <v>2.5072179233259398E-2</v>
          </cell>
          <cell r="O591">
            <v>1.3058889923891171E-2</v>
          </cell>
          <cell r="P591">
            <v>1.3981291771103823E-2</v>
          </cell>
        </row>
        <row r="592">
          <cell r="B592" t="str">
            <v>RHNS-CHPNGA</v>
          </cell>
          <cell r="C592" t="str">
            <v>VAR_fout</v>
          </cell>
          <cell r="D592" t="str">
            <v>RHNS_NKEV_GAS_ELC_CHP</v>
          </cell>
          <cell r="F592">
            <v>4.6412161194335212E-4</v>
          </cell>
          <cell r="G592">
            <v>1.5072359504018664E-3</v>
          </cell>
          <cell r="H592">
            <v>1.5097848443817584E-3</v>
          </cell>
          <cell r="I592">
            <v>4.4106377614624983E-3</v>
          </cell>
          <cell r="J592">
            <v>4.2768164170456568E-3</v>
          </cell>
          <cell r="K592">
            <v>8.6858229640905012E-3</v>
          </cell>
          <cell r="L592">
            <v>1.250235672648977E-2</v>
          </cell>
          <cell r="M592">
            <v>1.0538859639000678E-2</v>
          </cell>
          <cell r="N592">
            <v>1.1541161869278111E-2</v>
          </cell>
          <cell r="O592">
            <v>6.0112350443308499E-3</v>
          </cell>
          <cell r="P592">
            <v>6.4358327200319176E-3</v>
          </cell>
        </row>
        <row r="593">
          <cell r="B593" t="str">
            <v>RHNS-CHPNGA</v>
          </cell>
          <cell r="C593" t="str">
            <v>VAR_fin</v>
          </cell>
          <cell r="D593" t="str">
            <v>RNGA</v>
          </cell>
          <cell r="F593">
            <v>1.7309810928708273E-3</v>
          </cell>
          <cell r="G593">
            <v>7.613521304177388E-3</v>
          </cell>
          <cell r="H593">
            <v>6.7574664723388175E-3</v>
          </cell>
          <cell r="I593">
            <v>1.8569912151487181E-2</v>
          </cell>
          <cell r="J593">
            <v>1.7623915243803554E-2</v>
          </cell>
          <cell r="K593">
            <v>3.2889671715083502E-2</v>
          </cell>
          <cell r="L593">
            <v>4.8711848361876316E-2</v>
          </cell>
          <cell r="M593">
            <v>3.9089682064376713E-2</v>
          </cell>
          <cell r="N593">
            <v>4.5435457356457015E-2</v>
          </cell>
          <cell r="O593">
            <v>2.4348873658437003E-2</v>
          </cell>
          <cell r="P593">
            <v>3.0177822356846136E-2</v>
          </cell>
        </row>
        <row r="594">
          <cell r="B594" t="str">
            <v>RHNS-CHPNGA</v>
          </cell>
          <cell r="C594" t="str">
            <v>VAR_ncap</v>
          </cell>
          <cell r="D594" t="str">
            <v>-</v>
          </cell>
          <cell r="F594">
            <v>4.5369722246672102E-5</v>
          </cell>
          <cell r="G594">
            <v>8.8547325337728103E-5</v>
          </cell>
          <cell r="H594">
            <v>3.4686847700637701E-7</v>
          </cell>
          <cell r="I594">
            <v>2.5798182328325299E-4</v>
          </cell>
          <cell r="J594">
            <v>5.5767034891252903E-6</v>
          </cell>
          <cell r="K594">
            <v>4.9277008739557896E-4</v>
          </cell>
          <cell r="L594">
            <v>3.5530461314041097E-4</v>
          </cell>
          <cell r="M594">
            <v>5.8025484186118001E-6</v>
          </cell>
          <cell r="N594">
            <v>1.7232571490464701E-4</v>
          </cell>
          <cell r="O594">
            <v>1.21219322569808E-6</v>
          </cell>
          <cell r="P594">
            <v>3.9329274891714098E-4</v>
          </cell>
        </row>
        <row r="595">
          <cell r="B595" t="str">
            <v>RHNS-CHPNGA</v>
          </cell>
          <cell r="C595" t="str">
            <v>VAR_cap</v>
          </cell>
          <cell r="D595" t="str">
            <v>-</v>
          </cell>
          <cell r="F595">
            <v>4.5369722246672102E-5</v>
          </cell>
          <cell r="G595">
            <v>1.3391704758439999E-4</v>
          </cell>
          <cell r="H595">
            <v>1.3424655123794475E-4</v>
          </cell>
          <cell r="I595">
            <v>3.9217188425110373E-4</v>
          </cell>
          <cell r="J595">
            <v>3.8019934042693752E-4</v>
          </cell>
          <cell r="K595">
            <v>7.7211298948181661E-4</v>
          </cell>
          <cell r="L595">
            <v>1.1114985637817011E-3</v>
          </cell>
          <cell r="M595">
            <v>9.3683773173628836E-4</v>
          </cell>
          <cell r="N595">
            <v>1.0260223295630478E-3</v>
          </cell>
          <cell r="O595">
            <v>5.3444115609818849E-4</v>
          </cell>
          <cell r="P595">
            <v>5.7235970552471042E-4</v>
          </cell>
        </row>
        <row r="596">
          <cell r="B596" t="str">
            <v>ENUC_BEZ</v>
          </cell>
          <cell r="C596" t="str">
            <v>VAR_fout</v>
          </cell>
          <cell r="D596" t="str">
            <v>ELC</v>
          </cell>
          <cell r="E596">
            <v>20.224802839899429</v>
          </cell>
          <cell r="F596">
            <v>20.224790823987913</v>
          </cell>
          <cell r="G596">
            <v>18.914970202299916</v>
          </cell>
          <cell r="H596">
            <v>16.114834143348116</v>
          </cell>
        </row>
        <row r="597">
          <cell r="B597" t="str">
            <v>ENUC_BEZ</v>
          </cell>
          <cell r="C597" t="str">
            <v>VAR_fin</v>
          </cell>
          <cell r="D597" t="str">
            <v>URN</v>
          </cell>
          <cell r="E597">
            <v>60.972103586601982</v>
          </cell>
          <cell r="F597">
            <v>60.972067362001539</v>
          </cell>
          <cell r="G597">
            <v>57.023325846070669</v>
          </cell>
          <cell r="H597">
            <v>48.581701609013948</v>
          </cell>
        </row>
        <row r="598">
          <cell r="B598" t="str">
            <v>ENUC_BEZ</v>
          </cell>
          <cell r="C598" t="str">
            <v>VAR_cap</v>
          </cell>
          <cell r="D598" t="str">
            <v>-</v>
          </cell>
          <cell r="E598">
            <v>0.72999996029022607</v>
          </cell>
          <cell r="F598">
            <v>0.72999974724750483</v>
          </cell>
          <cell r="G598">
            <v>0.72719392999917909</v>
          </cell>
          <cell r="H598">
            <v>0.58165381846512354</v>
          </cell>
        </row>
        <row r="599">
          <cell r="B599" t="str">
            <v>RHNM-CHPWOD</v>
          </cell>
          <cell r="C599" t="str">
            <v>VAR_fout</v>
          </cell>
          <cell r="D599" t="str">
            <v>RHNM_LTH_CHPWOD</v>
          </cell>
          <cell r="H599">
            <v>5.5680385239230846E-3</v>
          </cell>
          <cell r="I599">
            <v>6.6064481549855721E-3</v>
          </cell>
          <cell r="J599">
            <v>5.8946309026416122E-3</v>
          </cell>
          <cell r="K599">
            <v>5.9682527613447046E-3</v>
          </cell>
          <cell r="L599">
            <v>1.6863568812603764E-2</v>
          </cell>
          <cell r="M599">
            <v>1.6025059556020391E-2</v>
          </cell>
          <cell r="N599">
            <v>1.4494223864075589E-2</v>
          </cell>
          <cell r="O599">
            <v>1.2476609776449352E-2</v>
          </cell>
          <cell r="P599">
            <v>2.1792095881395704E-2</v>
          </cell>
        </row>
        <row r="600">
          <cell r="B600" t="str">
            <v>RHNM-CHPWOD</v>
          </cell>
          <cell r="C600" t="str">
            <v>VAR_fout</v>
          </cell>
          <cell r="D600" t="str">
            <v>RHNM_KEV_WOD_ELC_CHP</v>
          </cell>
          <cell r="H600">
            <v>2.0931700376970097E-3</v>
          </cell>
          <cell r="I600">
            <v>2.4835351397445734E-3</v>
          </cell>
          <cell r="J600">
            <v>2.2159445800671211E-3</v>
          </cell>
          <cell r="K600">
            <v>2.2436209454684687E-3</v>
          </cell>
          <cell r="L600">
            <v>6.3394527202936327E-3</v>
          </cell>
          <cell r="M600">
            <v>6.0242353516150732E-3</v>
          </cell>
          <cell r="N600">
            <v>5.4487545266802629E-3</v>
          </cell>
          <cell r="O600">
            <v>4.690281082628177E-3</v>
          </cell>
          <cell r="P600">
            <v>8.192213822080234E-3</v>
          </cell>
        </row>
        <row r="601">
          <cell r="B601" t="str">
            <v>RHNM-CHPWOD</v>
          </cell>
          <cell r="C601" t="str">
            <v>VAR_fin</v>
          </cell>
          <cell r="D601" t="str">
            <v>RWOD</v>
          </cell>
          <cell r="H601">
            <v>8.6607753926407401E-3</v>
          </cell>
          <cell r="I601">
            <v>1.0151180676222062E-2</v>
          </cell>
          <cell r="J601">
            <v>8.9666319468638834E-3</v>
          </cell>
          <cell r="K601">
            <v>9.0008348722437018E-3</v>
          </cell>
          <cell r="L601">
            <v>2.4738838727947254E-2</v>
          </cell>
          <cell r="M601">
            <v>2.238903729373555E-2</v>
          </cell>
          <cell r="N601">
            <v>2.1401544142542861E-2</v>
          </cell>
          <cell r="O601">
            <v>1.8357740927136722E-2</v>
          </cell>
          <cell r="P601">
            <v>3.3197795144695681E-2</v>
          </cell>
        </row>
        <row r="602">
          <cell r="B602" t="str">
            <v>RHNM-CHPWOD</v>
          </cell>
          <cell r="C602" t="str">
            <v>VAR_ncap</v>
          </cell>
          <cell r="D602" t="str">
            <v>-</v>
          </cell>
          <cell r="H602">
            <v>1.55418094931438E-4</v>
          </cell>
          <cell r="I602">
            <v>2.9369005611430899E-5</v>
          </cell>
          <cell r="J602">
            <v>9.9277974783484096E-6</v>
          </cell>
          <cell r="K602">
            <v>1.27726672971267E-4</v>
          </cell>
          <cell r="L602">
            <v>3.3351591810202002E-4</v>
          </cell>
          <cell r="M602">
            <v>1.81964845159683E-6</v>
          </cell>
          <cell r="N602">
            <v>7.0186974464345704E-5</v>
          </cell>
          <cell r="O602">
            <v>2.1845466218457701E-4</v>
          </cell>
          <cell r="P602">
            <v>3.2101581828063299E-4</v>
          </cell>
        </row>
        <row r="603">
          <cell r="B603" t="str">
            <v>RHNM-CHPWOD</v>
          </cell>
          <cell r="C603" t="str">
            <v>VAR_cap</v>
          </cell>
          <cell r="D603" t="str">
            <v>-</v>
          </cell>
          <cell r="H603">
            <v>1.55418094931438E-4</v>
          </cell>
          <cell r="I603">
            <v>1.8473709284318833E-4</v>
          </cell>
          <cell r="J603">
            <v>1.6492584512453219E-4</v>
          </cell>
          <cell r="K603">
            <v>1.6683360369531696E-4</v>
          </cell>
          <cell r="L603">
            <v>4.7085766790932283E-4</v>
          </cell>
          <cell r="M603">
            <v>4.4726904020451612E-4</v>
          </cell>
          <cell r="N603">
            <v>4.051420332217501E-4</v>
          </cell>
          <cell r="O603">
            <v>3.4843274444937278E-4</v>
          </cell>
          <cell r="P603">
            <v>6.0924071501838851E-4</v>
          </cell>
        </row>
        <row r="604">
          <cell r="B604" t="str">
            <v>RHNM-SHSTG-CHPNGA</v>
          </cell>
          <cell r="C604" t="str">
            <v>VAR_fout</v>
          </cell>
          <cell r="D604" t="str">
            <v>AUX_RNM-CHPNGA_OUT</v>
          </cell>
          <cell r="E604">
            <v>3.3400888845712461E-4</v>
          </cell>
          <cell r="F604">
            <v>1.0479050283325715E-4</v>
          </cell>
          <cell r="G604">
            <v>3.4436753451901852E-3</v>
          </cell>
          <cell r="H604">
            <v>9.437039677646597E-2</v>
          </cell>
          <cell r="I604">
            <v>0.10469954542727172</v>
          </cell>
          <cell r="J604">
            <v>7.5083704014339114E-2</v>
          </cell>
          <cell r="K604">
            <v>8.5252042508917006E-2</v>
          </cell>
          <cell r="L604">
            <v>7.8427929164379323E-2</v>
          </cell>
          <cell r="M604">
            <v>7.3058371037693595E-2</v>
          </cell>
          <cell r="N604">
            <v>0.11120317278143335</v>
          </cell>
          <cell r="O604">
            <v>4.5731314588358864E-2</v>
          </cell>
          <cell r="P604">
            <v>8.1015500432825072E-2</v>
          </cell>
        </row>
        <row r="605">
          <cell r="B605" t="str">
            <v>RHNM-SHSTG-CHPNGA</v>
          </cell>
          <cell r="C605" t="str">
            <v>VAR_fout</v>
          </cell>
          <cell r="D605" t="str">
            <v>RHNM_LTH_CHPNGA</v>
          </cell>
          <cell r="E605">
            <v>3.3400888845712369E-4</v>
          </cell>
          <cell r="F605">
            <v>1.0486036316847904E-4</v>
          </cell>
          <cell r="G605">
            <v>3.447262507008087E-3</v>
          </cell>
          <cell r="H605">
            <v>9.437039677646597E-2</v>
          </cell>
          <cell r="I605">
            <v>0.10479577662711273</v>
          </cell>
          <cell r="J605">
            <v>7.5083704014338878E-2</v>
          </cell>
          <cell r="K605">
            <v>8.532169287044368E-2</v>
          </cell>
          <cell r="L605">
            <v>7.842792916437924E-2</v>
          </cell>
          <cell r="M605">
            <v>7.3058371037693484E-2</v>
          </cell>
          <cell r="N605">
            <v>0.11120317278143331</v>
          </cell>
          <cell r="O605">
            <v>4.5731314588358843E-2</v>
          </cell>
          <cell r="P605">
            <v>8.1015500432825002E-2</v>
          </cell>
        </row>
        <row r="606">
          <cell r="B606" t="str">
            <v>RHNM-SHSTG-CHPNGA</v>
          </cell>
          <cell r="C606" t="str">
            <v>VAR_fin</v>
          </cell>
          <cell r="D606" t="str">
            <v>AUX_RNM-CHPNGA_IN</v>
          </cell>
          <cell r="E606">
            <v>2.5763297712814184E-4</v>
          </cell>
          <cell r="F606">
            <v>1.4166263586502068E-4</v>
          </cell>
          <cell r="G606">
            <v>4.4405703883274106E-3</v>
          </cell>
          <cell r="H606">
            <v>0.11795721884298641</v>
          </cell>
          <cell r="I606">
            <v>0.12702540598766215</v>
          </cell>
          <cell r="J606">
            <v>8.8335991400807334E-2</v>
          </cell>
          <cell r="K606">
            <v>9.751495008196219E-2</v>
          </cell>
          <cell r="L606">
            <v>8.714525427700115E-2</v>
          </cell>
          <cell r="M606">
            <v>8.1180856158387188E-2</v>
          </cell>
          <cell r="N606">
            <v>0.12355996965713893</v>
          </cell>
          <cell r="O606">
            <v>5.0814704858093779E-2</v>
          </cell>
          <cell r="P606">
            <v>9.0018644765317055E-2</v>
          </cell>
        </row>
        <row r="607">
          <cell r="B607" t="str">
            <v>RHNM-SHSTG-CHPNGA</v>
          </cell>
          <cell r="C607" t="str">
            <v>VAR_fin</v>
          </cell>
          <cell r="D607" t="str">
            <v>RHNM_LTH_CHPNGA</v>
          </cell>
          <cell r="E607">
            <v>2.5763297712814184E-4</v>
          </cell>
          <cell r="F607">
            <v>1.4166263586502068E-4</v>
          </cell>
          <cell r="G607">
            <v>4.4405703883274106E-3</v>
          </cell>
          <cell r="H607">
            <v>0.11795721884298641</v>
          </cell>
          <cell r="I607">
            <v>0.12702540598766215</v>
          </cell>
          <cell r="J607">
            <v>8.8335991400807334E-2</v>
          </cell>
          <cell r="K607">
            <v>9.751495008196219E-2</v>
          </cell>
          <cell r="L607">
            <v>8.714525427700115E-2</v>
          </cell>
          <cell r="M607">
            <v>8.1180856158387188E-2</v>
          </cell>
          <cell r="N607">
            <v>0.12355996965713893</v>
          </cell>
          <cell r="O607">
            <v>5.0814704858093779E-2</v>
          </cell>
          <cell r="P607">
            <v>9.0018644765317055E-2</v>
          </cell>
        </row>
        <row r="608">
          <cell r="B608" t="str">
            <v>RHNM-SHSTG-CHPNGA</v>
          </cell>
          <cell r="C608" t="str">
            <v>VAR_ncap</v>
          </cell>
          <cell r="D608" t="str">
            <v>-</v>
          </cell>
          <cell r="E608">
            <v>3.2103418341620201E-3</v>
          </cell>
          <cell r="F608">
            <v>1.0583061378488299E-4</v>
          </cell>
          <cell r="G608">
            <v>2.37619177785574E-4</v>
          </cell>
          <cell r="H608">
            <v>3.6701896062425902E-2</v>
          </cell>
          <cell r="I608">
            <v>3.05979368605535E-3</v>
          </cell>
          <cell r="J608">
            <v>1.6591012719959499E-3</v>
          </cell>
          <cell r="K608">
            <v>2.12790839044797E-2</v>
          </cell>
          <cell r="L608">
            <v>9.8236563347422305E-3</v>
          </cell>
          <cell r="M608">
            <v>9.0792417660350705E-3</v>
          </cell>
          <cell r="N608">
            <v>3.56506919534493E-3</v>
          </cell>
          <cell r="O608">
            <v>8.0358545569728405E-4</v>
          </cell>
          <cell r="P608">
            <v>6.7519053655533999E-3</v>
          </cell>
        </row>
        <row r="609">
          <cell r="B609" t="str">
            <v>RHNM-SHSTG-CHPNGA</v>
          </cell>
          <cell r="C609" t="str">
            <v>VAR_cap</v>
          </cell>
          <cell r="D609" t="str">
            <v>-</v>
          </cell>
          <cell r="E609">
            <v>3.2103418341620201E-3</v>
          </cell>
          <cell r="F609">
            <v>3.3110352089518597E-3</v>
          </cell>
          <cell r="G609">
            <v>3.5344252361188722E-3</v>
          </cell>
          <cell r="H609">
            <v>4.0201932699140609E-2</v>
          </cell>
          <cell r="I609">
            <v>4.0815392564221613E-2</v>
          </cell>
          <cell r="J609">
            <v>3.4445219884255245E-2</v>
          </cell>
          <cell r="K609">
            <v>2.5964481754431702E-2</v>
          </cell>
          <cell r="L609">
            <v>3.271880283836872E-2</v>
          </cell>
          <cell r="M609">
            <v>3.7521435048005383E-2</v>
          </cell>
          <cell r="N609">
            <v>2.2413625824622533E-2</v>
          </cell>
          <cell r="O609">
            <v>1.2218673345271427E-2</v>
          </cell>
          <cell r="P609">
            <v>1.1064816227936898E-2</v>
          </cell>
        </row>
        <row r="610">
          <cell r="B610" t="str">
            <v>CT_CWODBDS</v>
          </cell>
          <cell r="C610" t="str">
            <v>VAR_fout</v>
          </cell>
          <cell r="D610" t="str">
            <v>BDS</v>
          </cell>
          <cell r="E610">
            <v>0.6280324052813665</v>
          </cell>
          <cell r="F610">
            <v>0.63726163748484699</v>
          </cell>
          <cell r="G610">
            <v>0.63091909888992825</v>
          </cell>
          <cell r="H610">
            <v>3.863059565957575E-4</v>
          </cell>
          <cell r="I610">
            <v>3.0772662581496314E-4</v>
          </cell>
          <cell r="J610">
            <v>7.6578949243698063E-4</v>
          </cell>
          <cell r="K610">
            <v>9.6302342172668377E-4</v>
          </cell>
          <cell r="L610">
            <v>0.20859626447189672</v>
          </cell>
          <cell r="M610">
            <v>0.28518723936851592</v>
          </cell>
          <cell r="N610">
            <v>0.46505199359218613</v>
          </cell>
          <cell r="O610">
            <v>1.3152165971102321</v>
          </cell>
          <cell r="P610">
            <v>1.578957369024607</v>
          </cell>
        </row>
        <row r="611">
          <cell r="B611" t="str">
            <v>CT_CWODBDS</v>
          </cell>
          <cell r="C611" t="str">
            <v>VAR_fout</v>
          </cell>
          <cell r="D611" t="str">
            <v>LTH</v>
          </cell>
          <cell r="E611">
            <v>0.24493263805973267</v>
          </cell>
          <cell r="F611">
            <v>0.24853203861908998</v>
          </cell>
          <cell r="G611">
            <v>0.24605844856707182</v>
          </cell>
          <cell r="H611">
            <v>1.5065932307234512E-4</v>
          </cell>
          <cell r="I611">
            <v>1.2001338406783545E-4</v>
          </cell>
          <cell r="J611">
            <v>2.9865790205042217E-4</v>
          </cell>
          <cell r="K611">
            <v>3.7557913447340628E-4</v>
          </cell>
          <cell r="L611">
            <v>8.1352543144039682E-2</v>
          </cell>
          <cell r="M611">
            <v>0.11122302335372099</v>
          </cell>
          <cell r="N611">
            <v>0.18137027750095241</v>
          </cell>
          <cell r="O611">
            <v>0.51293447287298999</v>
          </cell>
          <cell r="P611">
            <v>0.61579337391959543</v>
          </cell>
        </row>
        <row r="612">
          <cell r="B612" t="str">
            <v>CT_CWODBDS</v>
          </cell>
          <cell r="C612" t="str">
            <v>VAR_fin</v>
          </cell>
          <cell r="D612" t="str">
            <v>CWOD</v>
          </cell>
          <cell r="E612">
            <v>1.7895783388492545</v>
          </cell>
          <cell r="F612">
            <v>1.8158770360130703</v>
          </cell>
          <cell r="G612">
            <v>1.7978039722868513</v>
          </cell>
          <cell r="H612">
            <v>1.100778823319611E-3</v>
          </cell>
          <cell r="I612">
            <v>8.7686702025973782E-4</v>
          </cell>
          <cell r="J612">
            <v>2.1821171586991765E-3</v>
          </cell>
          <cell r="K612">
            <v>2.7441352402101855E-3</v>
          </cell>
          <cell r="L612">
            <v>0.59439505561267014</v>
          </cell>
          <cell r="M612">
            <v>0.81264103858058567</v>
          </cell>
          <cell r="N612">
            <v>1.3251656557409333</v>
          </cell>
          <cell r="O612">
            <v>3.7477096934656089</v>
          </cell>
          <cell r="P612">
            <v>4.499239023035611</v>
          </cell>
        </row>
        <row r="613">
          <cell r="B613" t="str">
            <v>CT_CWODBDS</v>
          </cell>
          <cell r="C613" t="str">
            <v>VAR_fin</v>
          </cell>
          <cell r="D613" t="str">
            <v>CELC</v>
          </cell>
          <cell r="E613">
            <v>4.3648252167054959E-2</v>
          </cell>
          <cell r="F613">
            <v>4.4289683805196843E-2</v>
          </cell>
          <cell r="G613">
            <v>4.3848877372850044E-2</v>
          </cell>
          <cell r="H613">
            <v>2.6848263983405144E-5</v>
          </cell>
          <cell r="I613">
            <v>2.1387000494139957E-5</v>
          </cell>
          <cell r="J613">
            <v>5.3222369724370144E-5</v>
          </cell>
          <cell r="K613">
            <v>6.6930127810004508E-5</v>
          </cell>
          <cell r="L613">
            <v>1.4497440380796842E-2</v>
          </cell>
          <cell r="M613">
            <v>1.982051313611187E-2</v>
          </cell>
          <cell r="N613">
            <v>3.2321113554656909E-2</v>
          </cell>
          <cell r="O613">
            <v>9.1407553499161118E-2</v>
          </cell>
          <cell r="P613">
            <v>0.10973753714721003</v>
          </cell>
        </row>
        <row r="614">
          <cell r="B614" t="str">
            <v>CT_CWODBDS</v>
          </cell>
          <cell r="C614" t="str">
            <v>VAR_ncap</v>
          </cell>
          <cell r="D614" t="str">
            <v>-</v>
          </cell>
          <cell r="E614">
            <v>2.0316610250016701E-7</v>
          </cell>
          <cell r="F614">
            <v>1.4962182786023501E-7</v>
          </cell>
          <cell r="G614">
            <v>1.42529699252386E-7</v>
          </cell>
          <cell r="H614">
            <v>1.9027190482710101E-7</v>
          </cell>
          <cell r="I614">
            <v>2.3451574191871099E-5</v>
          </cell>
          <cell r="J614">
            <v>2.8360942815753999E-5</v>
          </cell>
          <cell r="K614">
            <v>9.8534695100677892E-6</v>
          </cell>
          <cell r="L614">
            <v>1.0757459711221299E-2</v>
          </cell>
          <cell r="M614">
            <v>3.9914643850609E-3</v>
          </cell>
          <cell r="N614">
            <v>9.35907481679513E-3</v>
          </cell>
          <cell r="O614">
            <v>4.4094488074967297E-2</v>
          </cell>
          <cell r="P614">
            <v>2.44350065692054E-2</v>
          </cell>
        </row>
        <row r="615">
          <cell r="B615" t="str">
            <v>CT_CWODBDS</v>
          </cell>
          <cell r="C615" t="str">
            <v>VAR_cap</v>
          </cell>
          <cell r="D615" t="str">
            <v>-</v>
          </cell>
          <cell r="E615">
            <v>3.3062628789547299E-2</v>
          </cell>
          <cell r="F615">
            <v>3.3045867595601464E-2</v>
          </cell>
          <cell r="G615">
            <v>3.2716908987953812E-2</v>
          </cell>
          <cell r="H615">
            <v>5.2661067220738378E-5</v>
          </cell>
          <cell r="I615">
            <v>3.672218354590015E-5</v>
          </cell>
          <cell r="J615">
            <v>5.1791522470626258E-5</v>
          </cell>
          <cell r="K615">
            <v>6.1370276783352345E-5</v>
          </cell>
          <cell r="L615">
            <v>1.0818031107805151E-2</v>
          </cell>
          <cell r="M615">
            <v>1.4788866876203028E-2</v>
          </cell>
          <cell r="N615">
            <v>2.4116457552523823E-2</v>
          </cell>
          <cell r="O615">
            <v>6.8201050868685817E-2</v>
          </cell>
          <cell r="P615">
            <v>8.1878376313005236E-2</v>
          </cell>
        </row>
        <row r="616">
          <cell r="B616" t="str">
            <v>RHNS-EBAT</v>
          </cell>
          <cell r="C616" t="str">
            <v>VAR_fout</v>
          </cell>
          <cell r="D616" t="str">
            <v>RHNS_ELC</v>
          </cell>
          <cell r="E616">
            <v>1.0179634840713988E-3</v>
          </cell>
          <cell r="F616">
            <v>1.014312012436876E-3</v>
          </cell>
          <cell r="G616">
            <v>1.0165005819712299E-3</v>
          </cell>
          <cell r="H616">
            <v>2.9050287559658401E-2</v>
          </cell>
          <cell r="I616">
            <v>5.0652133779084521E-2</v>
          </cell>
          <cell r="J616">
            <v>5.407515565331502E-2</v>
          </cell>
          <cell r="K616">
            <v>5.9582256069788363E-2</v>
          </cell>
          <cell r="L616">
            <v>6.8513547586847495E-2</v>
          </cell>
          <cell r="M616">
            <v>7.2665727530118851E-2</v>
          </cell>
          <cell r="N616">
            <v>7.1678386719068968E-2</v>
          </cell>
          <cell r="O616">
            <v>6.4818055497655208E-2</v>
          </cell>
          <cell r="P616">
            <v>7.3782512556297822E-2</v>
          </cell>
        </row>
        <row r="617">
          <cell r="B617" t="str">
            <v>RHNS-EBAT</v>
          </cell>
          <cell r="C617" t="str">
            <v>VAR_fout</v>
          </cell>
          <cell r="D617" t="str">
            <v>AUX_RHNS-EBAT_OUT</v>
          </cell>
          <cell r="E617">
            <v>1.0179634840713999E-3</v>
          </cell>
          <cell r="F617">
            <v>1.0143120124368771E-3</v>
          </cell>
          <cell r="G617">
            <v>1.016500581971231E-3</v>
          </cell>
          <cell r="H617">
            <v>2.9050287559658439E-2</v>
          </cell>
          <cell r="I617">
            <v>5.065213377908459E-2</v>
          </cell>
          <cell r="J617">
            <v>5.4075155653315075E-2</v>
          </cell>
          <cell r="K617">
            <v>5.958225606978839E-2</v>
          </cell>
          <cell r="L617">
            <v>6.8513547586847579E-2</v>
          </cell>
          <cell r="M617">
            <v>7.2665727530118907E-2</v>
          </cell>
          <cell r="N617">
            <v>7.1678386719069023E-2</v>
          </cell>
          <cell r="O617">
            <v>6.4818055497655278E-2</v>
          </cell>
          <cell r="P617">
            <v>7.3782512556297905E-2</v>
          </cell>
        </row>
        <row r="618">
          <cell r="B618" t="str">
            <v>RHNS-EBAT</v>
          </cell>
          <cell r="C618" t="str">
            <v>VAR_fin</v>
          </cell>
          <cell r="D618" t="str">
            <v>RHNS_ELC</v>
          </cell>
          <cell r="E618">
            <v>1.1271520431942145E-3</v>
          </cell>
          <cell r="F618">
            <v>1.1234085689104504E-3</v>
          </cell>
          <cell r="G618">
            <v>1.1246427805816301E-3</v>
          </cell>
          <cell r="H618">
            <v>3.2126332644818963E-2</v>
          </cell>
          <cell r="I618">
            <v>5.6015093863518432E-2</v>
          </cell>
          <cell r="J618">
            <v>5.980018867493813E-2</v>
          </cell>
          <cell r="K618">
            <v>6.5890315900046292E-2</v>
          </cell>
          <cell r="L618">
            <v>7.5768400324699017E-2</v>
          </cell>
          <cell r="M618">
            <v>8.035898757711632E-2</v>
          </cell>
          <cell r="N618">
            <v>7.9270394508180395E-2</v>
          </cell>
          <cell r="O618">
            <v>7.168152038665071E-2</v>
          </cell>
          <cell r="P618">
            <v>8.1601563957229062E-2</v>
          </cell>
        </row>
        <row r="619">
          <cell r="B619" t="str">
            <v>RHNS-EBAT</v>
          </cell>
          <cell r="C619" t="str">
            <v>VAR_fin</v>
          </cell>
          <cell r="D619" t="str">
            <v>AUX_RHNS-EBAT_IN</v>
          </cell>
          <cell r="E619">
            <v>1.1271520431942145E-3</v>
          </cell>
          <cell r="F619">
            <v>1.1234085689104504E-3</v>
          </cell>
          <cell r="G619">
            <v>1.1246427805816301E-3</v>
          </cell>
          <cell r="H619">
            <v>3.2126332644818963E-2</v>
          </cell>
          <cell r="I619">
            <v>5.6015093863518432E-2</v>
          </cell>
          <cell r="J619">
            <v>5.980018867493813E-2</v>
          </cell>
          <cell r="K619">
            <v>6.5890315900046292E-2</v>
          </cell>
          <cell r="L619">
            <v>7.5768400324699017E-2</v>
          </cell>
          <cell r="M619">
            <v>8.035898757711632E-2</v>
          </cell>
          <cell r="N619">
            <v>7.9270394508180395E-2</v>
          </cell>
          <cell r="O619">
            <v>7.168152038665071E-2</v>
          </cell>
          <cell r="P619">
            <v>8.1601563957229062E-2</v>
          </cell>
        </row>
        <row r="620">
          <cell r="B620" t="str">
            <v>RHNS-EBAT</v>
          </cell>
          <cell r="C620" t="str">
            <v>VAR_ncap</v>
          </cell>
          <cell r="D620" t="str">
            <v>-</v>
          </cell>
          <cell r="E620">
            <v>4.1275857753621698E-4</v>
          </cell>
          <cell r="F620">
            <v>6.6359619062754197E-7</v>
          </cell>
          <cell r="G620">
            <v>1.9140071691244502E-6</v>
          </cell>
          <cell r="H620">
            <v>2.0552407489098701E-2</v>
          </cell>
          <cell r="I620">
            <v>1.89652066186701E-3</v>
          </cell>
          <cell r="J620">
            <v>1.60008252111008E-2</v>
          </cell>
          <cell r="K620">
            <v>8.8064891888893892E-3</v>
          </cell>
          <cell r="L620">
            <v>1.38167771686245E-2</v>
          </cell>
          <cell r="M620">
            <v>1.1990717038078001E-2</v>
          </cell>
          <cell r="N620">
            <v>1.02931064760006E-2</v>
          </cell>
          <cell r="O620">
            <v>1.4135175317937501E-2</v>
          </cell>
          <cell r="P620">
            <v>9.1453509252959093E-3</v>
          </cell>
        </row>
        <row r="621">
          <cell r="B621" t="str">
            <v>RHNS-EBAT</v>
          </cell>
          <cell r="C621" t="str">
            <v>VAR_cap</v>
          </cell>
          <cell r="D621" t="str">
            <v>-</v>
          </cell>
          <cell r="E621">
            <v>4.1546504437427228E-4</v>
          </cell>
          <cell r="F621">
            <v>4.1589048700338784E-4</v>
          </cell>
          <cell r="G621">
            <v>4.1724489484164999E-4</v>
          </cell>
          <cell r="H621">
            <v>2.085598203915548E-2</v>
          </cell>
          <cell r="I621">
            <v>2.2449541531369785E-2</v>
          </cell>
          <cell r="J621">
            <v>2.2212869897848056E-2</v>
          </cell>
          <cell r="K621">
            <v>2.5790193486017125E-2</v>
          </cell>
          <cell r="L621">
            <v>2.8088093913644537E-2</v>
          </cell>
          <cell r="M621">
            <v>2.9768096017152711E-2</v>
          </cell>
          <cell r="N621">
            <v>2.9361597566906907E-2</v>
          </cell>
          <cell r="O621">
            <v>2.6551199878026677E-2</v>
          </cell>
          <cell r="P621">
            <v>3.0225259870321111E-2</v>
          </cell>
        </row>
        <row r="622">
          <cell r="B622" t="str">
            <v>G-INTC-EXP00-AT</v>
          </cell>
          <cell r="C622" t="str">
            <v>VAR_fout</v>
          </cell>
          <cell r="D622" t="str">
            <v>ELC_E-AT</v>
          </cell>
          <cell r="E622">
            <v>6.2295586541739674</v>
          </cell>
          <cell r="F622">
            <v>6.758635197009591E-4</v>
          </cell>
          <cell r="G622">
            <v>1.1873939520349948E-3</v>
          </cell>
          <cell r="H622">
            <v>1.9439926697101668E-4</v>
          </cell>
          <cell r="I622">
            <v>2.4313228254253336E-4</v>
          </cell>
          <cell r="J622">
            <v>2.2750247653932393E-4</v>
          </cell>
          <cell r="K622">
            <v>2.1719793533314506E-4</v>
          </cell>
          <cell r="L622">
            <v>1.8722801991687078E-4</v>
          </cell>
          <cell r="M622">
            <v>1.9026186505036958E-4</v>
          </cell>
          <cell r="N622">
            <v>2.265603112718215E-4</v>
          </cell>
          <cell r="O622">
            <v>2.1941900855843076E-4</v>
          </cell>
          <cell r="P622">
            <v>4.0704144678345287E-4</v>
          </cell>
        </row>
        <row r="623">
          <cell r="B623" t="str">
            <v>G-INTC-EXP00-AT</v>
          </cell>
          <cell r="C623" t="str">
            <v>VAR_fin</v>
          </cell>
          <cell r="D623" t="str">
            <v>ELC</v>
          </cell>
          <cell r="E623">
            <v>6.2295586541739674</v>
          </cell>
          <cell r="F623">
            <v>6.758635197009591E-4</v>
          </cell>
          <cell r="G623">
            <v>1.1873939520349948E-3</v>
          </cell>
          <cell r="H623">
            <v>1.9439926697101668E-4</v>
          </cell>
          <cell r="I623">
            <v>2.4313228254253336E-4</v>
          </cell>
          <cell r="J623">
            <v>2.2750247653932393E-4</v>
          </cell>
          <cell r="K623">
            <v>2.1719793533314506E-4</v>
          </cell>
          <cell r="L623">
            <v>1.8722801991687078E-4</v>
          </cell>
          <cell r="M623">
            <v>1.9026186505036958E-4</v>
          </cell>
          <cell r="N623">
            <v>2.265603112718215E-4</v>
          </cell>
          <cell r="O623">
            <v>2.1941900855843076E-4</v>
          </cell>
          <cell r="P623">
            <v>4.0704144678345287E-4</v>
          </cell>
        </row>
        <row r="624">
          <cell r="B624" t="str">
            <v>G-INTC-EXP00-AT</v>
          </cell>
          <cell r="C624" t="str">
            <v>VAR_ncap</v>
          </cell>
          <cell r="D624" t="str">
            <v>-</v>
          </cell>
          <cell r="E624">
            <v>4.16421559971382E-7</v>
          </cell>
          <cell r="F624">
            <v>4.5526939576499003E-7</v>
          </cell>
          <cell r="G624">
            <v>5.8688501289992602E-7</v>
          </cell>
          <cell r="H624">
            <v>6.7655196191346397E-7</v>
          </cell>
          <cell r="I624">
            <v>1.67653495725172E-6</v>
          </cell>
          <cell r="J624">
            <v>1.9397500011841499E-6</v>
          </cell>
          <cell r="K624">
            <v>4.0961520041990898E-6</v>
          </cell>
          <cell r="L624">
            <v>4.7050219078909702E-5</v>
          </cell>
          <cell r="M624">
            <v>1.9392628891828001E-5</v>
          </cell>
          <cell r="N624">
            <v>5.2430291745633696E-4</v>
          </cell>
        </row>
        <row r="625">
          <cell r="B625" t="str">
            <v>G-INTC-EXP00-AT</v>
          </cell>
          <cell r="C625" t="str">
            <v>VAR_cap</v>
          </cell>
          <cell r="D625" t="str">
            <v>-</v>
          </cell>
          <cell r="E625">
            <v>0.23094866313753792</v>
          </cell>
          <cell r="F625">
            <v>5.5025425332000388E-4</v>
          </cell>
          <cell r="G625">
            <v>5.4865778845991642E-4</v>
          </cell>
          <cell r="H625">
            <v>5.4545575774023192E-4</v>
          </cell>
          <cell r="I625">
            <v>5.3398093125500701E-4</v>
          </cell>
          <cell r="J625">
            <v>5.2729084428038142E-4</v>
          </cell>
          <cell r="K625">
            <v>5.2651126941571924E-4</v>
          </cell>
          <cell r="L625">
            <v>5.1877704017910808E-4</v>
          </cell>
          <cell r="M625">
            <v>5.3016378349401982E-4</v>
          </cell>
          <cell r="N625">
            <v>5.9155531720000987E-4</v>
          </cell>
          <cell r="O625">
            <v>6.1337558295382344E-4</v>
          </cell>
          <cell r="P625">
            <v>1.1516927746804129E-3</v>
          </cell>
        </row>
        <row r="626">
          <cell r="B626" t="str">
            <v>ENUC_LRG_GOE</v>
          </cell>
          <cell r="C626" t="str">
            <v>VAR_fout</v>
          </cell>
          <cell r="D626" t="str">
            <v>LTH</v>
          </cell>
          <cell r="K626">
            <v>7.5861426607277668E-2</v>
          </cell>
          <cell r="L626">
            <v>0.36197995145723938</v>
          </cell>
          <cell r="M626">
            <v>0.37904046774446165</v>
          </cell>
          <cell r="N626">
            <v>0.47145915605814215</v>
          </cell>
          <cell r="O626">
            <v>0.48956860080682613</v>
          </cell>
          <cell r="P626">
            <v>0.45221851198630075</v>
          </cell>
        </row>
        <row r="627">
          <cell r="B627" t="str">
            <v>ENUC_LRG_GOE</v>
          </cell>
          <cell r="C627" t="str">
            <v>VAR_fout</v>
          </cell>
          <cell r="D627" t="str">
            <v>ELC</v>
          </cell>
          <cell r="K627">
            <v>3.6327311617190813E-2</v>
          </cell>
          <cell r="L627">
            <v>0.24739932056503167</v>
          </cell>
          <cell r="M627">
            <v>0.24752815627805569</v>
          </cell>
          <cell r="N627">
            <v>0.31336826037329574</v>
          </cell>
          <cell r="O627">
            <v>0.2986717585147709</v>
          </cell>
          <cell r="P627">
            <v>0.33969731839434797</v>
          </cell>
        </row>
        <row r="628">
          <cell r="B628" t="str">
            <v>ENUC_LRG_GOE</v>
          </cell>
          <cell r="C628" t="str">
            <v>VAR_fin</v>
          </cell>
          <cell r="D628" t="str">
            <v>URN</v>
          </cell>
          <cell r="K628">
            <v>0.14328602706594096</v>
          </cell>
          <cell r="L628">
            <v>0.90706294623787154</v>
          </cell>
          <cell r="M628">
            <v>0.91503786978150525</v>
          </cell>
          <cell r="N628">
            <v>1.1546928733584969</v>
          </cell>
          <cell r="O628">
            <v>1.1184224694080416</v>
          </cell>
          <cell r="P628">
            <v>1.225534449203123</v>
          </cell>
        </row>
        <row r="629">
          <cell r="B629" t="str">
            <v>ENUC_LRG_GOE</v>
          </cell>
          <cell r="C629" t="str">
            <v>VAR_ncap</v>
          </cell>
          <cell r="D629" t="str">
            <v>-</v>
          </cell>
          <cell r="J629">
            <v>1.0600023264797901E-2</v>
          </cell>
          <cell r="K629">
            <v>8.2550317014944598E-7</v>
          </cell>
          <cell r="L629">
            <v>3.1004364833774299E-3</v>
          </cell>
          <cell r="M629">
            <v>1.94856993090676E-5</v>
          </cell>
          <cell r="N629">
            <v>1.2451085967547901E-3</v>
          </cell>
        </row>
        <row r="630">
          <cell r="B630" t="str">
            <v>ENUC_LRG_GOE</v>
          </cell>
          <cell r="C630" t="str">
            <v>VAR_cap</v>
          </cell>
          <cell r="D630" t="str">
            <v>-</v>
          </cell>
          <cell r="K630">
            <v>1.6594333215349201E-3</v>
          </cell>
          <cell r="L630">
            <v>1.0600023264797901E-2</v>
          </cell>
          <cell r="M630">
            <v>1.06007219260396E-2</v>
          </cell>
          <cell r="N630">
            <v>1.3705977756063701E-2</v>
          </cell>
          <cell r="O630">
            <v>1.37207709506545E-2</v>
          </cell>
          <cell r="P630">
            <v>1.49658795474093E-2</v>
          </cell>
        </row>
        <row r="631">
          <cell r="B631" t="str">
            <v>G-INTC-IMP00-DE</v>
          </cell>
          <cell r="C631" t="str">
            <v>VAR_fout</v>
          </cell>
          <cell r="D631" t="str">
            <v>ELC</v>
          </cell>
          <cell r="E631">
            <v>46.398475558398296</v>
          </cell>
          <cell r="F631">
            <v>32.433239892185853</v>
          </cell>
          <cell r="G631">
            <v>28.962914111315044</v>
          </cell>
          <cell r="H631">
            <v>35.631619927336757</v>
          </cell>
          <cell r="I631">
            <v>35.218741532434144</v>
          </cell>
          <cell r="J631">
            <v>29.591298312779195</v>
          </cell>
          <cell r="K631">
            <v>31.653863172776603</v>
          </cell>
          <cell r="L631">
            <v>26.904251354298484</v>
          </cell>
          <cell r="M631">
            <v>6.0199666844384998</v>
          </cell>
          <cell r="N631">
            <v>4.4188469404399895E-3</v>
          </cell>
          <cell r="O631">
            <v>2.0143583182738196E-3</v>
          </cell>
          <cell r="P631">
            <v>4.2821727803009097E-3</v>
          </cell>
        </row>
        <row r="632">
          <cell r="B632" t="str">
            <v>G-INTC-IMP00-DE</v>
          </cell>
          <cell r="C632" t="str">
            <v>VAR_fin</v>
          </cell>
          <cell r="D632" t="str">
            <v>ELC_I-DE</v>
          </cell>
          <cell r="E632">
            <v>46.398475558398296</v>
          </cell>
          <cell r="F632">
            <v>32.433239892185853</v>
          </cell>
          <cell r="G632">
            <v>28.962914111315044</v>
          </cell>
          <cell r="H632">
            <v>35.631619927336757</v>
          </cell>
          <cell r="I632">
            <v>35.218741532434144</v>
          </cell>
          <cell r="J632">
            <v>29.591298312779195</v>
          </cell>
          <cell r="K632">
            <v>31.653863172776603</v>
          </cell>
          <cell r="L632">
            <v>26.904251354298484</v>
          </cell>
          <cell r="M632">
            <v>6.0199666844384998</v>
          </cell>
          <cell r="N632">
            <v>4.4188469404399895E-3</v>
          </cell>
          <cell r="O632">
            <v>2.0143583182738196E-3</v>
          </cell>
          <cell r="P632">
            <v>4.2821727803009097E-3</v>
          </cell>
        </row>
        <row r="633">
          <cell r="B633" t="str">
            <v>G-INTC-IMP00-DE</v>
          </cell>
          <cell r="C633" t="str">
            <v>VAR_ncap</v>
          </cell>
          <cell r="D633" t="str">
            <v>-</v>
          </cell>
          <cell r="E633">
            <v>2.3147523387885999E-6</v>
          </cell>
          <cell r="F633">
            <v>2.2577526935514901E-6</v>
          </cell>
          <cell r="G633">
            <v>2.9149449095105601E-6</v>
          </cell>
          <cell r="H633">
            <v>2.89654608194782E-6</v>
          </cell>
          <cell r="I633">
            <v>2.7550717020042802E-6</v>
          </cell>
          <cell r="J633">
            <v>4.0893301037270003E-6</v>
          </cell>
          <cell r="K633">
            <v>2.9449070975513399E-6</v>
          </cell>
          <cell r="L633">
            <v>1.4322681275659099E-5</v>
          </cell>
          <cell r="M633">
            <v>2.83316152702806E-4</v>
          </cell>
          <cell r="N633">
            <v>3.8057735287068401E-4</v>
          </cell>
        </row>
        <row r="634">
          <cell r="B634" t="str">
            <v>G-INTC-IMP00-DE</v>
          </cell>
          <cell r="C634" t="str">
            <v>VAR_cap</v>
          </cell>
          <cell r="D634" t="str">
            <v>-</v>
          </cell>
          <cell r="E634">
            <v>2.3009910698911402</v>
          </cell>
          <cell r="F634">
            <v>2.3009637789758299</v>
          </cell>
          <cell r="G634">
            <v>2.3009601830663002</v>
          </cell>
          <cell r="H634">
            <v>2.3009600330268194</v>
          </cell>
          <cell r="I634">
            <v>2.3009580135896668</v>
          </cell>
          <cell r="J634">
            <v>2.3009505100844141</v>
          </cell>
          <cell r="K634">
            <v>2.3009443280690718</v>
          </cell>
          <cell r="L634">
            <v>2.3009103984196697</v>
          </cell>
          <cell r="M634">
            <v>0.93189144910281296</v>
          </cell>
          <cell r="N634">
            <v>8.0618647631114371E-4</v>
          </cell>
          <cell r="O634">
            <v>3.0007533338349666E-4</v>
          </cell>
          <cell r="P634">
            <v>6.7845179475059005E-4</v>
          </cell>
        </row>
        <row r="635">
          <cell r="B635" t="str">
            <v>RHEM-SHSTG-CHPWOD</v>
          </cell>
          <cell r="C635" t="str">
            <v>VAR_fout</v>
          </cell>
          <cell r="D635" t="str">
            <v>AUX_REM-CHPWOD_OUT</v>
          </cell>
          <cell r="E635">
            <v>3.3400221318186525E-4</v>
          </cell>
          <cell r="F635">
            <v>2.266094300049026E-4</v>
          </cell>
          <cell r="G635">
            <v>3.1742522981433627E-4</v>
          </cell>
          <cell r="H635">
            <v>1.5675778641733313E-3</v>
          </cell>
          <cell r="I635">
            <v>2.9555884623703853E-3</v>
          </cell>
          <cell r="J635">
            <v>2.9023380925417282E-3</v>
          </cell>
          <cell r="K635">
            <v>5.0402409381238552E-3</v>
          </cell>
          <cell r="L635">
            <v>1.1761199998555089E-2</v>
          </cell>
          <cell r="M635">
            <v>6.6776414049187797E-3</v>
          </cell>
          <cell r="N635">
            <v>1.4557695399762316E-2</v>
          </cell>
          <cell r="O635">
            <v>1.0885299532965362E-2</v>
          </cell>
          <cell r="P635">
            <v>2.8830410678404347E-2</v>
          </cell>
        </row>
        <row r="636">
          <cell r="B636" t="str">
            <v>RHEM-SHSTG-CHPWOD</v>
          </cell>
          <cell r="C636" t="str">
            <v>VAR_fout</v>
          </cell>
          <cell r="D636" t="str">
            <v>RHEM_LTH_CHPWOD</v>
          </cell>
          <cell r="E636">
            <v>3.340022131818646E-4</v>
          </cell>
          <cell r="F636">
            <v>2.2676050295823859E-4</v>
          </cell>
          <cell r="G636">
            <v>3.1775588109539263E-4</v>
          </cell>
          <cell r="H636">
            <v>1.5675778641733313E-3</v>
          </cell>
          <cell r="I636">
            <v>2.9583049958835888E-3</v>
          </cell>
          <cell r="J636">
            <v>2.9023380925417173E-3</v>
          </cell>
          <cell r="K636">
            <v>5.0443587820275431E-3</v>
          </cell>
          <cell r="L636">
            <v>1.1761199998555068E-2</v>
          </cell>
          <cell r="M636">
            <v>6.6776414049187754E-3</v>
          </cell>
          <cell r="N636">
            <v>1.4557695399762302E-2</v>
          </cell>
          <cell r="O636">
            <v>1.0885299532965355E-2</v>
          </cell>
          <cell r="P636">
            <v>2.8830410678404299E-2</v>
          </cell>
        </row>
        <row r="637">
          <cell r="B637" t="str">
            <v>RHEM-SHSTG-CHPWOD</v>
          </cell>
          <cell r="C637" t="str">
            <v>VAR_fin</v>
          </cell>
          <cell r="D637" t="str">
            <v>AUX_REM-CHPWOD_IN</v>
          </cell>
          <cell r="E637">
            <v>2.5762407675948811E-4</v>
          </cell>
          <cell r="F637">
            <v>6.8879121051708983E-5</v>
          </cell>
          <cell r="G637">
            <v>2.4160790286310911E-4</v>
          </cell>
          <cell r="H637">
            <v>1.9553394620120314E-3</v>
          </cell>
          <cell r="I637">
            <v>3.5830245525157044E-3</v>
          </cell>
          <cell r="J637">
            <v>3.4149597974225698E-3</v>
          </cell>
          <cell r="K637">
            <v>5.7652481018316097E-3</v>
          </cell>
          <cell r="L637">
            <v>1.30691554239021E-2</v>
          </cell>
          <cell r="M637">
            <v>7.4248454152972361E-3</v>
          </cell>
          <cell r="N637">
            <v>1.6177172446293978E-2</v>
          </cell>
          <cell r="O637">
            <v>1.2096999230998925E-2</v>
          </cell>
          <cell r="P637">
            <v>3.2037522555759465E-2</v>
          </cell>
        </row>
        <row r="638">
          <cell r="B638" t="str">
            <v>RHEM-SHSTG-CHPWOD</v>
          </cell>
          <cell r="C638" t="str">
            <v>VAR_fin</v>
          </cell>
          <cell r="D638" t="str">
            <v>RHEM_LTH_CHPWOD</v>
          </cell>
          <cell r="E638">
            <v>2.5762407675948811E-4</v>
          </cell>
          <cell r="F638">
            <v>6.8879121051708983E-5</v>
          </cell>
          <cell r="G638">
            <v>2.4160790286310911E-4</v>
          </cell>
          <cell r="H638">
            <v>1.9553394620120314E-3</v>
          </cell>
          <cell r="I638">
            <v>3.5830245525157044E-3</v>
          </cell>
          <cell r="J638">
            <v>3.4149597974225698E-3</v>
          </cell>
          <cell r="K638">
            <v>5.7652481018316097E-3</v>
          </cell>
          <cell r="L638">
            <v>1.30691554239021E-2</v>
          </cell>
          <cell r="M638">
            <v>7.4248454152972361E-3</v>
          </cell>
          <cell r="N638">
            <v>1.6177172446293978E-2</v>
          </cell>
          <cell r="O638">
            <v>1.2096999230998925E-2</v>
          </cell>
          <cell r="P638">
            <v>3.2037522555759465E-2</v>
          </cell>
        </row>
        <row r="639">
          <cell r="B639" t="str">
            <v>RHEM-SHSTG-CHPWOD</v>
          </cell>
          <cell r="C639" t="str">
            <v>VAR_ncap</v>
          </cell>
          <cell r="D639" t="str">
            <v>-</v>
          </cell>
          <cell r="E639">
            <v>2.03638813670718E-3</v>
          </cell>
          <cell r="F639">
            <v>4.9428755300575998E-5</v>
          </cell>
          <cell r="G639">
            <v>8.3245629903015605E-5</v>
          </cell>
          <cell r="H639">
            <v>7.1291444826236398E-5</v>
          </cell>
          <cell r="I639">
            <v>2.2722426716288999E-3</v>
          </cell>
          <cell r="J639">
            <v>9.7744431789945595E-4</v>
          </cell>
          <cell r="K639">
            <v>1.8871069728961399E-4</v>
          </cell>
          <cell r="L639">
            <v>3.7024077297030098E-3</v>
          </cell>
          <cell r="M639">
            <v>8.5951876483840602E-5</v>
          </cell>
          <cell r="N639">
            <v>2.79039161659383E-3</v>
          </cell>
          <cell r="O639">
            <v>1.4482760767832699E-3</v>
          </cell>
          <cell r="P639">
            <v>6.7706252933440302E-3</v>
          </cell>
        </row>
        <row r="640">
          <cell r="B640" t="str">
            <v>RHEM-SHSTG-CHPWOD</v>
          </cell>
          <cell r="C640" t="str">
            <v>VAR_cap</v>
          </cell>
          <cell r="D640" t="str">
            <v>-</v>
          </cell>
          <cell r="E640">
            <v>2.03638813670718E-3</v>
          </cell>
          <cell r="F640">
            <v>2.0800598296643385E-3</v>
          </cell>
          <cell r="G640">
            <v>2.1483726486893179E-3</v>
          </cell>
          <cell r="H640">
            <v>2.1897181028409872E-3</v>
          </cell>
          <cell r="I640">
            <v>2.9209376230878844E-3</v>
          </cell>
          <cell r="J640">
            <v>3.2865712074594921E-3</v>
          </cell>
          <cell r="K640">
            <v>3.4021854154731297E-3</v>
          </cell>
          <cell r="L640">
            <v>4.8321279809462993E-3</v>
          </cell>
          <cell r="M640">
            <v>4.0040710996717627E-3</v>
          </cell>
          <cell r="N640">
            <v>6.5208015182132064E-3</v>
          </cell>
          <cell r="O640">
            <v>4.8702661179621217E-3</v>
          </cell>
          <cell r="P640">
            <v>1.0953166654099769E-2</v>
          </cell>
        </row>
        <row r="641">
          <cell r="B641" t="str">
            <v>RHNM-CHPGFC</v>
          </cell>
          <cell r="C641" t="str">
            <v>VAR_fout</v>
          </cell>
          <cell r="D641" t="str">
            <v>CO2_R</v>
          </cell>
          <cell r="H641">
            <v>7.7877281150226504E-2</v>
          </cell>
          <cell r="I641">
            <v>0.30174478846636699</v>
          </cell>
          <cell r="J641">
            <v>0.30211642146346401</v>
          </cell>
          <cell r="K641">
            <v>0.338275267155143</v>
          </cell>
          <cell r="L641">
            <v>0.91386239214811804</v>
          </cell>
          <cell r="M641">
            <v>0.77864318257676501</v>
          </cell>
          <cell r="N641">
            <v>1.6122922288219701</v>
          </cell>
          <cell r="O641">
            <v>1.56098657175588</v>
          </cell>
          <cell r="P641">
            <v>2.4522489910205501</v>
          </cell>
        </row>
        <row r="642">
          <cell r="B642" t="str">
            <v>RHNM-CHPGFC</v>
          </cell>
          <cell r="C642" t="str">
            <v>VAR_fout</v>
          </cell>
          <cell r="D642" t="str">
            <v>RHNM_NKEV_GAS_ELC_CHP</v>
          </cell>
          <cell r="H642">
            <v>5.799372000548789E-4</v>
          </cell>
          <cell r="I642">
            <v>2.3005365078109488E-3</v>
          </cell>
          <cell r="J642">
            <v>2.3569366213461759E-3</v>
          </cell>
          <cell r="K642">
            <v>2.6690158490077754E-3</v>
          </cell>
          <cell r="L642">
            <v>7.2914552565009338E-3</v>
          </cell>
          <cell r="M642">
            <v>6.212578584389076E-3</v>
          </cell>
          <cell r="N642">
            <v>1.2864033740600798E-2</v>
          </cell>
          <cell r="O642">
            <v>1.2454680093796888E-2</v>
          </cell>
          <cell r="P642">
            <v>1.9565816417717156E-2</v>
          </cell>
        </row>
        <row r="643">
          <cell r="B643" t="str">
            <v>RHNM-CHPGFC</v>
          </cell>
          <cell r="C643" t="str">
            <v>VAR_fout</v>
          </cell>
          <cell r="D643" t="str">
            <v>RHNM_LTH_CHPNGA</v>
          </cell>
          <cell r="H643">
            <v>6.4952966406146427E-4</v>
          </cell>
          <cell r="I643">
            <v>2.5075847935139344E-3</v>
          </cell>
          <cell r="J643">
            <v>2.4983528186269463E-3</v>
          </cell>
          <cell r="K643">
            <v>2.7490863244780121E-3</v>
          </cell>
          <cell r="L643">
            <v>7.2914552565009338E-3</v>
          </cell>
          <cell r="M643">
            <v>6.212578584389076E-3</v>
          </cell>
          <cell r="N643">
            <v>1.2864033740600798E-2</v>
          </cell>
          <cell r="O643">
            <v>1.2454680093796888E-2</v>
          </cell>
          <cell r="P643">
            <v>1.9565816417717156E-2</v>
          </cell>
        </row>
        <row r="644">
          <cell r="B644" t="str">
            <v>RHNM-CHPGFC</v>
          </cell>
          <cell r="C644" t="str">
            <v>VAR_fin</v>
          </cell>
          <cell r="D644" t="str">
            <v>RNGA</v>
          </cell>
          <cell r="H644">
            <v>1.3808028572735213E-3</v>
          </cell>
          <cell r="I644">
            <v>5.3500849018859285E-3</v>
          </cell>
          <cell r="J644">
            <v>5.3566741394231281E-3</v>
          </cell>
          <cell r="K644">
            <v>5.9977884247365797E-3</v>
          </cell>
          <cell r="L644">
            <v>1.6203233903335428E-2</v>
          </cell>
          <cell r="M644">
            <v>1.3805730187531298E-2</v>
          </cell>
          <cell r="N644">
            <v>2.858674164577955E-2</v>
          </cell>
          <cell r="O644">
            <v>2.7677066875104187E-2</v>
          </cell>
          <cell r="P644">
            <v>4.3479592039371427E-2</v>
          </cell>
        </row>
        <row r="645">
          <cell r="B645" t="str">
            <v>RHNM-CHPGFC</v>
          </cell>
          <cell r="C645" t="str">
            <v>VAR_ncap</v>
          </cell>
          <cell r="D645" t="str">
            <v>-</v>
          </cell>
          <cell r="H645">
            <v>5.1583432381902998E-5</v>
          </cell>
          <cell r="I645">
            <v>1.5325051459934999E-4</v>
          </cell>
          <cell r="J645">
            <v>4.8818138622666096E-6</v>
          </cell>
          <cell r="K645">
            <v>4.4277659102240799E-5</v>
          </cell>
          <cell r="L645">
            <v>4.4678515688049801E-4</v>
          </cell>
          <cell r="M645">
            <v>1.1498931722351401E-5</v>
          </cell>
          <cell r="N645">
            <v>6.42200883098528E-4</v>
          </cell>
          <cell r="O645">
            <v>7.9151951562088502E-6</v>
          </cell>
          <cell r="P645">
            <v>1.0798676336794199E-3</v>
          </cell>
        </row>
        <row r="646">
          <cell r="B646" t="str">
            <v>RHNM-CHPGFC</v>
          </cell>
          <cell r="C646" t="str">
            <v>VAR_cap</v>
          </cell>
          <cell r="D646" t="str">
            <v>-</v>
          </cell>
          <cell r="H646">
            <v>5.1583432381902998E-5</v>
          </cell>
          <cell r="I646">
            <v>2.0479159659127328E-4</v>
          </cell>
          <cell r="J646">
            <v>2.0955228009953824E-4</v>
          </cell>
          <cell r="K646">
            <v>2.3727561536609693E-4</v>
          </cell>
          <cell r="L646">
            <v>6.4846653108325528E-4</v>
          </cell>
          <cell r="M646">
            <v>5.5228960990802694E-4</v>
          </cell>
          <cell r="N646">
            <v>1.1438226650805519E-3</v>
          </cell>
          <cell r="O646">
            <v>1.1073989120147234E-3</v>
          </cell>
          <cell r="P646">
            <v>1.7401788551603097E-3</v>
          </cell>
        </row>
        <row r="647">
          <cell r="B647" t="str">
            <v>G-INTC-EXP00-FR</v>
          </cell>
          <cell r="C647" t="str">
            <v>VAR_fout</v>
          </cell>
          <cell r="D647" t="str">
            <v>ELC_E-FR</v>
          </cell>
          <cell r="E647">
            <v>12.753360878576474</v>
          </cell>
          <cell r="F647">
            <v>5.1924275930652309E-4</v>
          </cell>
          <cell r="G647">
            <v>4.8597608612085171E-4</v>
          </cell>
          <cell r="H647">
            <v>3.1396421928374586E-4</v>
          </cell>
          <cell r="I647">
            <v>5.0053589938260136E-4</v>
          </cell>
          <cell r="J647">
            <v>5.065802178207859E-4</v>
          </cell>
          <cell r="K647">
            <v>4.1371450436259707E-4</v>
          </cell>
          <cell r="L647">
            <v>5.7781028078749558E-4</v>
          </cell>
          <cell r="M647">
            <v>3.3958674050101533E-4</v>
          </cell>
          <cell r="N647">
            <v>4.462869172842259E-4</v>
          </cell>
          <cell r="O647">
            <v>4.1744012143691699E-4</v>
          </cell>
          <cell r="P647">
            <v>7.7355886661036337E-4</v>
          </cell>
        </row>
        <row r="648">
          <cell r="B648" t="str">
            <v>G-INTC-EXP00-FR</v>
          </cell>
          <cell r="C648" t="str">
            <v>VAR_fin</v>
          </cell>
          <cell r="D648" t="str">
            <v>ELC</v>
          </cell>
          <cell r="E648">
            <v>12.753360878576474</v>
          </cell>
          <cell r="F648">
            <v>5.1924275930652309E-4</v>
          </cell>
          <cell r="G648">
            <v>4.8597608612085171E-4</v>
          </cell>
          <cell r="H648">
            <v>3.1396421928374586E-4</v>
          </cell>
          <cell r="I648">
            <v>5.0053589938260136E-4</v>
          </cell>
          <cell r="J648">
            <v>5.065802178207859E-4</v>
          </cell>
          <cell r="K648">
            <v>4.1371450436259707E-4</v>
          </cell>
          <cell r="L648">
            <v>5.7781028078749558E-4</v>
          </cell>
          <cell r="M648">
            <v>3.3958674050101533E-4</v>
          </cell>
          <cell r="N648">
            <v>4.462869172842259E-4</v>
          </cell>
          <cell r="O648">
            <v>4.1744012143691699E-4</v>
          </cell>
          <cell r="P648">
            <v>7.7355886661036337E-4</v>
          </cell>
        </row>
        <row r="649">
          <cell r="B649" t="str">
            <v>G-INTC-EXP00-FR</v>
          </cell>
          <cell r="C649" t="str">
            <v>VAR_ncap</v>
          </cell>
          <cell r="D649" t="str">
            <v>-</v>
          </cell>
          <cell r="E649">
            <v>2.5397011866291302E-6</v>
          </cell>
          <cell r="F649">
            <v>2.2077038230367799E-6</v>
          </cell>
          <cell r="G649">
            <v>2.54226612073001E-6</v>
          </cell>
          <cell r="H649">
            <v>3.0879736827656199E-6</v>
          </cell>
          <cell r="I649">
            <v>4.6065466888636202E-6</v>
          </cell>
          <cell r="J649">
            <v>5.6572554454061702E-6</v>
          </cell>
          <cell r="K649">
            <v>4.8824463645810901E-6</v>
          </cell>
          <cell r="L649">
            <v>1.8186027639061899E-5</v>
          </cell>
          <cell r="M649">
            <v>1.18734385435658E-5</v>
          </cell>
          <cell r="N649">
            <v>3.4747107937273898E-4</v>
          </cell>
        </row>
        <row r="650">
          <cell r="B650" t="str">
            <v>G-INTC-EXP00-FR</v>
          </cell>
          <cell r="C650" t="str">
            <v>VAR_cap</v>
          </cell>
          <cell r="D650" t="str">
            <v>-</v>
          </cell>
          <cell r="E650">
            <v>1.2999947007145545</v>
          </cell>
          <cell r="F650">
            <v>4.3715075639005896E-4</v>
          </cell>
          <cell r="G650">
            <v>4.2993704757998685E-4</v>
          </cell>
          <cell r="H650">
            <v>4.307724139500646E-4</v>
          </cell>
          <cell r="I650">
            <v>4.331049266637077E-4</v>
          </cell>
          <cell r="J650">
            <v>4.3237160456333079E-4</v>
          </cell>
          <cell r="K650">
            <v>4.3455693200189494E-4</v>
          </cell>
          <cell r="L650">
            <v>4.3527163335754793E-4</v>
          </cell>
          <cell r="M650">
            <v>4.3719282943799342E-4</v>
          </cell>
          <cell r="N650">
            <v>4.5691215899101856E-4</v>
          </cell>
          <cell r="O650">
            <v>4.6325245924472291E-4</v>
          </cell>
          <cell r="P650">
            <v>8.0886394024748398E-4</v>
          </cell>
        </row>
        <row r="651">
          <cell r="B651" t="str">
            <v>RHNM-EBAT</v>
          </cell>
          <cell r="C651" t="str">
            <v>VAR_fout</v>
          </cell>
          <cell r="D651" t="str">
            <v>RHNM_ELC</v>
          </cell>
          <cell r="E651">
            <v>1.0194732260114926E-3</v>
          </cell>
          <cell r="F651">
            <v>1.0158524998430815E-3</v>
          </cell>
          <cell r="G651">
            <v>1.0178974528864309E-3</v>
          </cell>
          <cell r="H651">
            <v>2.9224740389446679E-2</v>
          </cell>
          <cell r="I651">
            <v>5.1214152400642712E-2</v>
          </cell>
          <cell r="J651">
            <v>6.4224183021571804E-2</v>
          </cell>
          <cell r="K651">
            <v>6.3462607153437003E-2</v>
          </cell>
          <cell r="L651">
            <v>6.8516266283188201E-2</v>
          </cell>
          <cell r="M651">
            <v>7.2631457709469563E-2</v>
          </cell>
          <cell r="N651">
            <v>7.1702900712968198E-2</v>
          </cell>
          <cell r="O651">
            <v>6.484839915581736E-2</v>
          </cell>
          <cell r="P651">
            <v>7.3796056775987856E-2</v>
          </cell>
        </row>
        <row r="652">
          <cell r="B652" t="str">
            <v>RHNM-EBAT</v>
          </cell>
          <cell r="C652" t="str">
            <v>VAR_fout</v>
          </cell>
          <cell r="D652" t="str">
            <v>AUX_RHNM-EBAT_OUT</v>
          </cell>
          <cell r="E652">
            <v>1.0194732260114931E-3</v>
          </cell>
          <cell r="F652">
            <v>1.015852499843083E-3</v>
          </cell>
          <cell r="G652">
            <v>1.0178974528864319E-3</v>
          </cell>
          <cell r="H652">
            <v>2.92247403894467E-2</v>
          </cell>
          <cell r="I652">
            <v>5.1214152400642754E-2</v>
          </cell>
          <cell r="J652">
            <v>6.422418302157186E-2</v>
          </cell>
          <cell r="K652">
            <v>6.3462607153437073E-2</v>
          </cell>
          <cell r="L652">
            <v>6.8516266283188271E-2</v>
          </cell>
          <cell r="M652">
            <v>7.2631457709469632E-2</v>
          </cell>
          <cell r="N652">
            <v>7.1702900712968282E-2</v>
          </cell>
          <cell r="O652">
            <v>6.4848399155817443E-2</v>
          </cell>
          <cell r="P652">
            <v>7.3796056775987953E-2</v>
          </cell>
        </row>
        <row r="653">
          <cell r="B653" t="str">
            <v>RHNM-EBAT</v>
          </cell>
          <cell r="C653" t="str">
            <v>VAR_fin</v>
          </cell>
          <cell r="D653" t="str">
            <v>RHNM_ELC</v>
          </cell>
          <cell r="E653">
            <v>1.1288216136573351E-3</v>
          </cell>
          <cell r="F653">
            <v>1.1251075853946819E-3</v>
          </cell>
          <cell r="G653">
            <v>1.1260503971183156E-3</v>
          </cell>
          <cell r="H653">
            <v>3.2319149357189381E-2</v>
          </cell>
          <cell r="I653">
            <v>5.6636712771414646E-2</v>
          </cell>
          <cell r="J653">
            <v>7.1023637650938692E-2</v>
          </cell>
          <cell r="K653">
            <v>7.0181445606011431E-2</v>
          </cell>
          <cell r="L653">
            <v>7.5771480216405868E-2</v>
          </cell>
          <cell r="M653">
            <v>8.0321073215983654E-2</v>
          </cell>
          <cell r="N653">
            <v>7.9298498837369238E-2</v>
          </cell>
          <cell r="O653">
            <v>7.1715150129648852E-2</v>
          </cell>
          <cell r="P653">
            <v>8.1616542032977968E-2</v>
          </cell>
        </row>
        <row r="654">
          <cell r="B654" t="str">
            <v>RHNM-EBAT</v>
          </cell>
          <cell r="C654" t="str">
            <v>VAR_fin</v>
          </cell>
          <cell r="D654" t="str">
            <v>AUX_RHNM-EBAT_IN</v>
          </cell>
          <cell r="E654">
            <v>1.1288216136573351E-3</v>
          </cell>
          <cell r="F654">
            <v>1.1251075853946819E-3</v>
          </cell>
          <cell r="G654">
            <v>1.1260503971183156E-3</v>
          </cell>
          <cell r="H654">
            <v>3.2319149357189381E-2</v>
          </cell>
          <cell r="I654">
            <v>5.6636712771414646E-2</v>
          </cell>
          <cell r="J654">
            <v>7.1023637650938692E-2</v>
          </cell>
          <cell r="K654">
            <v>7.0181445606011431E-2</v>
          </cell>
          <cell r="L654">
            <v>7.5771480216405868E-2</v>
          </cell>
          <cell r="M654">
            <v>8.0321073215983654E-2</v>
          </cell>
          <cell r="N654">
            <v>7.9298498837369238E-2</v>
          </cell>
          <cell r="O654">
            <v>7.1715150129648852E-2</v>
          </cell>
          <cell r="P654">
            <v>8.1616542032977968E-2</v>
          </cell>
        </row>
        <row r="655">
          <cell r="B655" t="str">
            <v>RHNM-EBAT</v>
          </cell>
          <cell r="C655" t="str">
            <v>VAR_ncap</v>
          </cell>
          <cell r="D655" t="str">
            <v>-</v>
          </cell>
          <cell r="E655">
            <v>4.1339190677528901E-4</v>
          </cell>
          <cell r="F655">
            <v>6.64431462390507E-7</v>
          </cell>
          <cell r="G655">
            <v>1.8984647363038101E-6</v>
          </cell>
          <cell r="H655">
            <v>2.0714483589323499E-2</v>
          </cell>
          <cell r="I655">
            <v>1.9522121120105799E-3</v>
          </cell>
          <cell r="J655">
            <v>2.00787445257153E-2</v>
          </cell>
          <cell r="K655">
            <v>6.4769720619719997E-3</v>
          </cell>
          <cell r="L655">
            <v>1.4754304683116301E-2</v>
          </cell>
          <cell r="M655">
            <v>1.2086800689465001E-2</v>
          </cell>
          <cell r="N655">
            <v>9.7270305206340509E-3</v>
          </cell>
          <cell r="O655">
            <v>1.46966241930054E-2</v>
          </cell>
          <cell r="P655">
            <v>8.9714245886562596E-3</v>
          </cell>
        </row>
        <row r="656">
          <cell r="B656" t="str">
            <v>RHNM-EBAT</v>
          </cell>
          <cell r="C656" t="str">
            <v>VAR_cap</v>
          </cell>
          <cell r="D656" t="str">
            <v>-</v>
          </cell>
          <cell r="E656">
            <v>4.1609838785825842E-4</v>
          </cell>
          <cell r="F656">
            <v>4.1652431458578932E-4</v>
          </cell>
          <cell r="G656">
            <v>4.1786578736719365E-4</v>
          </cell>
          <cell r="H656">
            <v>2.1018514128531007E-2</v>
          </cell>
          <cell r="I656">
            <v>2.2667301920045402E-2</v>
          </cell>
          <cell r="J656">
            <v>2.6380509535730162E-2</v>
          </cell>
          <cell r="K656">
            <v>2.7567471977056428E-2</v>
          </cell>
          <cell r="L656">
            <v>2.8089117274911233E-2</v>
          </cell>
          <cell r="M656">
            <v>2.9753865010338127E-2</v>
          </cell>
          <cell r="N656">
            <v>2.9371941596503307E-2</v>
          </cell>
          <cell r="O656">
            <v>2.656359236225847E-2</v>
          </cell>
          <cell r="P656">
            <v>3.0230759187665174E-2</v>
          </cell>
        </row>
        <row r="657">
          <cell r="B657" t="str">
            <v>ITOT-CHPWST</v>
          </cell>
          <cell r="C657" t="str">
            <v>VAR_fout</v>
          </cell>
          <cell r="D657" t="str">
            <v>ITOT_LTH_CHP</v>
          </cell>
          <cell r="E657">
            <v>1.9348736538659803</v>
          </cell>
          <cell r="F657">
            <v>1.8587811183256313</v>
          </cell>
          <cell r="G657">
            <v>2.5503153117250594</v>
          </cell>
          <cell r="H657">
            <v>2.2433372211164957</v>
          </cell>
          <cell r="I657">
            <v>1.9426765966661987</v>
          </cell>
          <cell r="J657">
            <v>1.6589290504082113</v>
          </cell>
          <cell r="K657">
            <v>1.3779617515931764</v>
          </cell>
          <cell r="L657">
            <v>1.0997828432070569</v>
          </cell>
          <cell r="M657">
            <v>1.0997740431057907</v>
          </cell>
          <cell r="N657">
            <v>1.099782216820606</v>
          </cell>
          <cell r="O657">
            <v>1.0997758406667328</v>
          </cell>
          <cell r="P657">
            <v>1.0998002814186338</v>
          </cell>
        </row>
        <row r="658">
          <cell r="B658" t="str">
            <v>ITOT-CHPWST</v>
          </cell>
          <cell r="C658" t="str">
            <v>VAR_fout</v>
          </cell>
          <cell r="D658" t="str">
            <v>ITOT_KEV_WST_ELC_CHP</v>
          </cell>
          <cell r="E658">
            <v>0.23005119068626309</v>
          </cell>
          <cell r="F658">
            <v>0.2301592886560587</v>
          </cell>
          <cell r="G658">
            <v>0.33670967569808757</v>
          </cell>
          <cell r="H658">
            <v>0.3329465170295568</v>
          </cell>
          <cell r="I658">
            <v>0.32918716858742697</v>
          </cell>
          <cell r="J658">
            <v>0.32752542920464189</v>
          </cell>
          <cell r="K658">
            <v>0.32586380893754929</v>
          </cell>
          <cell r="L658">
            <v>0.32420479636343547</v>
          </cell>
          <cell r="M658">
            <v>0.32420220218308737</v>
          </cell>
          <cell r="N658">
            <v>0.32420461171108023</v>
          </cell>
          <cell r="O658">
            <v>0.32420273208577077</v>
          </cell>
          <cell r="P658">
            <v>0.32420993697084527</v>
          </cell>
        </row>
        <row r="659">
          <cell r="B659" t="str">
            <v>ITOT-CHPWST</v>
          </cell>
          <cell r="C659" t="str">
            <v>VAR_fout</v>
          </cell>
          <cell r="D659" t="str">
            <v>CO2_I</v>
          </cell>
          <cell r="E659">
            <v>344.47042188341101</v>
          </cell>
          <cell r="F659">
            <v>344.64593460680402</v>
          </cell>
          <cell r="G659">
            <v>504.20076628515301</v>
          </cell>
          <cell r="H659">
            <v>498.56568175604798</v>
          </cell>
          <cell r="I659">
            <v>492.93630279233201</v>
          </cell>
          <cell r="J659">
            <v>490.44795650875801</v>
          </cell>
          <cell r="K659">
            <v>487.95978859316199</v>
          </cell>
          <cell r="L659">
            <v>485.47552552762698</v>
          </cell>
          <cell r="M659">
            <v>485.471640911848</v>
          </cell>
          <cell r="N659">
            <v>485.47524902277502</v>
          </cell>
          <cell r="O659">
            <v>485.472434406535</v>
          </cell>
          <cell r="P659">
            <v>485.48322325175701</v>
          </cell>
        </row>
        <row r="660">
          <cell r="B660" t="str">
            <v>ITOT-CHPWST</v>
          </cell>
          <cell r="C660" t="str">
            <v>VAR_fin</v>
          </cell>
          <cell r="D660" t="str">
            <v>IWST</v>
          </cell>
          <cell r="E660">
            <v>3.7119657530540007</v>
          </cell>
          <cell r="F660">
            <v>3.7138570539526361</v>
          </cell>
          <cell r="G660">
            <v>5.4331979125555225</v>
          </cell>
          <cell r="H660">
            <v>5.3724750189229367</v>
          </cell>
          <cell r="I660">
            <v>5.3118136076759921</v>
          </cell>
          <cell r="J660">
            <v>5.2849995313443792</v>
          </cell>
          <cell r="K660">
            <v>5.2581873770814891</v>
          </cell>
          <cell r="L660">
            <v>5.2314173009442628</v>
          </cell>
          <cell r="M660">
            <v>5.2313754408604289</v>
          </cell>
          <cell r="N660">
            <v>5.2314143213661151</v>
          </cell>
          <cell r="O660">
            <v>5.2313839914497287</v>
          </cell>
          <cell r="P660">
            <v>5.2315002505577244</v>
          </cell>
        </row>
        <row r="661">
          <cell r="B661" t="str">
            <v>ITOT-CHPWST</v>
          </cell>
          <cell r="C661" t="str">
            <v>VAR_ncap</v>
          </cell>
          <cell r="D661" t="str">
            <v>-</v>
          </cell>
          <cell r="F661">
            <v>1.6808140577373E-7</v>
          </cell>
          <cell r="G661">
            <v>1.6638141492087699E-7</v>
          </cell>
          <cell r="H661">
            <v>8.2499447468280598E-4</v>
          </cell>
          <cell r="I661">
            <v>5.7264640216013697E-3</v>
          </cell>
          <cell r="J661">
            <v>1.20252767963075E-3</v>
          </cell>
          <cell r="K661">
            <v>2.08709369364865E-6</v>
          </cell>
          <cell r="L661">
            <v>5.3697293212314097E-3</v>
          </cell>
          <cell r="M661">
            <v>2.8712406648586801E-4</v>
          </cell>
          <cell r="N661">
            <v>6.0509761080345704E-4</v>
          </cell>
          <cell r="O661">
            <v>4.9000740659325701E-3</v>
          </cell>
          <cell r="P661">
            <v>2.0318542898124401E-3</v>
          </cell>
        </row>
        <row r="662">
          <cell r="B662" t="str">
            <v>ITOT-CHPWST</v>
          </cell>
          <cell r="C662" t="str">
            <v>VAR_cap</v>
          </cell>
          <cell r="D662" t="str">
            <v>-</v>
          </cell>
          <cell r="E662">
            <v>4.7796334150524672E-2</v>
          </cell>
          <cell r="F662">
            <v>1.5313866146717876E-2</v>
          </cell>
          <cell r="G662">
            <v>1.5313228448859594E-2</v>
          </cell>
          <cell r="H662">
            <v>1.3545945672416598E-2</v>
          </cell>
          <cell r="I662">
            <v>1.339306838226903E-2</v>
          </cell>
          <cell r="J662">
            <v>1.3791828289532898E-2</v>
          </cell>
          <cell r="K662">
            <v>1.3793665059081795E-2</v>
          </cell>
          <cell r="L662">
            <v>1.319190115639461E-2</v>
          </cell>
          <cell r="M662">
            <v>1.3190695859199507E-2</v>
          </cell>
          <cell r="N662">
            <v>1.3192051735210446E-2</v>
          </cell>
          <cell r="O662">
            <v>1.3191460470352315E-2</v>
          </cell>
          <cell r="P662">
            <v>1.3194887082459099E-2</v>
          </cell>
        </row>
        <row r="663">
          <cell r="B663" t="str">
            <v>CAES-EBAT</v>
          </cell>
          <cell r="C663" t="str">
            <v>VAR_fout</v>
          </cell>
          <cell r="D663" t="str">
            <v>ELC13</v>
          </cell>
          <cell r="E663">
            <v>9.4545802649295144E-2</v>
          </cell>
          <cell r="F663">
            <v>8.5633337525082929E-3</v>
          </cell>
          <cell r="G663">
            <v>9.4423605280360368E-2</v>
          </cell>
          <cell r="H663">
            <v>4.4373299866415215E-2</v>
          </cell>
          <cell r="I663">
            <v>3.8775502586266879E-2</v>
          </cell>
          <cell r="J663">
            <v>3.8452013164747459E-2</v>
          </cell>
          <cell r="K663">
            <v>3.2555216034506683E-3</v>
          </cell>
          <cell r="L663">
            <v>1.5457209749288801E-2</v>
          </cell>
          <cell r="M663">
            <v>6.0494941745929849E-2</v>
          </cell>
          <cell r="N663">
            <v>9.4432621945946524E-2</v>
          </cell>
          <cell r="O663">
            <v>9.4456659806437679E-2</v>
          </cell>
          <cell r="P663">
            <v>9.4427595898435426E-2</v>
          </cell>
        </row>
        <row r="664">
          <cell r="B664" t="str">
            <v>CAES-EBAT</v>
          </cell>
          <cell r="C664" t="str">
            <v>VAR_fout</v>
          </cell>
          <cell r="D664" t="str">
            <v>AUX_CAES_OUT</v>
          </cell>
          <cell r="E664">
            <v>9.454580264929506E-2</v>
          </cell>
          <cell r="F664">
            <v>8.5633337525082825E-3</v>
          </cell>
          <cell r="G664">
            <v>9.4423605280360284E-2</v>
          </cell>
          <cell r="H664">
            <v>4.4373299866415188E-2</v>
          </cell>
          <cell r="I664">
            <v>3.8775502586266837E-2</v>
          </cell>
          <cell r="J664">
            <v>3.8452013164747424E-2</v>
          </cell>
          <cell r="K664">
            <v>3.2555216034506657E-3</v>
          </cell>
          <cell r="L664">
            <v>1.5457209749288775E-2</v>
          </cell>
          <cell r="M664">
            <v>6.0494941745929787E-2</v>
          </cell>
          <cell r="N664">
            <v>9.4432621945946496E-2</v>
          </cell>
          <cell r="O664">
            <v>9.445665980643754E-2</v>
          </cell>
          <cell r="P664">
            <v>9.4427595898435385E-2</v>
          </cell>
        </row>
        <row r="665">
          <cell r="B665" t="str">
            <v>CAES-EBAT</v>
          </cell>
          <cell r="C665" t="str">
            <v>VAR_fin</v>
          </cell>
          <cell r="D665" t="str">
            <v>ELC13</v>
          </cell>
          <cell r="E665">
            <v>0.13509956177268698</v>
          </cell>
          <cell r="F665">
            <v>1.2235627120077124E-2</v>
          </cell>
          <cell r="G665">
            <v>0.13489094841233035</v>
          </cell>
          <cell r="H665">
            <v>6.3391836443596583E-2</v>
          </cell>
          <cell r="I665">
            <v>5.5395112373416926E-2</v>
          </cell>
          <cell r="J665">
            <v>5.4932661994588079E-2</v>
          </cell>
          <cell r="K665">
            <v>4.6516014318872759E-3</v>
          </cell>
          <cell r="L665">
            <v>2.2084478468407394E-2</v>
          </cell>
          <cell r="M665">
            <v>8.6422776996585349E-2</v>
          </cell>
          <cell r="N665">
            <v>0.13490648065431882</v>
          </cell>
          <cell r="O665">
            <v>0.13494097151814549</v>
          </cell>
          <cell r="P665">
            <v>0.13490028246298602</v>
          </cell>
        </row>
        <row r="666">
          <cell r="B666" t="str">
            <v>CAES-EBAT</v>
          </cell>
          <cell r="C666" t="str">
            <v>VAR_fin</v>
          </cell>
          <cell r="D666" t="str">
            <v>AUX_CAES_IN</v>
          </cell>
          <cell r="E666">
            <v>0.13509956177268698</v>
          </cell>
          <cell r="F666">
            <v>1.2235627120077124E-2</v>
          </cell>
          <cell r="G666">
            <v>0.13489094841233035</v>
          </cell>
          <cell r="H666">
            <v>6.3391836443596583E-2</v>
          </cell>
          <cell r="I666">
            <v>5.5395112373416926E-2</v>
          </cell>
          <cell r="J666">
            <v>5.4932661994588079E-2</v>
          </cell>
          <cell r="K666">
            <v>4.6516014318872759E-3</v>
          </cell>
          <cell r="L666">
            <v>2.2084478468407394E-2</v>
          </cell>
          <cell r="M666">
            <v>8.6422776996585349E-2</v>
          </cell>
          <cell r="N666">
            <v>0.13490648065431882</v>
          </cell>
          <cell r="O666">
            <v>0.13494097151814549</v>
          </cell>
          <cell r="P666">
            <v>0.13490028246298602</v>
          </cell>
        </row>
        <row r="667">
          <cell r="B667" t="str">
            <v>CAES-EBAT</v>
          </cell>
          <cell r="C667" t="str">
            <v>VAR_ncap</v>
          </cell>
          <cell r="D667" t="str">
            <v>-</v>
          </cell>
          <cell r="F667">
            <v>3.2348239366019398E-7</v>
          </cell>
          <cell r="G667">
            <v>3.5643615051820898E-7</v>
          </cell>
          <cell r="H667">
            <v>3.4865182805619598E-7</v>
          </cell>
          <cell r="I667">
            <v>1.4079916499711701E-6</v>
          </cell>
          <cell r="J667">
            <v>1.79207925894201E-6</v>
          </cell>
          <cell r="K667">
            <v>2.4417159934153601E-6</v>
          </cell>
          <cell r="L667">
            <v>1.7979047594363501E-6</v>
          </cell>
          <cell r="M667">
            <v>1.03882263680538E-6</v>
          </cell>
          <cell r="N667">
            <v>2.0367735091879999E-6</v>
          </cell>
          <cell r="O667">
            <v>1.98754559412381E-6</v>
          </cell>
          <cell r="P667">
            <v>6.1978853177303596E-6</v>
          </cell>
        </row>
        <row r="668">
          <cell r="B668" t="str">
            <v>CAES-EBAT</v>
          </cell>
          <cell r="C668" t="str">
            <v>VAR_cap</v>
          </cell>
          <cell r="D668" t="str">
            <v>-</v>
          </cell>
          <cell r="E668">
            <v>0.1</v>
          </cell>
          <cell r="F668">
            <v>9.9971749876374208E-2</v>
          </cell>
          <cell r="G668">
            <v>9.9968214292239135E-2</v>
          </cell>
          <cell r="H668">
            <v>9.9965654895068395E-2</v>
          </cell>
          <cell r="I668">
            <v>9.9966234409599966E-2</v>
          </cell>
          <cell r="J668">
            <v>9.9967209745507657E-2</v>
          </cell>
          <cell r="K668">
            <v>9.9968600048334494E-2</v>
          </cell>
          <cell r="L668">
            <v>9.9968890734336194E-2</v>
          </cell>
          <cell r="M668">
            <v>9.9968609118038926E-2</v>
          </cell>
          <cell r="N668">
            <v>9.9969270920197265E-2</v>
          </cell>
          <cell r="O668">
            <v>9.9971402737949189E-2</v>
          </cell>
          <cell r="P668">
            <v>9.9978151841242396E-2</v>
          </cell>
        </row>
        <row r="669">
          <cell r="B669" t="str">
            <v>HPLSOL</v>
          </cell>
          <cell r="C669" t="str">
            <v>VAR_fout</v>
          </cell>
          <cell r="D669" t="str">
            <v>LTH</v>
          </cell>
          <cell r="H669">
            <v>4.0397089492131722E-5</v>
          </cell>
          <cell r="I669">
            <v>6.1396490079054059E-5</v>
          </cell>
          <cell r="J669">
            <v>6.4631529783314561E-5</v>
          </cell>
          <cell r="K669">
            <v>6.6488355421123377E-5</v>
          </cell>
          <cell r="L669">
            <v>7.03975276485946E-5</v>
          </cell>
          <cell r="M669">
            <v>7.1912757881633101E-5</v>
          </cell>
          <cell r="N669">
            <v>8.3092789112563728E-5</v>
          </cell>
          <cell r="O669">
            <v>8.9338693636973005E-5</v>
          </cell>
          <cell r="P669">
            <v>1.4750969230471552E-4</v>
          </cell>
        </row>
        <row r="670">
          <cell r="B670" t="str">
            <v>HPLSOL</v>
          </cell>
          <cell r="C670" t="str">
            <v>VAR_fin</v>
          </cell>
          <cell r="D670" t="str">
            <v>SOL</v>
          </cell>
          <cell r="H670">
            <v>4.0397089492131722E-5</v>
          </cell>
          <cell r="I670">
            <v>6.1396490079054059E-5</v>
          </cell>
          <cell r="J670">
            <v>6.4631529783314561E-5</v>
          </cell>
          <cell r="K670">
            <v>6.6488355421123377E-5</v>
          </cell>
          <cell r="L670">
            <v>7.03975276485946E-5</v>
          </cell>
          <cell r="M670">
            <v>7.1912757881633101E-5</v>
          </cell>
          <cell r="N670">
            <v>8.3092789112563728E-5</v>
          </cell>
          <cell r="O670">
            <v>8.9338693636973005E-5</v>
          </cell>
          <cell r="P670">
            <v>1.4750969230471552E-4</v>
          </cell>
        </row>
        <row r="671">
          <cell r="B671" t="str">
            <v>HPLSOL</v>
          </cell>
          <cell r="C671" t="str">
            <v>VAR_fin</v>
          </cell>
          <cell r="D671" t="str">
            <v>SOLPVC</v>
          </cell>
          <cell r="H671">
            <v>4.0397089492131702E-5</v>
          </cell>
          <cell r="I671">
            <v>6.1396490079054005E-5</v>
          </cell>
          <cell r="J671">
            <v>6.4631529783314506E-5</v>
          </cell>
          <cell r="K671">
            <v>6.6488355421123404E-5</v>
          </cell>
          <cell r="L671">
            <v>7.0397527648594695E-5</v>
          </cell>
          <cell r="M671">
            <v>7.1912757881633101E-5</v>
          </cell>
          <cell r="N671">
            <v>8.3092789112563701E-5</v>
          </cell>
          <cell r="O671">
            <v>8.9338693636973005E-5</v>
          </cell>
          <cell r="P671">
            <v>1.4750969230471601E-4</v>
          </cell>
        </row>
        <row r="672">
          <cell r="B672" t="str">
            <v>HPLSOL</v>
          </cell>
          <cell r="C672" t="str">
            <v>VAR_ncap</v>
          </cell>
          <cell r="D672" t="str">
            <v>-</v>
          </cell>
          <cell r="H672">
            <v>9.3341085079502606E-6</v>
          </cell>
          <cell r="I672">
            <v>5.2815165523613604E-6</v>
          </cell>
          <cell r="J672">
            <v>4.3750958631640501E-7</v>
          </cell>
          <cell r="K672">
            <v>3.10734190013261E-6</v>
          </cell>
          <cell r="L672">
            <v>1.0852679989736201E-5</v>
          </cell>
          <cell r="M672">
            <v>3.6551617153149802E-7</v>
          </cell>
          <cell r="N672">
            <v>8.2100995837724799E-6</v>
          </cell>
          <cell r="O672">
            <v>1.50891709679258E-6</v>
          </cell>
          <cell r="P672">
            <v>2.9515123574175199E-5</v>
          </cell>
        </row>
        <row r="673">
          <cell r="B673" t="str">
            <v>HPLSOL</v>
          </cell>
          <cell r="C673" t="str">
            <v>VAR_cap</v>
          </cell>
          <cell r="D673" t="str">
            <v>-</v>
          </cell>
          <cell r="H673">
            <v>9.3341085079502606E-6</v>
          </cell>
          <cell r="I673">
            <v>1.46156250603116E-5</v>
          </cell>
          <cell r="J673">
            <v>1.5053134646628001E-5</v>
          </cell>
          <cell r="K673">
            <v>1.5201436362581899E-5</v>
          </cell>
          <cell r="L673">
            <v>1.9679048028546502E-5</v>
          </cell>
          <cell r="M673">
            <v>1.6308339408533898E-5</v>
          </cell>
          <cell r="N673">
            <v>2.25356376451727E-5</v>
          </cell>
          <cell r="O673">
            <v>2.09372128418327E-5</v>
          </cell>
          <cell r="P673">
            <v>3.9599656426271702E-5</v>
          </cell>
        </row>
        <row r="674">
          <cell r="B674" t="str">
            <v>RHEM-CHPNGA</v>
          </cell>
          <cell r="C674" t="str">
            <v>VAR_fout</v>
          </cell>
          <cell r="D674" t="str">
            <v>CO2_R</v>
          </cell>
          <cell r="E674">
            <v>6.2741022959197101</v>
          </cell>
          <cell r="F674">
            <v>4.3287984361885101</v>
          </cell>
          <cell r="G674">
            <v>17.5743176785532</v>
          </cell>
          <cell r="H674">
            <v>47.047173666059599</v>
          </cell>
          <cell r="I674">
            <v>50.698945921753698</v>
          </cell>
          <cell r="J674">
            <v>62.657586610553203</v>
          </cell>
          <cell r="K674">
            <v>49.458801540541103</v>
          </cell>
          <cell r="L674">
            <v>54.518728120030403</v>
          </cell>
          <cell r="M674">
            <v>52.512298385990803</v>
          </cell>
          <cell r="N674">
            <v>49.185638744510001</v>
          </cell>
          <cell r="O674">
            <v>61.2630481425727</v>
          </cell>
          <cell r="P674">
            <v>94.813549830182396</v>
          </cell>
        </row>
        <row r="675">
          <cell r="B675" t="str">
            <v>RHEM-CHPNGA</v>
          </cell>
          <cell r="C675" t="str">
            <v>VAR_fout</v>
          </cell>
          <cell r="D675" t="str">
            <v>RHEM_LTH_CHPNGA</v>
          </cell>
          <cell r="E675">
            <v>6.0466286482003341E-2</v>
          </cell>
          <cell r="F675">
            <v>4.8207958237090141E-2</v>
          </cell>
          <cell r="G675">
            <v>0.19357819088589984</v>
          </cell>
          <cell r="H675">
            <v>0.51478179653120726</v>
          </cell>
          <cell r="I675">
            <v>0.55191231409946495</v>
          </cell>
          <cell r="J675">
            <v>0.6770338556133636</v>
          </cell>
          <cell r="K675">
            <v>0.53239975631898573</v>
          </cell>
          <cell r="L675">
            <v>0.58393647422752515</v>
          </cell>
          <cell r="M675">
            <v>0.56343875086763029</v>
          </cell>
          <cell r="N675">
            <v>0.5259477219183839</v>
          </cell>
          <cell r="O675">
            <v>0.65727413444842131</v>
          </cell>
          <cell r="P675">
            <v>1.015812559414613</v>
          </cell>
        </row>
        <row r="676">
          <cell r="B676" t="str">
            <v>RHEM-CHPNGA</v>
          </cell>
          <cell r="C676" t="str">
            <v>VAR_fout</v>
          </cell>
          <cell r="D676" t="str">
            <v>RHEM_NKEV_GAS_ELC_CHP</v>
          </cell>
          <cell r="E676">
            <v>2.7833687428223744E-2</v>
          </cell>
          <cell r="F676">
            <v>2.2409127840493905E-2</v>
          </cell>
          <cell r="G676">
            <v>9.133027444182909E-2</v>
          </cell>
          <cell r="H676">
            <v>0.24908796606348704</v>
          </cell>
          <cell r="I676">
            <v>0.27034248790203969</v>
          </cell>
          <cell r="J676">
            <v>0.33576475766191227</v>
          </cell>
          <cell r="K676">
            <v>0.26725987236506588</v>
          </cell>
          <cell r="L676">
            <v>0.29675460165661144</v>
          </cell>
          <cell r="M676">
            <v>0.28633772585076306</v>
          </cell>
          <cell r="N676">
            <v>0.26728490786016279</v>
          </cell>
          <cell r="O676">
            <v>0.33402456012952553</v>
          </cell>
          <cell r="P676">
            <v>0.51623261216152527</v>
          </cell>
        </row>
        <row r="677">
          <cell r="B677" t="str">
            <v>RHEM-CHPNGA</v>
          </cell>
          <cell r="C677" t="str">
            <v>VAR_fin</v>
          </cell>
          <cell r="D677" t="str">
            <v>RNGA</v>
          </cell>
          <cell r="E677">
            <v>0.11124294850921469</v>
          </cell>
          <cell r="F677">
            <v>7.6751745322491308E-2</v>
          </cell>
          <cell r="G677">
            <v>0.3116013772793127</v>
          </cell>
          <cell r="H677">
            <v>0.83416974585212156</v>
          </cell>
          <cell r="I677">
            <v>0.89891748088215784</v>
          </cell>
          <cell r="J677">
            <v>1.1109501172083895</v>
          </cell>
          <cell r="K677">
            <v>0.87692910532874357</v>
          </cell>
          <cell r="L677">
            <v>0.96664411560337515</v>
          </cell>
          <cell r="M677">
            <v>0.93106912031898692</v>
          </cell>
          <cell r="N677">
            <v>0.87208579334237613</v>
          </cell>
          <cell r="O677">
            <v>1.0862242578470325</v>
          </cell>
          <cell r="P677">
            <v>1.6810913090457864</v>
          </cell>
        </row>
        <row r="678">
          <cell r="B678" t="str">
            <v>RHEM-CHPNGA</v>
          </cell>
          <cell r="C678" t="str">
            <v>VAR_ncap</v>
          </cell>
          <cell r="D678" t="str">
            <v>-</v>
          </cell>
          <cell r="F678">
            <v>7.0326617209521003E-8</v>
          </cell>
          <cell r="G678">
            <v>5.6107651691543301E-6</v>
          </cell>
          <cell r="H678">
            <v>1.17065760120871E-2</v>
          </cell>
          <cell r="I678">
            <v>1.5785699867993999E-3</v>
          </cell>
          <cell r="J678">
            <v>8.8161655761469608E-3</v>
          </cell>
          <cell r="K678">
            <v>1.44129264397763E-3</v>
          </cell>
          <cell r="L678">
            <v>1.01858370802055E-2</v>
          </cell>
          <cell r="M678">
            <v>1.49420321597567E-3</v>
          </cell>
          <cell r="N678">
            <v>6.7138125736337598E-3</v>
          </cell>
          <cell r="O678">
            <v>6.3934052936077002E-3</v>
          </cell>
          <cell r="P678">
            <v>2.37076497356415E-2</v>
          </cell>
        </row>
        <row r="679">
          <cell r="B679" t="str">
            <v>RHEM-CHPNGA</v>
          </cell>
          <cell r="C679" t="str">
            <v>VAR_cap</v>
          </cell>
          <cell r="D679" t="str">
            <v>-</v>
          </cell>
          <cell r="E679">
            <v>8.3996617455357019E-3</v>
          </cell>
          <cell r="F679">
            <v>6.7711687639411908E-3</v>
          </cell>
          <cell r="G679">
            <v>6.7769076792615537E-3</v>
          </cell>
          <cell r="H679">
            <v>1.8483355950862784E-2</v>
          </cell>
          <cell r="I679">
            <v>2.0061120137423318E-2</v>
          </cell>
          <cell r="J679">
            <v>2.4915274468989713E-2</v>
          </cell>
          <cell r="K679">
            <v>1.9831808024787807E-2</v>
          </cell>
          <cell r="L679">
            <v>2.2021133452529266E-2</v>
          </cell>
          <cell r="M679">
            <v>2.1247757003446291E-2</v>
          </cell>
          <cell r="N679">
            <v>1.9834241747051898E-2</v>
          </cell>
          <cell r="O679">
            <v>2.4786417353296245E-2</v>
          </cell>
          <cell r="P679">
            <v>3.8307849193764759E-2</v>
          </cell>
        </row>
        <row r="680">
          <cell r="B680" t="str">
            <v>D-DH2</v>
          </cell>
          <cell r="C680" t="str">
            <v>VAR_fout</v>
          </cell>
          <cell r="D680" t="str">
            <v>H2</v>
          </cell>
          <cell r="H680">
            <v>1.0748466382244811E-5</v>
          </cell>
          <cell r="I680">
            <v>2.9431769514206034E-4</v>
          </cell>
          <cell r="J680">
            <v>9.9060967705763342E-4</v>
          </cell>
          <cell r="K680">
            <v>1.2284242321643742E-3</v>
          </cell>
          <cell r="L680">
            <v>1.272341311972991E-3</v>
          </cell>
          <cell r="M680">
            <v>1.2755860017817562E-3</v>
          </cell>
          <cell r="N680">
            <v>1.3132050144235262E-3</v>
          </cell>
          <cell r="O680">
            <v>1.0759562024089009E-3</v>
          </cell>
          <cell r="P680">
            <v>2.1274377642413497E-3</v>
          </cell>
        </row>
        <row r="681">
          <cell r="B681" t="str">
            <v>D-DH2</v>
          </cell>
          <cell r="C681" t="str">
            <v>VAR_fin</v>
          </cell>
          <cell r="D681" t="str">
            <v>H2_E</v>
          </cell>
          <cell r="H681">
            <v>1.0857036749742236E-5</v>
          </cell>
          <cell r="I681">
            <v>2.9729060115359616E-4</v>
          </cell>
          <cell r="J681">
            <v>1.0006158354117509E-3</v>
          </cell>
          <cell r="K681">
            <v>1.2408325577417919E-3</v>
          </cell>
          <cell r="L681">
            <v>1.2851932444171625E-3</v>
          </cell>
          <cell r="M681">
            <v>1.2884707088704596E-3</v>
          </cell>
          <cell r="N681">
            <v>1.3264697115389164E-3</v>
          </cell>
          <cell r="O681">
            <v>1.0868244468776786E-3</v>
          </cell>
          <cell r="P681">
            <v>2.1489270345872208E-3</v>
          </cell>
        </row>
        <row r="682">
          <cell r="B682" t="str">
            <v>D-DH2</v>
          </cell>
          <cell r="C682" t="str">
            <v>VAR_ncap</v>
          </cell>
          <cell r="D682" t="str">
            <v>-</v>
          </cell>
          <cell r="H682">
            <v>3.55649792396875E-5</v>
          </cell>
          <cell r="I682">
            <v>5.6961941278121703E-5</v>
          </cell>
          <cell r="J682">
            <v>2.2156975976582501E-4</v>
          </cell>
          <cell r="K682">
            <v>3.1144214267402898E-5</v>
          </cell>
          <cell r="L682">
            <v>1.52749525261164E-4</v>
          </cell>
          <cell r="M682">
            <v>7.4219324549027002E-6</v>
          </cell>
          <cell r="N682">
            <v>1.16818133970985E-4</v>
          </cell>
          <cell r="O682">
            <v>1.8366257738344302E-5</v>
          </cell>
          <cell r="P682">
            <v>6.1782894266572701E-4</v>
          </cell>
        </row>
        <row r="683">
          <cell r="B683" t="str">
            <v>D-DH2</v>
          </cell>
          <cell r="C683" t="str">
            <v>VAR_cap</v>
          </cell>
          <cell r="D683" t="str">
            <v>-</v>
          </cell>
          <cell r="H683">
            <v>3.55649792396875E-5</v>
          </cell>
          <cell r="I683">
            <v>9.2526920517809304E-5</v>
          </cell>
          <cell r="J683">
            <v>3.1409668028363502E-4</v>
          </cell>
          <cell r="K683">
            <v>3.45240894551037E-4</v>
          </cell>
          <cell r="L683">
            <v>4.9799041981220097E-4</v>
          </cell>
          <cell r="M683">
            <v>5.0541235226710395E-4</v>
          </cell>
          <cell r="N683">
            <v>6.2223048623808895E-4</v>
          </cell>
          <cell r="O683">
            <v>6.2932215866064395E-4</v>
          </cell>
          <cell r="P683">
            <v>1.22286070740247E-3</v>
          </cell>
        </row>
        <row r="684">
          <cell r="B684" t="str">
            <v>D-SBIO</v>
          </cell>
          <cell r="C684" t="str">
            <v>VAR_fout</v>
          </cell>
          <cell r="D684" t="str">
            <v>SBIO</v>
          </cell>
          <cell r="E684">
            <v>4.0477018834402987</v>
          </cell>
          <cell r="F684">
            <v>4.5834789601622532</v>
          </cell>
          <cell r="G684">
            <v>4.66247900000314</v>
          </cell>
          <cell r="H684">
            <v>4.6542984907350009</v>
          </cell>
          <cell r="I684">
            <v>4.7674741667079541</v>
          </cell>
          <cell r="J684">
            <v>4.8651972469804994</v>
          </cell>
          <cell r="K684">
            <v>4.9377928240647</v>
          </cell>
          <cell r="L684">
            <v>5.2412890442641027</v>
          </cell>
          <cell r="M684">
            <v>5.4370904050030644</v>
          </cell>
          <cell r="N684">
            <v>5.4374218302369535</v>
          </cell>
          <cell r="O684">
            <v>6.3927060169477041</v>
          </cell>
          <cell r="P684">
            <v>6.7045792190132358</v>
          </cell>
        </row>
        <row r="685">
          <cell r="B685" t="str">
            <v>D-SBIO</v>
          </cell>
          <cell r="C685" t="str">
            <v>VAR_fin</v>
          </cell>
          <cell r="D685" t="str">
            <v>BIO</v>
          </cell>
          <cell r="E685">
            <v>4.0477018834402987</v>
          </cell>
          <cell r="F685">
            <v>4.5834789601622532</v>
          </cell>
          <cell r="G685">
            <v>4.66247900000314</v>
          </cell>
          <cell r="H685">
            <v>4.6542984907350009</v>
          </cell>
          <cell r="I685">
            <v>4.7674741667079541</v>
          </cell>
          <cell r="J685">
            <v>4.8651972469804994</v>
          </cell>
          <cell r="K685">
            <v>4.9377928240647</v>
          </cell>
          <cell r="L685">
            <v>5.2412890442641027</v>
          </cell>
          <cell r="M685">
            <v>5.4370904050030644</v>
          </cell>
          <cell r="N685">
            <v>5.4374218302369535</v>
          </cell>
          <cell r="O685">
            <v>6.3927060169477041</v>
          </cell>
          <cell r="P685">
            <v>6.7045792190132358</v>
          </cell>
        </row>
        <row r="686">
          <cell r="B686" t="str">
            <v>SCOM-CHPBIO</v>
          </cell>
          <cell r="C686" t="str">
            <v>VAR_fout</v>
          </cell>
          <cell r="D686" t="str">
            <v>SCOM_LTH_CHPBIO</v>
          </cell>
          <cell r="E686">
            <v>1.4243186639473009</v>
          </cell>
          <cell r="F686">
            <v>1.5784079148783152</v>
          </cell>
          <cell r="G686">
            <v>1.4830000296085248</v>
          </cell>
          <cell r="H686">
            <v>1.3239856386096416</v>
          </cell>
          <cell r="I686">
            <v>1.164974591514562</v>
          </cell>
          <cell r="J686">
            <v>1.0059641399662935</v>
          </cell>
          <cell r="K686">
            <v>1.0059655989802256</v>
          </cell>
          <cell r="L686">
            <v>1.0059699135650677</v>
          </cell>
          <cell r="M686">
            <v>1.0059713096982754</v>
          </cell>
          <cell r="N686">
            <v>1.0059790180160655</v>
          </cell>
          <cell r="O686">
            <v>1.0059879505675899</v>
          </cell>
          <cell r="P686">
            <v>1.0512924271647559</v>
          </cell>
        </row>
        <row r="687">
          <cell r="B687" t="str">
            <v>SCOM-CHPBIO</v>
          </cell>
          <cell r="C687" t="str">
            <v>VAR_fout</v>
          </cell>
          <cell r="D687" t="str">
            <v>SCOM_KEV_BIO_ELC_CHP</v>
          </cell>
          <cell r="E687">
            <v>0.95937154447778306</v>
          </cell>
          <cell r="F687">
            <v>1.1060026264677421</v>
          </cell>
          <cell r="G687">
            <v>1.1060020092072389</v>
          </cell>
          <cell r="H687">
            <v>1.1059997394890209</v>
          </cell>
          <cell r="I687">
            <v>1.1060000247927093</v>
          </cell>
          <cell r="J687">
            <v>1.1060010550618784</v>
          </cell>
          <cell r="K687">
            <v>1.1060026591657277</v>
          </cell>
          <cell r="L687">
            <v>1.1060074028093589</v>
          </cell>
          <cell r="M687">
            <v>1.1060089377793842</v>
          </cell>
          <cell r="N687">
            <v>1.1060174126417279</v>
          </cell>
          <cell r="O687">
            <v>1.1060272334802825</v>
          </cell>
          <cell r="P687">
            <v>1.155836960213853</v>
          </cell>
        </row>
        <row r="688">
          <cell r="B688" t="str">
            <v>SCOM-CHPBIO</v>
          </cell>
          <cell r="C688" t="str">
            <v>VAR_fin</v>
          </cell>
          <cell r="D688" t="str">
            <v>SBIO</v>
          </cell>
          <cell r="E688">
            <v>2.6454152270692646</v>
          </cell>
          <cell r="F688">
            <v>3.0462498628839039</v>
          </cell>
          <cell r="G688">
            <v>3.0425806976027925</v>
          </cell>
          <cell r="H688">
            <v>3.0351834435336968</v>
          </cell>
          <cell r="I688">
            <v>2.9923153882979352</v>
          </cell>
          <cell r="J688">
            <v>2.9537514551891051</v>
          </cell>
          <cell r="K688">
            <v>2.9229423915946779</v>
          </cell>
          <cell r="L688">
            <v>2.8809852889460901</v>
          </cell>
          <cell r="M688">
            <v>2.8791952649816701</v>
          </cell>
          <cell r="N688">
            <v>2.8863077625088351</v>
          </cell>
          <cell r="O688">
            <v>2.8868666512184853</v>
          </cell>
          <cell r="P688">
            <v>3.0279081659686535</v>
          </cell>
        </row>
        <row r="689">
          <cell r="B689" t="str">
            <v>SCOM-CHPBIO</v>
          </cell>
          <cell r="C689" t="str">
            <v>VAR_ncap</v>
          </cell>
          <cell r="D689" t="str">
            <v>-</v>
          </cell>
          <cell r="F689">
            <v>2.6192110687933898E-2</v>
          </cell>
          <cell r="G689">
            <v>6.5684122546795396E-3</v>
          </cell>
          <cell r="H689">
            <v>1.2222193442826801E-2</v>
          </cell>
          <cell r="I689">
            <v>4.4083437756244799E-2</v>
          </cell>
          <cell r="J689">
            <v>2.9390029914188699E-2</v>
          </cell>
          <cell r="K689">
            <v>1.12761586284898E-2</v>
          </cell>
          <cell r="L689">
            <v>4.4084497160707697E-2</v>
          </cell>
          <cell r="M689">
            <v>2.6367940473126301E-2</v>
          </cell>
          <cell r="N689">
            <v>1.4298964307201499E-2</v>
          </cell>
          <cell r="O689">
            <v>4.4635879576643597E-2</v>
          </cell>
          <cell r="P689">
            <v>2.9634715585103701E-2</v>
          </cell>
        </row>
        <row r="690">
          <cell r="B690" t="str">
            <v>SCOM-CHPBIO</v>
          </cell>
          <cell r="C690" t="str">
            <v>VAR_cap</v>
          </cell>
          <cell r="D690" t="str">
            <v>-</v>
          </cell>
          <cell r="E690">
            <v>7.3512212582086248E-2</v>
          </cell>
          <cell r="F690">
            <v>8.4748961510234172E-2</v>
          </cell>
          <cell r="G690">
            <v>8.4749079507402583E-2</v>
          </cell>
          <cell r="H690">
            <v>8.4749491500355642E-2</v>
          </cell>
          <cell r="I690">
            <v>8.4749446513878141E-2</v>
          </cell>
          <cell r="J690">
            <v>8.474917261514027E-2</v>
          </cell>
          <cell r="K690">
            <v>8.4749299943949849E-2</v>
          </cell>
          <cell r="L690">
            <v>8.4750112262466398E-2</v>
          </cell>
          <cell r="M690">
            <v>8.4749835867174911E-2</v>
          </cell>
          <cell r="N690">
            <v>8.4750831273945837E-2</v>
          </cell>
          <cell r="O690">
            <v>8.4751322528131626E-2</v>
          </cell>
          <cell r="P690">
            <v>8.8568865080656395E-2</v>
          </cell>
        </row>
        <row r="691">
          <cell r="B691" t="str">
            <v>SCOM-CHPHFC</v>
          </cell>
          <cell r="C691" t="str">
            <v>VAR_fout</v>
          </cell>
          <cell r="D691" t="str">
            <v>SCOM_KEV_HFC_ELC_CHP</v>
          </cell>
          <cell r="H691">
            <v>1.179105126916615E-3</v>
          </cell>
          <cell r="I691">
            <v>2.8953630721704183E-3</v>
          </cell>
          <cell r="J691">
            <v>3.2528650828365759E-3</v>
          </cell>
          <cell r="K691">
            <v>3.8976150945933346E-3</v>
          </cell>
          <cell r="L691">
            <v>1.0094890472438606E-2</v>
          </cell>
          <cell r="M691">
            <v>9.2836695781904639E-3</v>
          </cell>
          <cell r="N691">
            <v>2.2665986264664602E-2</v>
          </cell>
          <cell r="O691">
            <v>1.7124567029159758E-2</v>
          </cell>
          <cell r="P691">
            <v>3.2710624900402413E-2</v>
          </cell>
        </row>
        <row r="692">
          <cell r="B692" t="str">
            <v>SCOM-CHPHFC</v>
          </cell>
          <cell r="C692" t="str">
            <v>VAR_fout</v>
          </cell>
          <cell r="D692" t="str">
            <v>SCOM_LTH_CHPHFC</v>
          </cell>
          <cell r="H692">
            <v>8.8743175341618832E-4</v>
          </cell>
          <cell r="I692">
            <v>2.0010740297037467E-3</v>
          </cell>
          <cell r="J692">
            <v>2.0481002373415481E-3</v>
          </cell>
          <cell r="K692">
            <v>2.3285268922610715E-3</v>
          </cell>
          <cell r="L692">
            <v>5.7058076583348695E-3</v>
          </cell>
          <cell r="M692">
            <v>5.2472915007163523E-3</v>
          </cell>
          <cell r="N692">
            <v>1.2811209627853924E-2</v>
          </cell>
          <cell r="O692">
            <v>9.6791031034381379E-3</v>
          </cell>
          <cell r="P692">
            <v>1.8488614074140507E-2</v>
          </cell>
        </row>
        <row r="693">
          <cell r="B693" t="str">
            <v>SCOM-CHPHFC</v>
          </cell>
          <cell r="C693" t="str">
            <v>VAR_fin</v>
          </cell>
          <cell r="D693" t="str">
            <v>RSH2</v>
          </cell>
          <cell r="H693">
            <v>2.4823265829823473E-3</v>
          </cell>
          <cell r="I693">
            <v>5.7051489106806222E-3</v>
          </cell>
          <cell r="J693">
            <v>6.0238242274751426E-3</v>
          </cell>
          <cell r="K693">
            <v>6.9912378378355735E-3</v>
          </cell>
          <cell r="L693">
            <v>1.7556331256414967E-2</v>
          </cell>
          <cell r="M693">
            <v>1.614551230989645E-2</v>
          </cell>
          <cell r="N693">
            <v>3.9419106547242795E-2</v>
          </cell>
          <cell r="O693">
            <v>2.978185570288655E-2</v>
          </cell>
          <cell r="P693">
            <v>5.6888043305047632E-2</v>
          </cell>
        </row>
        <row r="694">
          <cell r="B694" t="str">
            <v>SCOM-CHPHFC</v>
          </cell>
          <cell r="C694" t="str">
            <v>VAR_ncap</v>
          </cell>
          <cell r="D694" t="str">
            <v>-</v>
          </cell>
          <cell r="H694">
            <v>7.6428146212664095E-5</v>
          </cell>
          <cell r="I694">
            <v>1.13235976488693E-4</v>
          </cell>
          <cell r="J694">
            <v>3.2928344588497602E-5</v>
          </cell>
          <cell r="K694">
            <v>8.4685215022069302E-5</v>
          </cell>
          <cell r="L694">
            <v>5.6964399035196297E-4</v>
          </cell>
          <cell r="M694">
            <v>2.4512065591219898E-6</v>
          </cell>
          <cell r="N694">
            <v>9.9609237116741198E-4</v>
          </cell>
          <cell r="O694">
            <v>8.9414977076592996E-5</v>
          </cell>
          <cell r="P694">
            <v>1.1900754285641901E-3</v>
          </cell>
        </row>
        <row r="695">
          <cell r="B695" t="str">
            <v>SCOM-CHPHFC</v>
          </cell>
          <cell r="C695" t="str">
            <v>VAR_cap</v>
          </cell>
          <cell r="D695" t="str">
            <v>-</v>
          </cell>
          <cell r="H695">
            <v>7.6428146212664095E-5</v>
          </cell>
          <cell r="I695">
            <v>1.8962763619708052E-4</v>
          </cell>
          <cell r="J695">
            <v>2.0792849971109818E-4</v>
          </cell>
          <cell r="K695">
            <v>2.3073576161509681E-4</v>
          </cell>
          <cell r="L695">
            <v>6.8692380811626182E-4</v>
          </cell>
          <cell r="M695">
            <v>6.5006156654785134E-4</v>
          </cell>
          <cell r="N695">
            <v>1.5676775005615147E-3</v>
          </cell>
          <cell r="O695">
            <v>1.1874493318176562E-3</v>
          </cell>
          <cell r="P695">
            <v>2.2749945167747049E-3</v>
          </cell>
        </row>
        <row r="696">
          <cell r="B696" t="str">
            <v>RHES-EBAT</v>
          </cell>
          <cell r="C696" t="str">
            <v>VAR_fout</v>
          </cell>
          <cell r="D696" t="str">
            <v>RHES_ELC</v>
          </cell>
          <cell r="E696">
            <v>1.018052651092601E-3</v>
          </cell>
          <cell r="F696">
            <v>1.0143402395209179E-3</v>
          </cell>
          <cell r="G696">
            <v>1.0165271355857648E-3</v>
          </cell>
          <cell r="H696">
            <v>2.9049812631042917E-2</v>
          </cell>
          <cell r="I696">
            <v>5.0654951726923081E-2</v>
          </cell>
          <cell r="J696">
            <v>5.4081624224971439E-2</v>
          </cell>
          <cell r="K696">
            <v>5.959023705675752E-2</v>
          </cell>
          <cell r="L696">
            <v>6.8523167272197705E-2</v>
          </cell>
          <cell r="M696">
            <v>7.2676161256801944E-2</v>
          </cell>
          <cell r="N696">
            <v>7.1689191229384913E-2</v>
          </cell>
          <cell r="O696">
            <v>6.4827453174043384E-2</v>
          </cell>
          <cell r="P696">
            <v>7.3796055297858945E-2</v>
          </cell>
        </row>
        <row r="697">
          <cell r="B697" t="str">
            <v>RHES-EBAT</v>
          </cell>
          <cell r="C697" t="str">
            <v>VAR_fout</v>
          </cell>
          <cell r="D697" t="str">
            <v>AUX_RHES-EBAT_OUT</v>
          </cell>
          <cell r="E697">
            <v>1.0180526510926019E-3</v>
          </cell>
          <cell r="F697">
            <v>1.0143402395209192E-3</v>
          </cell>
          <cell r="G697">
            <v>1.0165271355857663E-3</v>
          </cell>
          <cell r="H697">
            <v>2.9049812631042934E-2</v>
          </cell>
          <cell r="I697">
            <v>5.0654951726923136E-2</v>
          </cell>
          <cell r="J697">
            <v>5.4081624224971488E-2</v>
          </cell>
          <cell r="K697">
            <v>5.9590237056757568E-2</v>
          </cell>
          <cell r="L697">
            <v>6.8523167272197746E-2</v>
          </cell>
          <cell r="M697">
            <v>7.2676161256801985E-2</v>
          </cell>
          <cell r="N697">
            <v>7.1689191229384969E-2</v>
          </cell>
          <cell r="O697">
            <v>6.482745317404344E-2</v>
          </cell>
          <cell r="P697">
            <v>7.3796055297859015E-2</v>
          </cell>
        </row>
        <row r="698">
          <cell r="B698" t="str">
            <v>RHES-EBAT</v>
          </cell>
          <cell r="C698" t="str">
            <v>VAR_fin</v>
          </cell>
          <cell r="D698" t="str">
            <v>RHES_ELC</v>
          </cell>
          <cell r="E698">
            <v>1.1272506498640191E-3</v>
          </cell>
          <cell r="F698">
            <v>1.1234388824414596E-3</v>
          </cell>
          <cell r="G698">
            <v>1.1246716765067281E-3</v>
          </cell>
          <cell r="H698">
            <v>3.2125807445511405E-2</v>
          </cell>
          <cell r="I698">
            <v>5.6018209865762968E-2</v>
          </cell>
          <cell r="J698">
            <v>5.9807342036032309E-2</v>
          </cell>
          <cell r="K698">
            <v>6.5899141777652992E-2</v>
          </cell>
          <cell r="L698">
            <v>7.5779038562555537E-2</v>
          </cell>
          <cell r="M698">
            <v>8.0370525870962134E-2</v>
          </cell>
          <cell r="N698">
            <v>7.9282342835781075E-2</v>
          </cell>
          <cell r="O698">
            <v>7.1691912228486615E-2</v>
          </cell>
          <cell r="P698">
            <v>8.1616540398367562E-2</v>
          </cell>
        </row>
        <row r="699">
          <cell r="B699" t="str">
            <v>RHES-EBAT</v>
          </cell>
          <cell r="C699" t="str">
            <v>VAR_fin</v>
          </cell>
          <cell r="D699" t="str">
            <v>AUX_RHES-EBAT_IN</v>
          </cell>
          <cell r="E699">
            <v>1.1272506498640191E-3</v>
          </cell>
          <cell r="F699">
            <v>1.1234388824414596E-3</v>
          </cell>
          <cell r="G699">
            <v>1.1246716765067281E-3</v>
          </cell>
          <cell r="H699">
            <v>3.2125807445511405E-2</v>
          </cell>
          <cell r="I699">
            <v>5.6018209865762968E-2</v>
          </cell>
          <cell r="J699">
            <v>5.9807342036032309E-2</v>
          </cell>
          <cell r="K699">
            <v>6.5899141777652992E-2</v>
          </cell>
          <cell r="L699">
            <v>7.5779038562555537E-2</v>
          </cell>
          <cell r="M699">
            <v>8.0370525870962134E-2</v>
          </cell>
          <cell r="N699">
            <v>7.9282342835781075E-2</v>
          </cell>
          <cell r="O699">
            <v>7.1691912228486615E-2</v>
          </cell>
          <cell r="P699">
            <v>8.1616540398367562E-2</v>
          </cell>
        </row>
        <row r="700">
          <cell r="B700" t="str">
            <v>RHES-EBAT</v>
          </cell>
          <cell r="C700" t="str">
            <v>VAR_ncap</v>
          </cell>
          <cell r="D700" t="str">
            <v>-</v>
          </cell>
          <cell r="E700">
            <v>4.1277018986670999E-4</v>
          </cell>
          <cell r="F700">
            <v>6.6354115159011003E-7</v>
          </cell>
          <cell r="G700">
            <v>1.9138861568278199E-6</v>
          </cell>
          <cell r="H700">
            <v>2.0552412921634199E-2</v>
          </cell>
          <cell r="I700">
            <v>1.8975266022913601E-3</v>
          </cell>
          <cell r="J700">
            <v>1.6002456629199101E-2</v>
          </cell>
          <cell r="K700">
            <v>8.8074348688154391E-3</v>
          </cell>
          <cell r="L700">
            <v>1.3819212712051099E-2</v>
          </cell>
          <cell r="M700">
            <v>1.1992129042120599E-2</v>
          </cell>
          <cell r="N700">
            <v>1.02948718201304E-2</v>
          </cell>
          <cell r="O700">
            <v>1.41370086302841E-2</v>
          </cell>
          <cell r="P700">
            <v>9.1478725988730393E-3</v>
          </cell>
        </row>
        <row r="701">
          <cell r="B701" t="str">
            <v>RHES-EBAT</v>
          </cell>
          <cell r="C701" t="str">
            <v>VAR_cap</v>
          </cell>
          <cell r="D701" t="str">
            <v>-</v>
          </cell>
          <cell r="E701">
            <v>4.1547661454449116E-4</v>
          </cell>
          <cell r="F701">
            <v>4.1590191843918532E-4</v>
          </cell>
          <cell r="G701">
            <v>4.1725625096560341E-4</v>
          </cell>
          <cell r="H701">
            <v>2.0855995814083855E-2</v>
          </cell>
          <cell r="I701">
            <v>2.2450552852102221E-2</v>
          </cell>
          <cell r="J701">
            <v>2.2215508404594367E-2</v>
          </cell>
          <cell r="K701">
            <v>2.5793292166985497E-2</v>
          </cell>
          <cell r="L701">
            <v>2.8092032377156999E-2</v>
          </cell>
          <cell r="M701">
            <v>2.9772368914359693E-2</v>
          </cell>
          <cell r="N701">
            <v>2.9366022699653386E-2</v>
          </cell>
          <cell r="O701">
            <v>2.655504858524636E-2</v>
          </cell>
          <cell r="P701">
            <v>3.0230806157250805E-2</v>
          </cell>
        </row>
        <row r="702">
          <cell r="B702" t="str">
            <v>D-INGA</v>
          </cell>
          <cell r="C702" t="str">
            <v>VAR_fout</v>
          </cell>
          <cell r="D702" t="str">
            <v>CO2</v>
          </cell>
          <cell r="E702">
            <v>2101.7883929483301</v>
          </cell>
          <cell r="F702">
            <v>1715.5377032942299</v>
          </cell>
          <cell r="G702">
            <v>1770.03120587898</v>
          </cell>
          <cell r="H702">
            <v>1590.1365849210199</v>
          </cell>
          <cell r="I702">
            <v>1436.8977239221199</v>
          </cell>
          <cell r="J702">
            <v>1279.05133303506</v>
          </cell>
          <cell r="K702">
            <v>1114.0952430299401</v>
          </cell>
          <cell r="L702">
            <v>970.42028306654504</v>
          </cell>
          <cell r="M702">
            <v>867.41584649231095</v>
          </cell>
          <cell r="N702">
            <v>731.19844426603595</v>
          </cell>
          <cell r="O702">
            <v>653.90338784541598</v>
          </cell>
          <cell r="P702">
            <v>571.73733615727599</v>
          </cell>
        </row>
        <row r="703">
          <cell r="B703" t="str">
            <v>D-INGA</v>
          </cell>
          <cell r="C703" t="str">
            <v>VAR_fout</v>
          </cell>
          <cell r="D703" t="str">
            <v>IH2</v>
          </cell>
          <cell r="H703">
            <v>2.7616474410593998E-3</v>
          </cell>
          <cell r="I703">
            <v>9.2810969493113925E-3</v>
          </cell>
          <cell r="J703">
            <v>1.4719404717989628E-2</v>
          </cell>
          <cell r="K703">
            <v>1.3787881325264333E-2</v>
          </cell>
          <cell r="L703">
            <v>7.4686071022978653E-2</v>
          </cell>
          <cell r="M703">
            <v>8.8385203128657094E-2</v>
          </cell>
          <cell r="N703">
            <v>0.17383453483540784</v>
          </cell>
          <cell r="O703">
            <v>0.19673368711687106</v>
          </cell>
          <cell r="P703">
            <v>0.18511113044140806</v>
          </cell>
        </row>
        <row r="704">
          <cell r="B704" t="str">
            <v>D-INGA</v>
          </cell>
          <cell r="C704" t="str">
            <v>VAR_fout</v>
          </cell>
          <cell r="D704" t="str">
            <v>INGA</v>
          </cell>
          <cell r="E704">
            <v>37.473771828746017</v>
          </cell>
          <cell r="F704">
            <v>30.320564048956509</v>
          </cell>
          <cell r="G704">
            <v>34.030494360880134</v>
          </cell>
          <cell r="H704">
            <v>30.851366455706817</v>
          </cell>
          <cell r="I704">
            <v>28.143003312120406</v>
          </cell>
          <cell r="J704">
            <v>25.353200331307601</v>
          </cell>
          <cell r="K704">
            <v>22.43777595699498</v>
          </cell>
          <cell r="L704">
            <v>19.898259323212628</v>
          </cell>
          <cell r="M704">
            <v>18.077717506748115</v>
          </cell>
          <cell r="N704">
            <v>15.669943405469086</v>
          </cell>
          <cell r="O704">
            <v>14.30375830435473</v>
          </cell>
          <cell r="P704">
            <v>12.851602623539332</v>
          </cell>
        </row>
        <row r="705">
          <cell r="B705" t="str">
            <v>D-INGA</v>
          </cell>
          <cell r="C705" t="str">
            <v>VAR_fin</v>
          </cell>
          <cell r="D705" t="str">
            <v>NGA</v>
          </cell>
          <cell r="E705">
            <v>37.2657516480201</v>
          </cell>
          <cell r="F705">
            <v>30.417335164791336</v>
          </cell>
          <cell r="G705">
            <v>31.383532019130957</v>
          </cell>
          <cell r="H705">
            <v>28.19391108015995</v>
          </cell>
          <cell r="I705">
            <v>25.47690999861916</v>
          </cell>
          <cell r="J705">
            <v>22.678215124735189</v>
          </cell>
          <cell r="K705">
            <v>19.753461755850065</v>
          </cell>
          <cell r="L705">
            <v>17.206033387704714</v>
          </cell>
          <cell r="M705">
            <v>15.379713590289203</v>
          </cell>
          <cell r="N705">
            <v>12.964511423156663</v>
          </cell>
          <cell r="O705">
            <v>11.594031699386816</v>
          </cell>
          <cell r="P705">
            <v>10.137186811299213</v>
          </cell>
        </row>
        <row r="706">
          <cell r="B706" t="str">
            <v>D-INGA</v>
          </cell>
          <cell r="C706" t="str">
            <v>VAR_fin</v>
          </cell>
          <cell r="D706" t="str">
            <v>BNGA</v>
          </cell>
          <cell r="E706">
            <v>0.32773462624862343</v>
          </cell>
          <cell r="F706">
            <v>1.1533728650658892E-4</v>
          </cell>
          <cell r="G706">
            <v>2.7556768256259172</v>
          </cell>
          <cell r="H706">
            <v>2.7560544141975956</v>
          </cell>
          <cell r="I706">
            <v>2.7560574509048132</v>
          </cell>
          <cell r="J706">
            <v>2.7560590000865695</v>
          </cell>
          <cell r="K706">
            <v>2.75606391937007</v>
          </cell>
          <cell r="L706">
            <v>2.7560738300497154</v>
          </cell>
          <cell r="M706">
            <v>2.7560676079764006</v>
          </cell>
          <cell r="N706">
            <v>2.7560722002478069</v>
          </cell>
          <cell r="O706">
            <v>2.7560769696735505</v>
          </cell>
          <cell r="P706">
            <v>2.7561477048589977</v>
          </cell>
        </row>
        <row r="707">
          <cell r="B707" t="str">
            <v>D-INGA</v>
          </cell>
          <cell r="C707" t="str">
            <v>VAR_fin</v>
          </cell>
          <cell r="D707" t="str">
            <v>H2</v>
          </cell>
          <cell r="H707">
            <v>2.7613571959470128E-3</v>
          </cell>
          <cell r="I707">
            <v>9.2778499523337356E-3</v>
          </cell>
          <cell r="J707">
            <v>1.4711938891555533E-2</v>
          </cell>
          <cell r="K707">
            <v>1.3780415498830256E-2</v>
          </cell>
          <cell r="L707">
            <v>7.4670072823475819E-2</v>
          </cell>
          <cell r="M707">
            <v>8.8377737302223244E-2</v>
          </cell>
          <cell r="N707">
            <v>0.17382386936907432</v>
          </cell>
          <cell r="O707">
            <v>0.19672944938500736</v>
          </cell>
          <cell r="P707">
            <v>0.18507913404240484</v>
          </cell>
        </row>
        <row r="708">
          <cell r="B708" t="str">
            <v>D-INGA</v>
          </cell>
          <cell r="C708" t="str">
            <v>VAR_ncap</v>
          </cell>
          <cell r="D708" t="str">
            <v>-</v>
          </cell>
          <cell r="E708">
            <v>7.1166269084510401E-7</v>
          </cell>
          <cell r="F708">
            <v>4.8148470281905604E-7</v>
          </cell>
          <cell r="G708">
            <v>7.2431566620819399E-7</v>
          </cell>
          <cell r="H708">
            <v>8.7966749812732098E-7</v>
          </cell>
          <cell r="I708">
            <v>1.41259780378197E-6</v>
          </cell>
          <cell r="J708">
            <v>2.00382022284548E-6</v>
          </cell>
          <cell r="K708">
            <v>3.6959026941698401E-6</v>
          </cell>
          <cell r="L708">
            <v>8.2860385658075603E-2</v>
          </cell>
          <cell r="M708">
            <v>0.55996332862449205</v>
          </cell>
          <cell r="N708">
            <v>4.4408688790834203E-5</v>
          </cell>
          <cell r="O708">
            <v>1.6710896210807698E-5</v>
          </cell>
          <cell r="P708">
            <v>5.1464271598213802E-5</v>
          </cell>
        </row>
        <row r="709">
          <cell r="B709" t="str">
            <v>D-INGA</v>
          </cell>
          <cell r="C709" t="str">
            <v>VAR_cap</v>
          </cell>
          <cell r="D709" t="str">
            <v>-</v>
          </cell>
          <cell r="E709">
            <v>1.9844840819287908</v>
          </cell>
          <cell r="F709">
            <v>1.9844845634134938</v>
          </cell>
          <cell r="G709">
            <v>1.9844852877291599</v>
          </cell>
          <cell r="H709">
            <v>1.9844861673966581</v>
          </cell>
          <cell r="I709">
            <v>1.9844875799944617</v>
          </cell>
          <cell r="J709">
            <v>1.9844895838146845</v>
          </cell>
          <cell r="K709">
            <v>1.9844932797173789</v>
          </cell>
          <cell r="L709">
            <v>0.97628455031740136</v>
          </cell>
          <cell r="M709">
            <v>0.74968167293252597</v>
          </cell>
          <cell r="N709">
            <v>0.64287727051964405</v>
          </cell>
          <cell r="O709">
            <v>0.64289267528133198</v>
          </cell>
          <cell r="P709">
            <v>0.64294341045988801</v>
          </cell>
        </row>
        <row r="710">
          <cell r="B710" t="str">
            <v>EWIND</v>
          </cell>
          <cell r="C710" t="str">
            <v>VAR_fout</v>
          </cell>
          <cell r="D710" t="str">
            <v>ELC35</v>
          </cell>
          <cell r="E710">
            <v>0.52400000000000047</v>
          </cell>
          <cell r="F710">
            <v>0.54529230746486002</v>
          </cell>
          <cell r="G710">
            <v>0.503164905798409</v>
          </cell>
          <cell r="H710">
            <v>0.54657696956086987</v>
          </cell>
          <cell r="I710">
            <v>0.5470761562361417</v>
          </cell>
          <cell r="J710">
            <v>0.54724784812225757</v>
          </cell>
          <cell r="K710">
            <v>0.55273988564425414</v>
          </cell>
          <cell r="L710">
            <v>0.55281225691644442</v>
          </cell>
          <cell r="M710">
            <v>0.55282019454418119</v>
          </cell>
          <cell r="N710">
            <v>0.55283772132341857</v>
          </cell>
          <cell r="O710">
            <v>0.55342834497210747</v>
          </cell>
          <cell r="P710">
            <v>0.55653054330829999</v>
          </cell>
        </row>
        <row r="711">
          <cell r="B711" t="str">
            <v>EWIND</v>
          </cell>
          <cell r="C711" t="str">
            <v>VAR_fin</v>
          </cell>
          <cell r="D711" t="str">
            <v>WND</v>
          </cell>
          <cell r="E711">
            <v>0.52400000000000047</v>
          </cell>
          <cell r="F711">
            <v>0.54529230746486002</v>
          </cell>
          <cell r="G711">
            <v>0.503164905798409</v>
          </cell>
          <cell r="H711">
            <v>0.54657696956086987</v>
          </cell>
          <cell r="I711">
            <v>0.5470761562361417</v>
          </cell>
          <cell r="J711">
            <v>0.54724784812225757</v>
          </cell>
          <cell r="K711">
            <v>0.55273988564425414</v>
          </cell>
          <cell r="L711">
            <v>0.55281225691644442</v>
          </cell>
          <cell r="M711">
            <v>0.55282019454418119</v>
          </cell>
          <cell r="N711">
            <v>0.55283772132341857</v>
          </cell>
          <cell r="O711">
            <v>0.55342834497210747</v>
          </cell>
          <cell r="P711">
            <v>0.55653054330829999</v>
          </cell>
        </row>
        <row r="712">
          <cell r="B712" t="str">
            <v>EWIND</v>
          </cell>
          <cell r="C712" t="str">
            <v>VAR_ncap</v>
          </cell>
          <cell r="D712" t="str">
            <v>-</v>
          </cell>
          <cell r="F712">
            <v>7.1321612502984796E-3</v>
          </cell>
          <cell r="G712">
            <v>2.9903669841646E-2</v>
          </cell>
          <cell r="H712">
            <v>3.4444617759498898E-2</v>
          </cell>
          <cell r="I712">
            <v>2.1998175999203898E-2</v>
          </cell>
          <cell r="J712">
            <v>7.9760367724484598E-7</v>
          </cell>
          <cell r="K712">
            <v>3.5468239974534403E-2</v>
          </cell>
          <cell r="L712">
            <v>4.50812942274905E-2</v>
          </cell>
          <cell r="M712">
            <v>1.13662145685754E-2</v>
          </cell>
          <cell r="N712">
            <v>4.8327501970732804E-6</v>
          </cell>
          <cell r="O712">
            <v>3.6079778313018701E-2</v>
          </cell>
        </row>
        <row r="713">
          <cell r="B713" t="str">
            <v>EWIND</v>
          </cell>
          <cell r="C713" t="str">
            <v>VAR_cap</v>
          </cell>
          <cell r="D713" t="str">
            <v>-</v>
          </cell>
          <cell r="E713">
            <v>8.7120000000000003E-2</v>
          </cell>
          <cell r="F713">
            <v>9.0660049286905672E-2</v>
          </cell>
          <cell r="G713">
            <v>8.3655966780834673E-2</v>
          </cell>
          <cell r="H713">
            <v>9.0873921655966403E-2</v>
          </cell>
          <cell r="I713">
            <v>9.0957618025568107E-2</v>
          </cell>
          <cell r="J713">
            <v>9.0986156890045439E-2</v>
          </cell>
          <cell r="K713">
            <v>9.1899813099397903E-2</v>
          </cell>
          <cell r="L713">
            <v>9.1911831336914496E-2</v>
          </cell>
          <cell r="M713">
            <v>9.1913200038911194E-2</v>
          </cell>
          <cell r="N713">
            <v>9.1916546374277597E-2</v>
          </cell>
          <cell r="O713">
            <v>9.2015461843183294E-2</v>
          </cell>
          <cell r="P713">
            <v>9.2532119859281795E-2</v>
          </cell>
        </row>
        <row r="714">
          <cell r="B714" t="str">
            <v>EGEO</v>
          </cell>
          <cell r="C714" t="str">
            <v>VAR_fout</v>
          </cell>
          <cell r="D714" t="str">
            <v>ELC35</v>
          </cell>
          <cell r="K714">
            <v>5.4915607716595257E-3</v>
          </cell>
          <cell r="L714">
            <v>8.5331714328763467E-3</v>
          </cell>
          <cell r="M714">
            <v>9.0147530764400872E-3</v>
          </cell>
          <cell r="N714">
            <v>1.0059012233796327E-2</v>
          </cell>
          <cell r="O714">
            <v>1.1687307299713821E-2</v>
          </cell>
          <cell r="P714">
            <v>2.0730814841950881E-2</v>
          </cell>
        </row>
        <row r="715">
          <cell r="B715" t="str">
            <v>EGEO</v>
          </cell>
          <cell r="C715" t="str">
            <v>VAR_fin</v>
          </cell>
          <cell r="D715" t="str">
            <v>GEO</v>
          </cell>
          <cell r="K715">
            <v>3.6610405144396854E-2</v>
          </cell>
          <cell r="L715">
            <v>5.6887809552508967E-2</v>
          </cell>
          <cell r="M715">
            <v>6.009835384293391E-2</v>
          </cell>
          <cell r="N715">
            <v>6.7060081558642223E-2</v>
          </cell>
          <cell r="O715">
            <v>7.7915381998092212E-2</v>
          </cell>
          <cell r="P715">
            <v>0.13820543227967247</v>
          </cell>
        </row>
        <row r="716">
          <cell r="B716" t="str">
            <v>EGEO</v>
          </cell>
          <cell r="C716" t="str">
            <v>VAR_ncap</v>
          </cell>
          <cell r="D716" t="str">
            <v>-</v>
          </cell>
          <cell r="J716">
            <v>1.93067839674381E-4</v>
          </cell>
          <cell r="K716">
            <v>1.6187941071840899E-4</v>
          </cell>
          <cell r="L716">
            <v>6.5253706827912996E-7</v>
          </cell>
          <cell r="M716">
            <v>5.5073790397034402E-5</v>
          </cell>
          <cell r="N716">
            <v>1.1025253766706E-6</v>
          </cell>
          <cell r="O716">
            <v>4.3874063861269502E-4</v>
          </cell>
        </row>
        <row r="717">
          <cell r="B717" t="str">
            <v>EGEO</v>
          </cell>
          <cell r="C717" t="str">
            <v>VAR_cap</v>
          </cell>
          <cell r="D717" t="str">
            <v>-</v>
          </cell>
          <cell r="K717">
            <v>2.1838555622160827E-4</v>
          </cell>
          <cell r="L717">
            <v>3.5484206379102716E-4</v>
          </cell>
          <cell r="M717">
            <v>3.6998200546418209E-4</v>
          </cell>
          <cell r="N717">
            <v>4.1033348155373274E-4</v>
          </cell>
          <cell r="O717">
            <v>4.7979590774447923E-4</v>
          </cell>
          <cell r="P717">
            <v>8.4982225619928983E-4</v>
          </cell>
        </row>
        <row r="718">
          <cell r="B718" t="str">
            <v>D-SPLT</v>
          </cell>
          <cell r="C718" t="str">
            <v>VAR_fout</v>
          </cell>
          <cell r="D718" t="str">
            <v>SPLT</v>
          </cell>
          <cell r="E718">
            <v>2.0856391487670529</v>
          </cell>
          <cell r="F718">
            <v>2.4000936664245707</v>
          </cell>
          <cell r="G718">
            <v>2.3203174169881171</v>
          </cell>
          <cell r="H718">
            <v>2.5333130937199804</v>
          </cell>
          <cell r="I718">
            <v>2.6821881542859396</v>
          </cell>
          <cell r="J718">
            <v>3.0342107639805862</v>
          </cell>
          <cell r="K718">
            <v>2.8917537740626575</v>
          </cell>
          <cell r="L718">
            <v>2.9539177868909241</v>
          </cell>
          <cell r="M718">
            <v>2.8831042316394275</v>
          </cell>
          <cell r="N718">
            <v>2.815671455330647</v>
          </cell>
          <cell r="O718">
            <v>2.754624434808477</v>
          </cell>
          <cell r="P718">
            <v>2.6330475628142276</v>
          </cell>
        </row>
        <row r="719">
          <cell r="B719" t="str">
            <v>D-SPLT</v>
          </cell>
          <cell r="C719" t="str">
            <v>VAR_fin</v>
          </cell>
          <cell r="D719" t="str">
            <v>PLT</v>
          </cell>
          <cell r="E719">
            <v>2.0856391487670529</v>
          </cell>
          <cell r="F719">
            <v>2.4000936664245707</v>
          </cell>
          <cell r="G719">
            <v>2.3203174169881171</v>
          </cell>
          <cell r="H719">
            <v>2.5333130937199804</v>
          </cell>
          <cell r="I719">
            <v>2.6821881542859396</v>
          </cell>
          <cell r="J719">
            <v>3.0342107639805862</v>
          </cell>
          <cell r="K719">
            <v>2.8917537740626575</v>
          </cell>
          <cell r="L719">
            <v>2.9539177868909241</v>
          </cell>
          <cell r="M719">
            <v>2.8831042316394275</v>
          </cell>
          <cell r="N719">
            <v>2.815671455330647</v>
          </cell>
          <cell r="O719">
            <v>2.754624434808477</v>
          </cell>
          <cell r="P719">
            <v>2.6330475628142276</v>
          </cell>
        </row>
        <row r="720">
          <cell r="B720" t="str">
            <v>RHES-ESOLPV</v>
          </cell>
          <cell r="C720" t="str">
            <v>VAR_fout</v>
          </cell>
          <cell r="D720" t="str">
            <v>RHES_SOL_ELC</v>
          </cell>
          <cell r="E720">
            <v>2.1349390887346629</v>
          </cell>
          <cell r="F720">
            <v>3.3906652526389363</v>
          </cell>
          <cell r="G720">
            <v>6.9673957747321262</v>
          </cell>
          <cell r="H720">
            <v>18.914565026121839</v>
          </cell>
          <cell r="I720">
            <v>19.879401153071633</v>
          </cell>
          <cell r="J720">
            <v>20.893450270494899</v>
          </cell>
          <cell r="K720">
            <v>21.959226260485369</v>
          </cell>
          <cell r="L720">
            <v>23.079368698542833</v>
          </cell>
          <cell r="M720">
            <v>24.256649124597626</v>
          </cell>
          <cell r="N720">
            <v>25.493984013781859</v>
          </cell>
          <cell r="O720">
            <v>26.794435703629865</v>
          </cell>
          <cell r="P720">
            <v>28.161235673565983</v>
          </cell>
        </row>
        <row r="721">
          <cell r="B721" t="str">
            <v>RHES-ESOLPV</v>
          </cell>
          <cell r="C721" t="str">
            <v>VAR_fin</v>
          </cell>
          <cell r="D721" t="str">
            <v>SOL</v>
          </cell>
          <cell r="E721">
            <v>2.1349390887346629</v>
          </cell>
          <cell r="F721">
            <v>3.3906652526389363</v>
          </cell>
          <cell r="G721">
            <v>6.9673957747321262</v>
          </cell>
          <cell r="H721">
            <v>18.914565026121839</v>
          </cell>
          <cell r="I721">
            <v>19.879401153071633</v>
          </cell>
          <cell r="J721">
            <v>20.893450270494899</v>
          </cell>
          <cell r="K721">
            <v>21.959226260485369</v>
          </cell>
          <cell r="L721">
            <v>23.079368698542833</v>
          </cell>
          <cell r="M721">
            <v>24.256649124597626</v>
          </cell>
          <cell r="N721">
            <v>25.493984013781859</v>
          </cell>
          <cell r="O721">
            <v>26.794435703629865</v>
          </cell>
          <cell r="P721">
            <v>28.161235673565983</v>
          </cell>
        </row>
        <row r="722">
          <cell r="B722" t="str">
            <v>RHES-ESOLPV</v>
          </cell>
          <cell r="C722" t="str">
            <v>VAR_fin</v>
          </cell>
          <cell r="D722" t="str">
            <v>SOLPVC</v>
          </cell>
          <cell r="E722">
            <v>2.1349390887346602</v>
          </cell>
          <cell r="F722">
            <v>3.3906652526389398</v>
          </cell>
          <cell r="G722">
            <v>6.9673957747321298</v>
          </cell>
          <cell r="H722">
            <v>18.914565026121799</v>
          </cell>
          <cell r="I722">
            <v>19.879401153071601</v>
          </cell>
          <cell r="J722">
            <v>20.893450270494899</v>
          </cell>
          <cell r="K722">
            <v>21.959226260485401</v>
          </cell>
          <cell r="L722">
            <v>23.079368698542801</v>
          </cell>
          <cell r="M722">
            <v>24.256649124597601</v>
          </cell>
          <cell r="N722">
            <v>25.493984013781901</v>
          </cell>
          <cell r="O722">
            <v>26.794435703629901</v>
          </cell>
          <cell r="P722">
            <v>28.161235673566001</v>
          </cell>
        </row>
        <row r="723">
          <cell r="B723" t="str">
            <v>RHES-ESOLPV</v>
          </cell>
          <cell r="C723" t="str">
            <v>VAR_ncap</v>
          </cell>
          <cell r="D723" t="str">
            <v>-</v>
          </cell>
          <cell r="F723">
            <v>3.5178382080035397E-8</v>
          </cell>
          <cell r="G723">
            <v>0.79116927260485803</v>
          </cell>
          <cell r="H723">
            <v>2.6357894360156102</v>
          </cell>
          <cell r="I723">
            <v>0.46157090372369097</v>
          </cell>
          <cell r="J723">
            <v>0.75113698850752997</v>
          </cell>
          <cell r="K723">
            <v>2.27939276233902</v>
          </cell>
          <cell r="L723">
            <v>2.2174507089201598</v>
          </cell>
          <cell r="M723">
            <v>0.71222313779634305</v>
          </cell>
          <cell r="N723">
            <v>1.09783068433649</v>
          </cell>
          <cell r="O723">
            <v>2.60110886449141</v>
          </cell>
          <cell r="P723">
            <v>2.55558196222109</v>
          </cell>
        </row>
        <row r="724">
          <cell r="B724" t="str">
            <v>RHES-ESOLPV</v>
          </cell>
          <cell r="C724" t="str">
            <v>VAR_cap</v>
          </cell>
          <cell r="D724" t="str">
            <v>-</v>
          </cell>
          <cell r="E724">
            <v>0.67885700000000004</v>
          </cell>
          <cell r="F724">
            <v>1.1558999528565319</v>
          </cell>
          <cell r="G724">
            <v>2.080326307783241</v>
          </cell>
          <cell r="H724">
            <v>4.67923290885523</v>
          </cell>
          <cell r="I724">
            <v>4.9179211367012003</v>
          </cell>
          <cell r="J724">
            <v>5.1687842606721404</v>
          </cell>
          <cell r="K724">
            <v>5.4324421776930398</v>
          </cell>
          <cell r="L724">
            <v>5.7095513634903998</v>
          </cell>
          <cell r="M724">
            <v>6.0007960725840297</v>
          </cell>
          <cell r="N724">
            <v>6.3068972933920202</v>
          </cell>
          <cell r="O724">
            <v>6.6286133955444102</v>
          </cell>
          <cell r="P724">
            <v>6.9667446488453297</v>
          </cell>
        </row>
        <row r="725">
          <cell r="B725" t="str">
            <v>EHYD-DAM10</v>
          </cell>
          <cell r="C725" t="str">
            <v>VAR_fout</v>
          </cell>
          <cell r="D725" t="str">
            <v>ELC</v>
          </cell>
          <cell r="F725">
            <v>1.1210487891965703E-2</v>
          </cell>
          <cell r="G725">
            <v>5.3032131740424725E-2</v>
          </cell>
          <cell r="H725">
            <v>0.72567174186302852</v>
          </cell>
          <cell r="I725">
            <v>0.72999197716566977</v>
          </cell>
          <cell r="J725">
            <v>0.73332462821955269</v>
          </cell>
          <cell r="K725">
            <v>0.73380043008227369</v>
          </cell>
          <cell r="L725">
            <v>0.73185795703879519</v>
          </cell>
          <cell r="M725">
            <v>0.73185471316918183</v>
          </cell>
          <cell r="N725">
            <v>0.73185571246752601</v>
          </cell>
          <cell r="O725">
            <v>0.73185533146617909</v>
          </cell>
          <cell r="P725">
            <v>0.7317998071776336</v>
          </cell>
        </row>
        <row r="726">
          <cell r="B726" t="str">
            <v>EHYD-DAM10</v>
          </cell>
          <cell r="C726" t="str">
            <v>VAR_fin</v>
          </cell>
          <cell r="D726" t="str">
            <v>HYDD</v>
          </cell>
          <cell r="F726">
            <v>1.1210487891965703E-2</v>
          </cell>
          <cell r="G726">
            <v>5.3032131740424725E-2</v>
          </cell>
          <cell r="H726">
            <v>0.72567174186302852</v>
          </cell>
          <cell r="I726">
            <v>0.72999197716566977</v>
          </cell>
          <cell r="J726">
            <v>0.73332462821955269</v>
          </cell>
          <cell r="K726">
            <v>0.73380043008227369</v>
          </cell>
          <cell r="L726">
            <v>0.73185795703879519</v>
          </cell>
          <cell r="M726">
            <v>0.73185471316918183</v>
          </cell>
          <cell r="N726">
            <v>0.73185571246752601</v>
          </cell>
          <cell r="O726">
            <v>0.73185533146617909</v>
          </cell>
          <cell r="P726">
            <v>0.7317998071776336</v>
          </cell>
        </row>
        <row r="727">
          <cell r="B727" t="str">
            <v>EHYD-DAM10</v>
          </cell>
          <cell r="C727" t="str">
            <v>VAR_ncap</v>
          </cell>
          <cell r="D727" t="str">
            <v>-</v>
          </cell>
          <cell r="F727">
            <v>1.44541982284273E-3</v>
          </cell>
          <cell r="G727">
            <v>4.3422976473378398E-3</v>
          </cell>
          <cell r="H727">
            <v>6.9508256453046896E-2</v>
          </cell>
          <cell r="I727">
            <v>3.3443585852937E-7</v>
          </cell>
          <cell r="J727">
            <v>2.8358443954615399E-7</v>
          </cell>
          <cell r="K727">
            <v>1.19132354010253E-7</v>
          </cell>
          <cell r="L727">
            <v>1.03554865705995E-7</v>
          </cell>
          <cell r="M727">
            <v>5.71024584102415E-8</v>
          </cell>
          <cell r="N727">
            <v>3.7688250754648202E-8</v>
          </cell>
          <cell r="O727">
            <v>2.8578928915643901E-8</v>
          </cell>
          <cell r="P727">
            <v>1.99452284768719E-8</v>
          </cell>
        </row>
        <row r="728">
          <cell r="B728" t="str">
            <v>EHYD-DAM10</v>
          </cell>
          <cell r="C728" t="str">
            <v>VAR_cap</v>
          </cell>
          <cell r="D728" t="str">
            <v>-</v>
          </cell>
          <cell r="F728">
            <v>1.44541982284273E-3</v>
          </cell>
          <cell r="G728">
            <v>5.7877174701805702E-3</v>
          </cell>
          <cell r="H728">
            <v>7.5295973923227497E-2</v>
          </cell>
          <cell r="I728">
            <v>7.5296308359086003E-2</v>
          </cell>
          <cell r="J728">
            <v>7.5296591943525601E-2</v>
          </cell>
          <cell r="K728">
            <v>7.5296711075879597E-2</v>
          </cell>
          <cell r="L728">
            <v>7.5296814630745307E-2</v>
          </cell>
          <cell r="M728">
            <v>7.5296871733203694E-2</v>
          </cell>
          <cell r="N728">
            <v>7.5296909421454505E-2</v>
          </cell>
          <cell r="O728">
            <v>7.5296938000383395E-2</v>
          </cell>
          <cell r="P728">
            <v>7.5296957945611906E-2</v>
          </cell>
        </row>
        <row r="729">
          <cell r="B729" t="str">
            <v>DH-EBAT</v>
          </cell>
          <cell r="C729" t="str">
            <v>VAR_fout</v>
          </cell>
          <cell r="D729" t="str">
            <v>ELC35</v>
          </cell>
          <cell r="E729">
            <v>3.1560171826208899E-3</v>
          </cell>
          <cell r="F729">
            <v>2.5365597343884878E-3</v>
          </cell>
          <cell r="G729">
            <v>3.0183836835387871E-3</v>
          </cell>
          <cell r="H729">
            <v>3.0881149462474141E-3</v>
          </cell>
          <cell r="I729">
            <v>8.0777484467988749E-3</v>
          </cell>
          <cell r="J729">
            <v>5.3640190585488218E-2</v>
          </cell>
          <cell r="K729">
            <v>0.37237251283052453</v>
          </cell>
          <cell r="L729">
            <v>0.83626815562150947</v>
          </cell>
          <cell r="M729">
            <v>1.3024595450777903</v>
          </cell>
          <cell r="N729">
            <v>1.8093531322255549</v>
          </cell>
          <cell r="O729">
            <v>2.0265311815289171</v>
          </cell>
          <cell r="P729">
            <v>2.2998538378854656</v>
          </cell>
        </row>
        <row r="730">
          <cell r="B730" t="str">
            <v>DH-EBAT</v>
          </cell>
          <cell r="C730" t="str">
            <v>VAR_fout</v>
          </cell>
          <cell r="D730" t="str">
            <v>AUX_DH-EBAT_OUT</v>
          </cell>
          <cell r="E730">
            <v>3.1560171826208894E-3</v>
          </cell>
          <cell r="F730">
            <v>2.5365597343884865E-3</v>
          </cell>
          <cell r="G730">
            <v>3.0183836835387854E-3</v>
          </cell>
          <cell r="H730">
            <v>3.0881149462474136E-3</v>
          </cell>
          <cell r="I730">
            <v>8.0777484467988731E-3</v>
          </cell>
          <cell r="J730">
            <v>5.3640190585488204E-2</v>
          </cell>
          <cell r="K730">
            <v>0.37237251283052436</v>
          </cell>
          <cell r="L730">
            <v>0.83626815562150925</v>
          </cell>
          <cell r="M730">
            <v>1.3024595450777898</v>
          </cell>
          <cell r="N730">
            <v>1.8093531322255536</v>
          </cell>
          <cell r="O730">
            <v>2.0265311815289162</v>
          </cell>
          <cell r="P730">
            <v>2.2998538378854647</v>
          </cell>
        </row>
        <row r="731">
          <cell r="B731" t="str">
            <v>DH-EBAT</v>
          </cell>
          <cell r="C731" t="str">
            <v>VAR_fin</v>
          </cell>
          <cell r="D731" t="str">
            <v>ELC35</v>
          </cell>
          <cell r="E731">
            <v>3.528089446071823E-3</v>
          </cell>
          <cell r="F731">
            <v>2.8370054444341645E-3</v>
          </cell>
          <cell r="G731">
            <v>3.3762842909064415E-3</v>
          </cell>
          <cell r="H731">
            <v>3.4542528641127446E-3</v>
          </cell>
          <cell r="I731">
            <v>9.0331391359097079E-3</v>
          </cell>
          <cell r="J731">
            <v>5.9982371671402329E-2</v>
          </cell>
          <cell r="K731">
            <v>0.41639871393131472</v>
          </cell>
          <cell r="L731">
            <v>0.93514308214897113</v>
          </cell>
          <cell r="M731">
            <v>1.4564506695370514</v>
          </cell>
          <cell r="N731">
            <v>2.0232768206987837</v>
          </cell>
          <cell r="O731">
            <v>2.2661317059747219</v>
          </cell>
          <cell r="P731">
            <v>2.5717729171120038</v>
          </cell>
        </row>
        <row r="732">
          <cell r="B732" t="str">
            <v>DH-EBAT</v>
          </cell>
          <cell r="C732" t="str">
            <v>VAR_fin</v>
          </cell>
          <cell r="D732" t="str">
            <v>AUX_DH-EBAT_IN</v>
          </cell>
          <cell r="E732">
            <v>3.528089446071823E-3</v>
          </cell>
          <cell r="F732">
            <v>2.8370054444341645E-3</v>
          </cell>
          <cell r="G732">
            <v>3.3762842909064415E-3</v>
          </cell>
          <cell r="H732">
            <v>3.4542528641127446E-3</v>
          </cell>
          <cell r="I732">
            <v>9.0331391359097079E-3</v>
          </cell>
          <cell r="J732">
            <v>5.9982371671402329E-2</v>
          </cell>
          <cell r="K732">
            <v>0.41639871393131472</v>
          </cell>
          <cell r="L732">
            <v>0.93514308214897113</v>
          </cell>
          <cell r="M732">
            <v>1.4564506695370514</v>
          </cell>
          <cell r="N732">
            <v>2.0232768206987837</v>
          </cell>
          <cell r="O732">
            <v>2.2661317059747219</v>
          </cell>
          <cell r="P732">
            <v>2.5717729171120038</v>
          </cell>
        </row>
        <row r="733">
          <cell r="B733" t="str">
            <v>DH-EBAT</v>
          </cell>
          <cell r="C733" t="str">
            <v>VAR_ncap</v>
          </cell>
          <cell r="D733" t="str">
            <v>-</v>
          </cell>
          <cell r="E733">
            <v>4.3799018965295602E-4</v>
          </cell>
          <cell r="F733">
            <v>6.6150926545321004E-7</v>
          </cell>
          <cell r="G733">
            <v>2.6834344497145099E-6</v>
          </cell>
          <cell r="H733">
            <v>1.02625014060707E-4</v>
          </cell>
          <cell r="I733">
            <v>1.0101322379962401E-3</v>
          </cell>
          <cell r="J733">
            <v>8.28181635799294E-3</v>
          </cell>
          <cell r="K733">
            <v>0.13521425166194001</v>
          </cell>
          <cell r="L733">
            <v>2.6378552233782999E-2</v>
          </cell>
          <cell r="M733">
            <v>0.162438978015187</v>
          </cell>
          <cell r="N733">
            <v>0.118197021371899</v>
          </cell>
          <cell r="O733">
            <v>0.193170714940157</v>
          </cell>
          <cell r="P733">
            <v>0.14900487336013801</v>
          </cell>
        </row>
        <row r="734">
          <cell r="B734" t="str">
            <v>DH-EBAT</v>
          </cell>
          <cell r="C734" t="str">
            <v>VAR_cap</v>
          </cell>
          <cell r="D734" t="str">
            <v>-</v>
          </cell>
          <cell r="E734">
            <v>4.3799018965295602E-4</v>
          </cell>
          <cell r="F734">
            <v>4.3836640281927336E-4</v>
          </cell>
          <cell r="G734">
            <v>4.4085764013913334E-4</v>
          </cell>
          <cell r="H734">
            <v>4.2541061107353138E-4</v>
          </cell>
          <cell r="I734">
            <v>1.1135238670890216E-3</v>
          </cell>
          <cell r="J734">
            <v>9.3128333510640125E-3</v>
          </cell>
          <cell r="K734">
            <v>0.14401910290920325</v>
          </cell>
          <cell r="L734">
            <v>0.16441985508735396</v>
          </cell>
          <cell r="M734">
            <v>0.24963714930897726</v>
          </cell>
          <cell r="N734">
            <v>0.29414847744242617</v>
          </cell>
          <cell r="O734">
            <v>0.34013746133690786</v>
          </cell>
          <cell r="P734">
            <v>0.42193916608856902</v>
          </cell>
        </row>
        <row r="735">
          <cell r="B735" t="str">
            <v>RHEM-EBAT</v>
          </cell>
          <cell r="C735" t="str">
            <v>VAR_fout</v>
          </cell>
          <cell r="D735" t="str">
            <v>RHEM_ELC</v>
          </cell>
          <cell r="E735">
            <v>1.0195569818279035E-3</v>
          </cell>
          <cell r="F735">
            <v>1.0158752546694338E-3</v>
          </cell>
          <cell r="G735">
            <v>1.01791753636537E-3</v>
          </cell>
          <cell r="H735">
            <v>2.922299593616633E-2</v>
          </cell>
          <cell r="I735">
            <v>5.1211991049409065E-2</v>
          </cell>
          <cell r="J735">
            <v>6.4224302180937207E-2</v>
          </cell>
          <cell r="K735">
            <v>6.3463125924826669E-2</v>
          </cell>
          <cell r="L735">
            <v>6.8516849120481754E-2</v>
          </cell>
          <cell r="M735">
            <v>7.2631802116321989E-2</v>
          </cell>
          <cell r="N735">
            <v>7.1703216750189869E-2</v>
          </cell>
          <cell r="O735">
            <v>6.4848216617869617E-2</v>
          </cell>
          <cell r="P735">
            <v>7.3795981592354176E-2</v>
          </cell>
        </row>
        <row r="736">
          <cell r="B736" t="str">
            <v>RHEM-EBAT</v>
          </cell>
          <cell r="C736" t="str">
            <v>VAR_fout</v>
          </cell>
          <cell r="D736" t="str">
            <v>AUX_RHEM-EBAT_OUT</v>
          </cell>
          <cell r="E736">
            <v>1.0195569818279048E-3</v>
          </cell>
          <cell r="F736">
            <v>1.0158752546694351E-3</v>
          </cell>
          <cell r="G736">
            <v>1.0179175363653709E-3</v>
          </cell>
          <cell r="H736">
            <v>2.9222995936166358E-2</v>
          </cell>
          <cell r="I736">
            <v>5.1211991049409114E-2</v>
          </cell>
          <cell r="J736">
            <v>6.4224302180937248E-2</v>
          </cell>
          <cell r="K736">
            <v>6.346312592482678E-2</v>
          </cell>
          <cell r="L736">
            <v>6.8516849120481824E-2</v>
          </cell>
          <cell r="M736">
            <v>7.2631802116322045E-2</v>
          </cell>
          <cell r="N736">
            <v>7.1703216750189952E-2</v>
          </cell>
          <cell r="O736">
            <v>6.4848216617869686E-2</v>
          </cell>
          <cell r="P736">
            <v>7.3795981592354218E-2</v>
          </cell>
        </row>
        <row r="737">
          <cell r="B737" t="str">
            <v>RHEM-EBAT</v>
          </cell>
          <cell r="C737" t="str">
            <v>VAR_fin</v>
          </cell>
          <cell r="D737" t="str">
            <v>RHEM_ELC</v>
          </cell>
          <cell r="E737">
            <v>1.1289142362661847E-3</v>
          </cell>
          <cell r="F737">
            <v>1.1251368696606307E-3</v>
          </cell>
          <cell r="G737">
            <v>1.1260724182641415E-3</v>
          </cell>
          <cell r="H737">
            <v>3.2317219920106943E-2</v>
          </cell>
          <cell r="I737">
            <v>5.663432210670051E-2</v>
          </cell>
          <cell r="J737">
            <v>7.1023769426970279E-2</v>
          </cell>
          <cell r="K737">
            <v>7.0182019243191854E-2</v>
          </cell>
          <cell r="L737">
            <v>7.5772124805225799E-2</v>
          </cell>
          <cell r="M737">
            <v>8.0321454262823541E-2</v>
          </cell>
          <cell r="N737">
            <v>7.9298848331807448E-2</v>
          </cell>
          <cell r="O737">
            <v>7.1714948087797201E-2</v>
          </cell>
          <cell r="P737">
            <v>8.1616458890044222E-2</v>
          </cell>
        </row>
        <row r="738">
          <cell r="B738" t="str">
            <v>RHEM-EBAT</v>
          </cell>
          <cell r="C738" t="str">
            <v>VAR_fin</v>
          </cell>
          <cell r="D738" t="str">
            <v>AUX_RHEM-EBAT_IN</v>
          </cell>
          <cell r="E738">
            <v>1.1289142362661847E-3</v>
          </cell>
          <cell r="F738">
            <v>1.1251368696606307E-3</v>
          </cell>
          <cell r="G738">
            <v>1.1260724182641415E-3</v>
          </cell>
          <cell r="H738">
            <v>3.2317219920106943E-2</v>
          </cell>
          <cell r="I738">
            <v>5.663432210670051E-2</v>
          </cell>
          <cell r="J738">
            <v>7.1023769426970279E-2</v>
          </cell>
          <cell r="K738">
            <v>7.0182019243191854E-2</v>
          </cell>
          <cell r="L738">
            <v>7.5772124805225799E-2</v>
          </cell>
          <cell r="M738">
            <v>8.0321454262823541E-2</v>
          </cell>
          <cell r="N738">
            <v>7.9298848331807448E-2</v>
          </cell>
          <cell r="O738">
            <v>7.1714948087797201E-2</v>
          </cell>
          <cell r="P738">
            <v>8.1616458890044222E-2</v>
          </cell>
        </row>
        <row r="739">
          <cell r="B739" t="str">
            <v>RHEM-EBAT</v>
          </cell>
          <cell r="C739" t="str">
            <v>VAR_ncap</v>
          </cell>
          <cell r="D739" t="str">
            <v>-</v>
          </cell>
          <cell r="E739">
            <v>4.1340166754002102E-4</v>
          </cell>
          <cell r="F739">
            <v>6.6437919267240096E-7</v>
          </cell>
          <cell r="G739">
            <v>1.8982287174974E-6</v>
          </cell>
          <cell r="H739">
            <v>2.0714021034632098E-2</v>
          </cell>
          <cell r="I739">
            <v>1.9517944110342099E-3</v>
          </cell>
          <cell r="J739">
            <v>2.00793092097384E-2</v>
          </cell>
          <cell r="K739">
            <v>6.4768104665016103E-3</v>
          </cell>
          <cell r="L739">
            <v>1.47545118490187E-2</v>
          </cell>
          <cell r="M739">
            <v>1.2086807274065499E-2</v>
          </cell>
          <cell r="N739">
            <v>9.7270470151544393E-3</v>
          </cell>
          <cell r="O739">
            <v>1.46965313531043E-2</v>
          </cell>
          <cell r="P739">
            <v>8.9714753979686594E-3</v>
          </cell>
        </row>
        <row r="740">
          <cell r="B740" t="str">
            <v>RHEM-EBAT</v>
          </cell>
          <cell r="C740" t="str">
            <v>VAR_cap</v>
          </cell>
          <cell r="D740" t="str">
            <v>-</v>
          </cell>
          <cell r="E740">
            <v>4.161080944062743E-4</v>
          </cell>
          <cell r="F740">
            <v>4.1653389944082967E-4</v>
          </cell>
          <cell r="G740">
            <v>4.1787515251866144E-4</v>
          </cell>
          <cell r="H740">
            <v>2.1018058439566192E-2</v>
          </cell>
          <cell r="I740">
            <v>2.266642154878936E-2</v>
          </cell>
          <cell r="J740">
            <v>2.6380559412328163E-2</v>
          </cell>
          <cell r="K740">
            <v>2.7567658484585564E-2</v>
          </cell>
          <cell r="L740">
            <v>2.8089355770781057E-2</v>
          </cell>
          <cell r="M740">
            <v>2.9754006068091997E-2</v>
          </cell>
          <cell r="N740">
            <v>2.9372070790837406E-2</v>
          </cell>
          <cell r="O740">
            <v>2.6563517160911435E-2</v>
          </cell>
          <cell r="P740">
            <v>3.0230728255740347E-2</v>
          </cell>
        </row>
        <row r="741">
          <cell r="B741" t="str">
            <v>HPLGEO</v>
          </cell>
          <cell r="C741" t="str">
            <v>VAR_fout</v>
          </cell>
          <cell r="D741" t="str">
            <v>LTH</v>
          </cell>
          <cell r="J741">
            <v>2.5908572559447403E-4</v>
          </cell>
          <cell r="K741">
            <v>2.5955529470776261E-4</v>
          </cell>
          <cell r="L741">
            <v>2.6071755619980571E-4</v>
          </cell>
          <cell r="M741">
            <v>2.6168659065285157E-4</v>
          </cell>
          <cell r="N741">
            <v>2.658841155518536E-4</v>
          </cell>
          <cell r="O741">
            <v>2.712387188058667E-4</v>
          </cell>
          <cell r="P741">
            <v>4.0728734024580532E-4</v>
          </cell>
        </row>
        <row r="742">
          <cell r="B742" t="str">
            <v>HPLGEO</v>
          </cell>
          <cell r="C742" t="str">
            <v>VAR_fin</v>
          </cell>
          <cell r="D742" t="str">
            <v>GEO</v>
          </cell>
          <cell r="J742">
            <v>3.048067359934987E-4</v>
          </cell>
          <cell r="K742">
            <v>3.0535917024442631E-4</v>
          </cell>
          <cell r="L742">
            <v>3.0672653670565372E-4</v>
          </cell>
          <cell r="M742">
            <v>3.0786657723864876E-4</v>
          </cell>
          <cell r="N742">
            <v>3.1280484182570997E-4</v>
          </cell>
          <cell r="O742">
            <v>3.1910437506572529E-4</v>
          </cell>
          <cell r="P742">
            <v>4.7916157675977121E-4</v>
          </cell>
        </row>
        <row r="743">
          <cell r="B743" t="str">
            <v>HPLGEO</v>
          </cell>
          <cell r="C743" t="str">
            <v>VAR_ncap</v>
          </cell>
          <cell r="D743" t="str">
            <v>-</v>
          </cell>
          <cell r="J743">
            <v>1.7832582200096799E-5</v>
          </cell>
          <cell r="K743">
            <v>1.27110676371782E-7</v>
          </cell>
          <cell r="L743">
            <v>5.7652917815836898E-6</v>
          </cell>
          <cell r="M743">
            <v>1.9423832864476701E-7</v>
          </cell>
          <cell r="N743">
            <v>2.14714218353796E-5</v>
          </cell>
          <cell r="O743">
            <v>5.0373050684073204E-7</v>
          </cell>
          <cell r="P743">
            <v>2.8838440754655301E-5</v>
          </cell>
        </row>
        <row r="744">
          <cell r="B744" t="str">
            <v>HPLGEO</v>
          </cell>
          <cell r="C744" t="str">
            <v>VAR_cap</v>
          </cell>
          <cell r="D744" t="str">
            <v>-</v>
          </cell>
          <cell r="J744">
            <v>1.7832582200096799E-5</v>
          </cell>
          <cell r="K744">
            <v>1.7959692876468601E-5</v>
          </cell>
          <cell r="L744">
            <v>2.3724984658052301E-5</v>
          </cell>
          <cell r="M744">
            <v>2.15564873666754E-5</v>
          </cell>
          <cell r="N744">
            <v>2.7558062621979901E-5</v>
          </cell>
          <cell r="O744">
            <v>2.7934682452448801E-5</v>
          </cell>
          <cell r="P744">
            <v>5.1007831425520501E-5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1.7502476707548268E-3</v>
          </cell>
          <cell r="G745">
            <v>2.1102127457510674E-3</v>
          </cell>
          <cell r="H745">
            <v>2.6176846787635271E-3</v>
          </cell>
          <cell r="I745">
            <v>2.7050871895375286E-3</v>
          </cell>
          <cell r="J745">
            <v>2.606999382248489E-3</v>
          </cell>
          <cell r="K745">
            <v>2.8051607098703128E-3</v>
          </cell>
          <cell r="L745">
            <v>3.7876170897519607E-3</v>
          </cell>
          <cell r="M745">
            <v>3.5703215209996328E-3</v>
          </cell>
          <cell r="N745">
            <v>4.4650703550834321E-3</v>
          </cell>
          <cell r="O745">
            <v>4.2552434764610431E-3</v>
          </cell>
          <cell r="P745">
            <v>8.1267792841443285E-3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1.7502476707548268E-3</v>
          </cell>
          <cell r="G746">
            <v>2.1102127457510674E-3</v>
          </cell>
          <cell r="H746">
            <v>2.6176846787635271E-3</v>
          </cell>
          <cell r="I746">
            <v>2.7050871895375286E-3</v>
          </cell>
          <cell r="J746">
            <v>2.6069993822484898E-3</v>
          </cell>
          <cell r="K746">
            <v>2.8051607098703128E-3</v>
          </cell>
          <cell r="L746">
            <v>3.7876170897519607E-3</v>
          </cell>
          <cell r="M746">
            <v>3.5703215209996328E-3</v>
          </cell>
          <cell r="N746">
            <v>4.4650703550834321E-3</v>
          </cell>
          <cell r="O746">
            <v>4.2552434764610431E-3</v>
          </cell>
          <cell r="P746">
            <v>8.1267792841443285E-3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2.188549274649715E-3</v>
          </cell>
          <cell r="G747">
            <v>2.6384424128536722E-3</v>
          </cell>
          <cell r="H747">
            <v>3.2731120462777975E-3</v>
          </cell>
          <cell r="I747">
            <v>3.3820540554372249E-3</v>
          </cell>
          <cell r="J747">
            <v>3.2585312393720697E-3</v>
          </cell>
          <cell r="K747">
            <v>3.5061529054701535E-3</v>
          </cell>
          <cell r="L747">
            <v>4.7345205576023635E-3</v>
          </cell>
          <cell r="M747">
            <v>4.4626468336213532E-3</v>
          </cell>
          <cell r="N747">
            <v>5.581296778592198E-3</v>
          </cell>
          <cell r="O747">
            <v>5.3190539380524281E-3</v>
          </cell>
          <cell r="P747">
            <v>1.015827703777155E-2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2.188549274649715E-3</v>
          </cell>
          <cell r="G748">
            <v>2.6384424128536722E-3</v>
          </cell>
          <cell r="H748">
            <v>3.2731120462777975E-3</v>
          </cell>
          <cell r="I748">
            <v>3.3820540554372249E-3</v>
          </cell>
          <cell r="J748">
            <v>3.2585312393720697E-3</v>
          </cell>
          <cell r="K748">
            <v>3.5061529054701535E-3</v>
          </cell>
          <cell r="L748">
            <v>4.7345205576023635E-3</v>
          </cell>
          <cell r="M748">
            <v>4.4626468336213532E-3</v>
          </cell>
          <cell r="N748">
            <v>5.581296778592198E-3</v>
          </cell>
          <cell r="O748">
            <v>5.3190539380524281E-3</v>
          </cell>
          <cell r="P748">
            <v>1.015827703777155E-2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2.2425685066167599E-4</v>
          </cell>
          <cell r="G749">
            <v>6.5868640499351904E-6</v>
          </cell>
          <cell r="H749">
            <v>3.2873827406431002E-6</v>
          </cell>
          <cell r="I749">
            <v>1.74893856866976E-6</v>
          </cell>
          <cell r="J749">
            <v>8.5951546642316703E-5</v>
          </cell>
          <cell r="K749">
            <v>4.9027924090510496E-7</v>
          </cell>
          <cell r="L749">
            <v>8.0823154568930201E-5</v>
          </cell>
          <cell r="M749">
            <v>1.49699370890678E-6</v>
          </cell>
          <cell r="N749">
            <v>3.5923968419580198E-4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2.2425685066167599E-4</v>
          </cell>
          <cell r="G750">
            <v>2.2425685066167599E-4</v>
          </cell>
          <cell r="H750">
            <v>2.2425685066167599E-4</v>
          </cell>
          <cell r="I750">
            <v>2.31635375240521E-4</v>
          </cell>
          <cell r="J750">
            <v>2.34131097452255E-4</v>
          </cell>
          <cell r="K750">
            <v>2.49025972685458E-4</v>
          </cell>
          <cell r="L750">
            <v>3.2183158266324102E-4</v>
          </cell>
          <cell r="M750">
            <v>3.2224652849946998E-4</v>
          </cell>
          <cell r="N750">
            <v>4.0350551931830799E-4</v>
          </cell>
          <cell r="O750">
            <v>4.04642010181983E-4</v>
          </cell>
          <cell r="P750">
            <v>7.6388169437778498E-4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2258.87066408172</v>
          </cell>
          <cell r="F751">
            <v>2235.4032207760201</v>
          </cell>
          <cell r="G751">
            <v>2268.7816222015199</v>
          </cell>
          <cell r="H751">
            <v>2238.5112163982699</v>
          </cell>
          <cell r="I751">
            <v>2240.4530405536798</v>
          </cell>
          <cell r="J751">
            <v>2266.0986245164099</v>
          </cell>
          <cell r="K751">
            <v>2291.7441812757902</v>
          </cell>
          <cell r="L751">
            <v>2317.3899204330301</v>
          </cell>
          <cell r="M751">
            <v>2317.3898328402202</v>
          </cell>
          <cell r="N751">
            <v>2317.3900309690398</v>
          </cell>
          <cell r="O751">
            <v>2317.38971683717</v>
          </cell>
          <cell r="P751">
            <v>2317.3900390318199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48.682557415554371</v>
          </cell>
          <cell r="F752">
            <v>48.176800537561512</v>
          </cell>
          <cell r="G752">
            <v>48.896169478821051</v>
          </cell>
          <cell r="H752">
            <v>48.243775585443515</v>
          </cell>
          <cell r="I752">
            <v>48.285629055539346</v>
          </cell>
          <cell r="J752">
            <v>48.838345050318047</v>
          </cell>
          <cell r="K752">
            <v>49.391042775841122</v>
          </cell>
          <cell r="L752">
            <v>49.943780255535152</v>
          </cell>
          <cell r="M752">
            <v>49.943759397371664</v>
          </cell>
          <cell r="N752">
            <v>49.943781643487519</v>
          </cell>
          <cell r="O752">
            <v>49.943757840462858</v>
          </cell>
          <cell r="P752">
            <v>49.943782803263524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24.341278707777175</v>
          </cell>
          <cell r="F753">
            <v>24.088396775603719</v>
          </cell>
          <cell r="G753">
            <v>24.448077825447399</v>
          </cell>
          <cell r="H753">
            <v>24.121888107740027</v>
          </cell>
          <cell r="I753">
            <v>24.142812937000922</v>
          </cell>
          <cell r="J753">
            <v>24.41916621246131</v>
          </cell>
          <cell r="K753">
            <v>24.695519194782211</v>
          </cell>
          <cell r="L753">
            <v>24.971874142597368</v>
          </cell>
          <cell r="M753">
            <v>24.971873198709254</v>
          </cell>
          <cell r="N753">
            <v>24.971875333718152</v>
          </cell>
          <cell r="O753">
            <v>24.971871948676394</v>
          </cell>
          <cell r="P753">
            <v>24.971875420601471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24.341278707777175</v>
          </cell>
          <cell r="F754">
            <v>24.088396775603719</v>
          </cell>
          <cell r="G754">
            <v>24.448077825447399</v>
          </cell>
          <cell r="H754">
            <v>24.121888107740027</v>
          </cell>
          <cell r="I754">
            <v>24.142812937000922</v>
          </cell>
          <cell r="J754">
            <v>24.41916621246131</v>
          </cell>
          <cell r="K754">
            <v>24.695519194782211</v>
          </cell>
          <cell r="L754">
            <v>24.971874142597368</v>
          </cell>
          <cell r="M754">
            <v>24.971873198709254</v>
          </cell>
          <cell r="N754">
            <v>24.971875333718152</v>
          </cell>
          <cell r="O754">
            <v>24.971871948676394</v>
          </cell>
          <cell r="P754">
            <v>24.971875420601471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/>
          <cell r="E3"/>
        </row>
        <row r="4">
          <cell r="A4"/>
          <cell r="B4"/>
          <cell r="C4"/>
        </row>
        <row r="5">
          <cell r="A5"/>
          <cell r="B5"/>
          <cell r="C5"/>
        </row>
        <row r="6">
          <cell r="A6"/>
          <cell r="B6"/>
          <cell r="C6"/>
        </row>
        <row r="7">
          <cell r="A7"/>
          <cell r="B7"/>
          <cell r="C7"/>
        </row>
        <row r="8">
          <cell r="A8"/>
          <cell r="B8"/>
          <cell r="C8"/>
        </row>
        <row r="9">
          <cell r="A9"/>
          <cell r="B9"/>
          <cell r="C9"/>
        </row>
        <row r="10">
          <cell r="A10"/>
          <cell r="B10"/>
          <cell r="C10"/>
        </row>
        <row r="11">
          <cell r="A11"/>
          <cell r="B11"/>
          <cell r="C11"/>
        </row>
        <row r="12">
          <cell r="A12"/>
          <cell r="B12"/>
          <cell r="C12"/>
        </row>
        <row r="13">
          <cell r="A13"/>
          <cell r="B13"/>
          <cell r="C13"/>
        </row>
        <row r="14">
          <cell r="A14"/>
          <cell r="B14"/>
          <cell r="C14"/>
        </row>
        <row r="15">
          <cell r="A15"/>
          <cell r="B15"/>
          <cell r="C15"/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IMPBDS1</v>
          </cell>
          <cell r="C4" t="str">
            <v>BDS1</v>
          </cell>
          <cell r="G4">
            <v>5.4446755887527596</v>
          </cell>
          <cell r="H4">
            <v>5.7422448084435898</v>
          </cell>
          <cell r="I4">
            <v>5.9416206332580002</v>
          </cell>
          <cell r="J4">
            <v>6.0831817353740201</v>
          </cell>
          <cell r="K4">
            <v>6.2037436867992799</v>
          </cell>
          <cell r="L4">
            <v>6.20374399251076</v>
          </cell>
          <cell r="M4">
            <v>6.2037448961851904</v>
          </cell>
          <cell r="N4">
            <v>6.20374609514956</v>
          </cell>
          <cell r="O4">
            <v>6.3105236006040002</v>
          </cell>
        </row>
        <row r="5">
          <cell r="A5" t="str">
            <v>EXPELC_DE</v>
          </cell>
          <cell r="C5" t="str">
            <v>ELC_E-DE</v>
          </cell>
          <cell r="D5">
            <v>26.492979911879338</v>
          </cell>
          <cell r="E5">
            <v>3.8327013483783145E-4</v>
          </cell>
          <cell r="F5">
            <v>4.0869226548880119E-4</v>
          </cell>
          <cell r="G5">
            <v>3.8792139159350085E-4</v>
          </cell>
          <cell r="H5">
            <v>5.5143441002100777E-4</v>
          </cell>
          <cell r="I5">
            <v>5.8981867300869823E-4</v>
          </cell>
          <cell r="J5">
            <v>5.0878149528997519E-4</v>
          </cell>
          <cell r="K5">
            <v>4.6400034598323046E-4</v>
          </cell>
          <cell r="L5">
            <v>3.3033443638172936E-4</v>
          </cell>
          <cell r="M5">
            <v>5.8013712218153604E-4</v>
          </cell>
          <cell r="N5">
            <v>5.7231052626658676E-4</v>
          </cell>
          <cell r="O5">
            <v>1.0902148007127632E-3</v>
          </cell>
        </row>
        <row r="6">
          <cell r="A6" t="str">
            <v>IMPDSL</v>
          </cell>
          <cell r="C6" t="str">
            <v>DSL</v>
          </cell>
          <cell r="D6">
            <v>118.5288809529289</v>
          </cell>
          <cell r="E6">
            <v>112.14100115341488</v>
          </cell>
          <cell r="F6">
            <v>96.825151174308772</v>
          </cell>
          <cell r="G6">
            <v>71.54646920948494</v>
          </cell>
          <cell r="H6">
            <v>49.533865935213193</v>
          </cell>
          <cell r="I6">
            <v>45.512087491287112</v>
          </cell>
          <cell r="J6">
            <v>41.921489439685004</v>
          </cell>
          <cell r="K6">
            <v>40.41625265672387</v>
          </cell>
          <cell r="L6">
            <v>39.822796350348717</v>
          </cell>
          <cell r="M6">
            <v>33.216348005739462</v>
          </cell>
          <cell r="N6">
            <v>29.481552163467459</v>
          </cell>
          <cell r="O6">
            <v>29.794647562903716</v>
          </cell>
        </row>
        <row r="7">
          <cell r="A7" t="str">
            <v>IMPH2</v>
          </cell>
          <cell r="C7" t="str">
            <v>H2</v>
          </cell>
          <cell r="I7">
            <v>2.2676855589104138E-3</v>
          </cell>
          <cell r="J7">
            <v>2.2762046501962167E-3</v>
          </cell>
          <cell r="K7">
            <v>1.3089865924287307E-3</v>
          </cell>
          <cell r="L7">
            <v>6.1622697707120497E-4</v>
          </cell>
          <cell r="M7">
            <v>1.4739045528837113E-3</v>
          </cell>
          <cell r="N7">
            <v>1.0370890988300793E-3</v>
          </cell>
          <cell r="O7">
            <v>2.3391577890773787E-3</v>
          </cell>
        </row>
        <row r="8">
          <cell r="A8" t="str">
            <v>IMPELC_AT</v>
          </cell>
          <cell r="C8" t="str">
            <v>ELC_I-AT</v>
          </cell>
          <cell r="D8">
            <v>15.013805815136745</v>
          </cell>
          <cell r="E8">
            <v>1.1620573886542708E-2</v>
          </cell>
          <cell r="F8">
            <v>8.0952548738963907E-3</v>
          </cell>
          <cell r="G8">
            <v>9.1139312772712568E-3</v>
          </cell>
          <cell r="H8">
            <v>6.6300166370771357E-3</v>
          </cell>
          <cell r="I8">
            <v>4.9655039591475058E-3</v>
          </cell>
          <cell r="J8">
            <v>4.5653973262731783E-3</v>
          </cell>
          <cell r="K8">
            <v>5.3604693773963907E-3</v>
          </cell>
          <cell r="L8">
            <v>5.4103646195807868E-3</v>
          </cell>
          <cell r="M8">
            <v>7.9722990110929967E-3</v>
          </cell>
          <cell r="N8">
            <v>8.11648875967305E-3</v>
          </cell>
          <cell r="O8">
            <v>1.2883271993904304E-2</v>
          </cell>
        </row>
        <row r="9">
          <cell r="A9" t="str">
            <v>IMPELC_AT</v>
          </cell>
          <cell r="C9" t="str">
            <v>ELCS</v>
          </cell>
          <cell r="D9">
            <v>15.013805815136745</v>
          </cell>
          <cell r="E9">
            <v>1.1620573886542708E-2</v>
          </cell>
          <cell r="F9">
            <v>8.0952548738963907E-3</v>
          </cell>
          <cell r="G9">
            <v>9.1139312772712568E-3</v>
          </cell>
          <cell r="H9">
            <v>6.6300166370771357E-3</v>
          </cell>
          <cell r="I9">
            <v>4.9655039591475058E-3</v>
          </cell>
          <cell r="J9">
            <v>4.5653973262731783E-3</v>
          </cell>
          <cell r="K9">
            <v>5.3604693773963907E-3</v>
          </cell>
          <cell r="L9">
            <v>5.4103646195807868E-3</v>
          </cell>
          <cell r="M9">
            <v>7.9722990110929967E-3</v>
          </cell>
          <cell r="N9">
            <v>8.11648875967305E-3</v>
          </cell>
          <cell r="O9">
            <v>1.2883271993904304E-2</v>
          </cell>
        </row>
        <row r="10">
          <cell r="A10" t="str">
            <v>IMPELC_FR</v>
          </cell>
          <cell r="C10" t="str">
            <v>ELC_I-FR</v>
          </cell>
          <cell r="D10">
            <v>28.948621077418558</v>
          </cell>
          <cell r="E10">
            <v>17.829886890416205</v>
          </cell>
          <cell r="F10">
            <v>21.482045717684951</v>
          </cell>
          <cell r="G10">
            <v>15.105816769185767</v>
          </cell>
          <cell r="H10">
            <v>21.079035856962488</v>
          </cell>
          <cell r="I10">
            <v>29.794655575365201</v>
          </cell>
          <cell r="J10">
            <v>33.875128784246577</v>
          </cell>
          <cell r="K10">
            <v>28.459363919749673</v>
          </cell>
          <cell r="L10">
            <v>63.162437098662565</v>
          </cell>
          <cell r="M10">
            <v>69.191615162257307</v>
          </cell>
          <cell r="N10">
            <v>69.193644350197133</v>
          </cell>
          <cell r="O10">
            <v>69.188336859708386</v>
          </cell>
        </row>
        <row r="11">
          <cell r="A11" t="str">
            <v>IMPELC_FR</v>
          </cell>
          <cell r="C11" t="str">
            <v>ELCS</v>
          </cell>
          <cell r="D11">
            <v>28.948621077418558</v>
          </cell>
          <cell r="E11">
            <v>17.829886890416205</v>
          </cell>
          <cell r="F11">
            <v>21.482045717684951</v>
          </cell>
          <cell r="G11">
            <v>15.105816769185767</v>
          </cell>
          <cell r="H11">
            <v>21.079035856962488</v>
          </cell>
          <cell r="I11">
            <v>29.794655575365201</v>
          </cell>
          <cell r="J11">
            <v>33.875128784246577</v>
          </cell>
          <cell r="K11">
            <v>28.459363919749673</v>
          </cell>
          <cell r="L11">
            <v>63.162437098662565</v>
          </cell>
          <cell r="M11">
            <v>69.191615162257307</v>
          </cell>
          <cell r="N11">
            <v>69.193644350197133</v>
          </cell>
          <cell r="O11">
            <v>69.188336859708386</v>
          </cell>
        </row>
        <row r="12">
          <cell r="A12" t="str">
            <v>RNWHYDR1</v>
          </cell>
          <cell r="C12" t="str">
            <v>HYDR</v>
          </cell>
          <cell r="D12">
            <v>66.632400513568811</v>
          </cell>
          <cell r="E12">
            <v>55.764004154854995</v>
          </cell>
          <cell r="F12">
            <v>65.551417749832623</v>
          </cell>
          <cell r="G12">
            <v>64.468275679026775</v>
          </cell>
          <cell r="H12">
            <v>63.383969368795412</v>
          </cell>
          <cell r="I12">
            <v>62.299204126580534</v>
          </cell>
          <cell r="J12">
            <v>61.214925773835269</v>
          </cell>
          <cell r="K12">
            <v>60.12990318265539</v>
          </cell>
          <cell r="L12">
            <v>60.129900586363071</v>
          </cell>
          <cell r="M12">
            <v>60.129843003729718</v>
          </cell>
          <cell r="N12">
            <v>60.129842330749035</v>
          </cell>
          <cell r="O12">
            <v>60.130335854346086</v>
          </cell>
        </row>
        <row r="13">
          <cell r="A13" t="str">
            <v>EXPELC_IT</v>
          </cell>
          <cell r="C13" t="str">
            <v>ELC_E-IT</v>
          </cell>
          <cell r="D13">
            <v>71.694107738035981</v>
          </cell>
          <cell r="E13">
            <v>35.81834628458293</v>
          </cell>
          <cell r="F13">
            <v>64.429789798811868</v>
          </cell>
          <cell r="G13">
            <v>81.825419717354251</v>
          </cell>
          <cell r="H13">
            <v>65.69281654643504</v>
          </cell>
          <cell r="I13">
            <v>43.589628126898241</v>
          </cell>
          <cell r="J13">
            <v>27.481467277635861</v>
          </cell>
          <cell r="K13">
            <v>30.209975473030497</v>
          </cell>
          <cell r="L13">
            <v>46.722680714154762</v>
          </cell>
          <cell r="M13">
            <v>40.625744373874177</v>
          </cell>
          <cell r="N13">
            <v>38.845824907310195</v>
          </cell>
          <cell r="O13">
            <v>32.388013479889807</v>
          </cell>
        </row>
        <row r="14">
          <cell r="A14" t="str">
            <v>IMPLNG</v>
          </cell>
          <cell r="C14" t="str">
            <v>LBIO</v>
          </cell>
          <cell r="G14">
            <v>1.5337048279255366E-3</v>
          </cell>
          <cell r="H14">
            <v>1.4566065297900992E-2</v>
          </cell>
          <cell r="I14">
            <v>1.6189247522815333E-2</v>
          </cell>
          <cell r="J14">
            <v>2.404356295174861E-3</v>
          </cell>
          <cell r="K14">
            <v>4.3743932675777619E-3</v>
          </cell>
          <cell r="L14">
            <v>2.3613076740328612E-3</v>
          </cell>
          <cell r="M14">
            <v>3.9516055026562486E-3</v>
          </cell>
          <cell r="N14">
            <v>3.1244968161452131E-3</v>
          </cell>
          <cell r="O14">
            <v>6.513266921052782E-3</v>
          </cell>
        </row>
        <row r="15">
          <cell r="A15" t="str">
            <v>IMPLNG</v>
          </cell>
          <cell r="C15" t="str">
            <v>LNGA</v>
          </cell>
          <cell r="G15">
            <v>9.78176666779181E-4</v>
          </cell>
          <cell r="H15">
            <v>1.7172889069452873E-3</v>
          </cell>
          <cell r="I15">
            <v>1.593409672538451E-3</v>
          </cell>
          <cell r="J15">
            <v>1.6825636920448869E-3</v>
          </cell>
          <cell r="K15">
            <v>3.5777467060372687E-3</v>
          </cell>
          <cell r="L15">
            <v>1.8345669775439262E-3</v>
          </cell>
          <cell r="M15">
            <v>3.5398835615711327E-3</v>
          </cell>
          <cell r="N15">
            <v>2.7947310786923113E-3</v>
          </cell>
          <cell r="O15">
            <v>6.0074218335366024E-3</v>
          </cell>
        </row>
        <row r="16">
          <cell r="A16" t="str">
            <v>IMPURN1</v>
          </cell>
          <cell r="C16" t="str">
            <v>URN</v>
          </cell>
          <cell r="D16">
            <v>250.94822217467984</v>
          </cell>
          <cell r="E16">
            <v>254.39252495563562</v>
          </cell>
          <cell r="F16">
            <v>224.15584756872391</v>
          </cell>
          <cell r="G16">
            <v>221.52789535729715</v>
          </cell>
          <cell r="H16">
            <v>173.71236014282644</v>
          </cell>
          <cell r="I16">
            <v>100.02410055867948</v>
          </cell>
          <cell r="J16">
            <v>3.385666830003689</v>
          </cell>
          <cell r="K16">
            <v>21.582477861567501</v>
          </cell>
          <cell r="L16">
            <v>21.619862978763724</v>
          </cell>
          <cell r="M16">
            <v>21.477319190718944</v>
          </cell>
          <cell r="N16">
            <v>20.433563815377582</v>
          </cell>
          <cell r="O16">
            <v>20.66026260032362</v>
          </cell>
        </row>
        <row r="17">
          <cell r="A17" t="str">
            <v>EXPELC_AT</v>
          </cell>
          <cell r="C17" t="str">
            <v>ELC_E-AT</v>
          </cell>
          <cell r="D17">
            <v>6.2295586541739674</v>
          </cell>
          <cell r="E17">
            <v>6.758635197009591E-4</v>
          </cell>
          <cell r="F17">
            <v>1.1873939520349948E-3</v>
          </cell>
          <cell r="G17">
            <v>1.9439926697101668E-4</v>
          </cell>
          <cell r="H17">
            <v>2.4313228254253336E-4</v>
          </cell>
          <cell r="I17">
            <v>2.2750247653932393E-4</v>
          </cell>
          <cell r="J17">
            <v>2.1719793533314506E-4</v>
          </cell>
          <cell r="K17">
            <v>1.8722801991687078E-4</v>
          </cell>
          <cell r="L17">
            <v>1.9026186505036958E-4</v>
          </cell>
          <cell r="M17">
            <v>2.265603112718215E-4</v>
          </cell>
          <cell r="N17">
            <v>2.1941900855843076E-4</v>
          </cell>
          <cell r="O17">
            <v>4.0704144678345287E-4</v>
          </cell>
        </row>
        <row r="18">
          <cell r="A18" t="str">
            <v>EXPELC_FR</v>
          </cell>
          <cell r="C18" t="str">
            <v>ELC_E-FR</v>
          </cell>
          <cell r="D18">
            <v>12.753360878576474</v>
          </cell>
          <cell r="E18">
            <v>5.1924275930652309E-4</v>
          </cell>
          <cell r="F18">
            <v>4.8597608612085171E-4</v>
          </cell>
          <cell r="G18">
            <v>3.1396421928374586E-4</v>
          </cell>
          <cell r="H18">
            <v>5.0053589938260136E-4</v>
          </cell>
          <cell r="I18">
            <v>5.065802178207859E-4</v>
          </cell>
          <cell r="J18">
            <v>4.1371450436259707E-4</v>
          </cell>
          <cell r="K18">
            <v>5.7781028078749558E-4</v>
          </cell>
          <cell r="L18">
            <v>3.3958674050101533E-4</v>
          </cell>
          <cell r="M18">
            <v>4.462869172842259E-4</v>
          </cell>
          <cell r="N18">
            <v>4.1744012143691699E-4</v>
          </cell>
          <cell r="O18">
            <v>7.7355886661036337E-4</v>
          </cell>
        </row>
        <row r="19">
          <cell r="A19" t="str">
            <v>RNWWND1</v>
          </cell>
          <cell r="C19" t="str">
            <v>WND</v>
          </cell>
          <cell r="D19">
            <v>0.52118981479634474</v>
          </cell>
          <cell r="E19">
            <v>0.54245409666126054</v>
          </cell>
          <cell r="F19">
            <v>0.50031612708187667</v>
          </cell>
          <cell r="G19">
            <v>0.54364594355977702</v>
          </cell>
          <cell r="H19">
            <v>0.54328833815030242</v>
          </cell>
          <cell r="I19">
            <v>0.54355144623741569</v>
          </cell>
          <cell r="J19">
            <v>0.54785032473679984</v>
          </cell>
          <cell r="K19">
            <v>0.54654474298398925</v>
          </cell>
          <cell r="L19">
            <v>0.54707566671541208</v>
          </cell>
          <cell r="M19">
            <v>0.5452411756415082</v>
          </cell>
          <cell r="N19">
            <v>0.54650766748421375</v>
          </cell>
          <cell r="O19">
            <v>0.54287098336187367</v>
          </cell>
        </row>
        <row r="20">
          <cell r="A20" t="str">
            <v>RNWWND2</v>
          </cell>
          <cell r="C20" t="str">
            <v>WND</v>
          </cell>
          <cell r="D20">
            <v>9.144055436550978E-4</v>
          </cell>
          <cell r="E20">
            <v>9.1434102499807159E-4</v>
          </cell>
          <cell r="F20">
            <v>9.1889684791052163E-4</v>
          </cell>
          <cell r="G20">
            <v>9.5311619914504263E-4</v>
          </cell>
          <cell r="H20">
            <v>1.2700350300317914E-3</v>
          </cell>
          <cell r="I20">
            <v>1.3231217410456073E-3</v>
          </cell>
          <cell r="J20">
            <v>1.9089916820975406E-3</v>
          </cell>
          <cell r="K20">
            <v>2.2866142010102603E-3</v>
          </cell>
          <cell r="L20">
            <v>2.079262634989967E-3</v>
          </cell>
          <cell r="M20">
            <v>2.2862212435998627E-3</v>
          </cell>
          <cell r="N20">
            <v>2.2371888052009022E-3</v>
          </cell>
          <cell r="O20">
            <v>4.2189667417860156E-3</v>
          </cell>
        </row>
        <row r="21">
          <cell r="A21" t="str">
            <v>RNWMNR1</v>
          </cell>
          <cell r="C21" t="str">
            <v>MNR</v>
          </cell>
          <cell r="D21">
            <v>3.7980890453788723</v>
          </cell>
          <cell r="E21">
            <v>12.48768142622205</v>
          </cell>
          <cell r="F21">
            <v>12.540265595238091</v>
          </cell>
          <cell r="G21">
            <v>12.540422828132941</v>
          </cell>
          <cell r="H21">
            <v>12.540426178369573</v>
          </cell>
          <cell r="I21">
            <v>12.539018427316698</v>
          </cell>
          <cell r="J21">
            <v>12.539113195391582</v>
          </cell>
          <cell r="K21">
            <v>12.536733850626307</v>
          </cell>
          <cell r="L21">
            <v>12.538938644597833</v>
          </cell>
          <cell r="M21">
            <v>12.536813360475161</v>
          </cell>
          <cell r="N21">
            <v>12.537908623756675</v>
          </cell>
          <cell r="O21">
            <v>12.533614722475399</v>
          </cell>
        </row>
        <row r="22">
          <cell r="A22" t="str">
            <v>RNWWND3</v>
          </cell>
          <cell r="C22" t="str">
            <v>WND</v>
          </cell>
          <cell r="D22">
            <v>7.3008712235031687E-4</v>
          </cell>
          <cell r="E22">
            <v>7.2927925321274851E-4</v>
          </cell>
          <cell r="F22">
            <v>7.320055552796907E-4</v>
          </cell>
          <cell r="G22">
            <v>7.5761220085885099E-4</v>
          </cell>
          <cell r="H22">
            <v>9.7590565790069161E-4</v>
          </cell>
          <cell r="I22">
            <v>9.2945145453713425E-4</v>
          </cell>
          <cell r="J22">
            <v>1.2146065504001933E-3</v>
          </cell>
          <cell r="K22">
            <v>1.5544883402977183E-3</v>
          </cell>
          <cell r="L22">
            <v>1.4110574240265182E-3</v>
          </cell>
          <cell r="M22">
            <v>1.7782455177970723E-3</v>
          </cell>
          <cell r="N22">
            <v>1.5745917146113184E-3</v>
          </cell>
          <cell r="O22">
            <v>3.1727403669228136E-3</v>
          </cell>
        </row>
        <row r="23">
          <cell r="A23" t="str">
            <v>RNWMNR2</v>
          </cell>
          <cell r="C23" t="str">
            <v>MNR</v>
          </cell>
          <cell r="I23">
            <v>1.7514101955383109E-3</v>
          </cell>
          <cell r="J23">
            <v>1.7645822229184639E-3</v>
          </cell>
          <cell r="K23">
            <v>3.3740068320800292E-3</v>
          </cell>
          <cell r="L23">
            <v>1.8617249671043774E-3</v>
          </cell>
          <cell r="M23">
            <v>3.379036668646107E-3</v>
          </cell>
          <cell r="N23">
            <v>2.6546234419045421E-3</v>
          </cell>
          <cell r="O23">
            <v>5.7779705667173357E-3</v>
          </cell>
        </row>
        <row r="24">
          <cell r="A24" t="str">
            <v>RNWWND4</v>
          </cell>
          <cell r="C24" t="str">
            <v>WND</v>
          </cell>
          <cell r="D24">
            <v>6.9867953764254746E-4</v>
          </cell>
          <cell r="E24">
            <v>6.9769833190719624E-4</v>
          </cell>
          <cell r="F24">
            <v>7.0004618720609932E-4</v>
          </cell>
          <cell r="G24">
            <v>7.2454909371530234E-4</v>
          </cell>
          <cell r="H24">
            <v>9.3056207540078957E-4</v>
          </cell>
          <cell r="I24">
            <v>8.8157807391360022E-4</v>
          </cell>
          <cell r="J24">
            <v>1.1130942243485493E-3</v>
          </cell>
          <cell r="K24">
            <v>1.4505550101423957E-3</v>
          </cell>
          <cell r="L24">
            <v>1.3121253463037256E-3</v>
          </cell>
          <cell r="M24">
            <v>1.7206776559175892E-3</v>
          </cell>
          <cell r="N24">
            <v>1.4769281725414334E-3</v>
          </cell>
          <cell r="O24">
            <v>2.9769235555745593E-3</v>
          </cell>
        </row>
        <row r="25">
          <cell r="A25" t="str">
            <v>RNWMNR3</v>
          </cell>
          <cell r="C25" t="str">
            <v>MNR</v>
          </cell>
          <cell r="I25">
            <v>8.3307641954131638E-4</v>
          </cell>
          <cell r="J25">
            <v>7.447059829997825E-4</v>
          </cell>
          <cell r="K25">
            <v>1.5474602953749377E-3</v>
          </cell>
          <cell r="L25">
            <v>8.6672393749585483E-4</v>
          </cell>
          <cell r="M25">
            <v>1.5468439663979005E-3</v>
          </cell>
          <cell r="N25">
            <v>1.2804557549713821E-3</v>
          </cell>
          <cell r="O25">
            <v>2.7300126376187928E-3</v>
          </cell>
        </row>
        <row r="26">
          <cell r="A26" t="str">
            <v>IMPLFO1</v>
          </cell>
          <cell r="C26" t="str">
            <v>LFO</v>
          </cell>
          <cell r="D26">
            <v>101.74110665674951</v>
          </cell>
          <cell r="E26">
            <v>88.671108068053954</v>
          </cell>
          <cell r="F26">
            <v>79.255544805656328</v>
          </cell>
          <cell r="G26">
            <v>75.988057299717497</v>
          </cell>
          <cell r="H26">
            <v>60.400542330658645</v>
          </cell>
          <cell r="I26">
            <v>52.415912356983192</v>
          </cell>
          <cell r="J26">
            <v>48.629784400637931</v>
          </cell>
          <cell r="K26">
            <v>39.314087036100844</v>
          </cell>
          <cell r="L26">
            <v>35.640262552510876</v>
          </cell>
          <cell r="M26">
            <v>30.305656509851204</v>
          </cell>
          <cell r="N26">
            <v>21.640347642793952</v>
          </cell>
          <cell r="O26">
            <v>8.4552609324629131</v>
          </cell>
        </row>
        <row r="27">
          <cell r="A27" t="str">
            <v>RNWWND5</v>
          </cell>
          <cell r="C27" t="str">
            <v>WND</v>
          </cell>
          <cell r="D27">
            <v>5.0104358393710793E-4</v>
          </cell>
          <cell r="E27">
            <v>4.9897684302075394E-4</v>
          </cell>
          <cell r="F27">
            <v>5.0002861835101407E-4</v>
          </cell>
          <cell r="G27">
            <v>5.2544969799337565E-4</v>
          </cell>
          <cell r="H27">
            <v>6.4290396814053758E-4</v>
          </cell>
          <cell r="I27">
            <v>5.8853570748137172E-4</v>
          </cell>
          <cell r="J27">
            <v>6.8114925097216984E-4</v>
          </cell>
          <cell r="K27">
            <v>1.025875791757661E-3</v>
          </cell>
          <cell r="L27">
            <v>9.689666237583627E-4</v>
          </cell>
          <cell r="M27">
            <v>1.8553999771805641E-3</v>
          </cell>
          <cell r="N27">
            <v>1.6745393833721756E-3</v>
          </cell>
          <cell r="O27">
            <v>3.3421555281395259E-3</v>
          </cell>
        </row>
        <row r="28">
          <cell r="A28" t="str">
            <v>IMPBNGA</v>
          </cell>
          <cell r="C28" t="str">
            <v>BIO</v>
          </cell>
          <cell r="E28">
            <v>0.51650086182072252</v>
          </cell>
          <cell r="F28">
            <v>1.16714140721246</v>
          </cell>
          <cell r="G28">
            <v>2.2314124623988909</v>
          </cell>
          <cell r="H28">
            <v>3.7951763620656562</v>
          </cell>
          <cell r="I28">
            <v>6.0928521099780406</v>
          </cell>
          <cell r="J28">
            <v>6.4040382340539113</v>
          </cell>
          <cell r="K28">
            <v>6.8684603070103609</v>
          </cell>
          <cell r="L28">
            <v>7.0901994947007303</v>
          </cell>
          <cell r="M28">
            <v>7.4065459220007153</v>
          </cell>
          <cell r="N28">
            <v>8.3625765636328282</v>
          </cell>
          <cell r="O28">
            <v>8.6783038066351104</v>
          </cell>
        </row>
        <row r="29">
          <cell r="A29" t="str">
            <v>RNWGEO1</v>
          </cell>
          <cell r="C29" t="str">
            <v>GEO</v>
          </cell>
          <cell r="I29">
            <v>7.1647736316754815E-5</v>
          </cell>
          <cell r="J29">
            <v>2.6320398995594557E-2</v>
          </cell>
          <cell r="K29">
            <v>4.1674484271998068E-2</v>
          </cell>
          <cell r="L29">
            <v>4.4640189958327539E-2</v>
          </cell>
          <cell r="M29">
            <v>4.7527275988452571E-2</v>
          </cell>
          <cell r="N29">
            <v>5.8357626208554482E-2</v>
          </cell>
          <cell r="O29">
            <v>0.10112805449583818</v>
          </cell>
        </row>
        <row r="30">
          <cell r="A30" t="str">
            <v>RNWGEO2</v>
          </cell>
          <cell r="C30" t="str">
            <v>GEO</v>
          </cell>
          <cell r="I30">
            <v>7.0587247608719451E-5</v>
          </cell>
          <cell r="J30">
            <v>4.3087821919169395E-3</v>
          </cell>
          <cell r="K30">
            <v>6.3007444559626319E-3</v>
          </cell>
          <cell r="L30">
            <v>6.4171960077706652E-3</v>
          </cell>
          <cell r="M30">
            <v>8.0251200040133887E-3</v>
          </cell>
          <cell r="N30">
            <v>8.104830482193218E-3</v>
          </cell>
          <cell r="O30">
            <v>1.5183905214400441E-2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84.301809880217206</v>
          </cell>
          <cell r="G31">
            <v>85.299917577455304</v>
          </cell>
          <cell r="H31">
            <v>89.961823553793593</v>
          </cell>
          <cell r="I31">
            <v>93.085375897220601</v>
          </cell>
          <cell r="J31">
            <v>95.303167780879605</v>
          </cell>
          <cell r="K31">
            <v>97.191978872598995</v>
          </cell>
          <cell r="L31">
            <v>95.133104765532195</v>
          </cell>
          <cell r="M31">
            <v>95.640118185853098</v>
          </cell>
          <cell r="N31">
            <v>97.191560008441201</v>
          </cell>
          <cell r="O31">
            <v>98.864838683432097</v>
          </cell>
        </row>
        <row r="32">
          <cell r="A32" t="str">
            <v>RNWGEO3</v>
          </cell>
          <cell r="C32" t="str">
            <v>GEO</v>
          </cell>
          <cell r="I32">
            <v>7.0179560625851115E-5</v>
          </cell>
          <cell r="J32">
            <v>3.1678520671788667E-3</v>
          </cell>
          <cell r="K32">
            <v>4.6366398244022397E-3</v>
          </cell>
          <cell r="L32">
            <v>4.7076326451235247E-3</v>
          </cell>
          <cell r="M32">
            <v>5.9231151037145149E-3</v>
          </cell>
          <cell r="N32">
            <v>5.9176375919097928E-3</v>
          </cell>
          <cell r="O32">
            <v>1.1169940263844462E-2</v>
          </cell>
        </row>
        <row r="33">
          <cell r="A33" t="str">
            <v>RNWGEO4</v>
          </cell>
          <cell r="C33" t="str">
            <v>GEO</v>
          </cell>
          <cell r="I33">
            <v>6.9789532080330254E-5</v>
          </cell>
          <cell r="J33">
            <v>2.5144027963986851E-3</v>
          </cell>
          <cell r="K33">
            <v>3.6769019094965555E-3</v>
          </cell>
          <cell r="L33">
            <v>3.7264348564324053E-3</v>
          </cell>
          <cell r="M33">
            <v>4.720880154104927E-3</v>
          </cell>
          <cell r="N33">
            <v>4.6926419386844002E-3</v>
          </cell>
          <cell r="O33">
            <v>8.9459327284123532E-3</v>
          </cell>
        </row>
        <row r="34">
          <cell r="A34" t="str">
            <v>RNWGEO5</v>
          </cell>
          <cell r="C34" t="str">
            <v>GEO</v>
          </cell>
          <cell r="I34">
            <v>6.4117763971132608E-5</v>
          </cell>
          <cell r="J34">
            <v>6.334071231187448E-4</v>
          </cell>
          <cell r="K34">
            <v>9.2451704303889073E-4</v>
          </cell>
          <cell r="L34">
            <v>9.3070614464716534E-4</v>
          </cell>
          <cell r="M34">
            <v>1.1991540139876537E-3</v>
          </cell>
          <cell r="N34">
            <v>1.165119063436525E-3</v>
          </cell>
          <cell r="O34">
            <v>2.2685260942264499E-3</v>
          </cell>
        </row>
        <row r="35">
          <cell r="A35" t="str">
            <v>IMPGSL</v>
          </cell>
          <cell r="C35" t="str">
            <v>GSL</v>
          </cell>
          <cell r="D35">
            <v>79.800116501283014</v>
          </cell>
          <cell r="E35">
            <v>75.955831102009526</v>
          </cell>
          <cell r="F35">
            <v>79.763331139614763</v>
          </cell>
          <cell r="G35">
            <v>58.428498520784693</v>
          </cell>
          <cell r="H35">
            <v>44.808438265412477</v>
          </cell>
          <cell r="I35">
            <v>38.560366241640835</v>
          </cell>
          <cell r="J35">
            <v>33.205257240926265</v>
          </cell>
          <cell r="K35">
            <v>28.757538875166794</v>
          </cell>
          <cell r="L35">
            <v>26.279222318002475</v>
          </cell>
          <cell r="M35">
            <v>23.898186030248745</v>
          </cell>
          <cell r="N35">
            <v>22.084489880320223</v>
          </cell>
          <cell r="O35">
            <v>21.127724721248338</v>
          </cell>
        </row>
        <row r="36">
          <cell r="A36" t="str">
            <v>RNWWOD1</v>
          </cell>
          <cell r="C36" t="str">
            <v>WOD</v>
          </cell>
          <cell r="D36">
            <v>11.111877816062361</v>
          </cell>
          <cell r="E36">
            <v>11.952883610097949</v>
          </cell>
          <cell r="F36">
            <v>13.214392679215495</v>
          </cell>
          <cell r="G36">
            <v>15.316909578148843</v>
          </cell>
          <cell r="H36">
            <v>15.849138612604666</v>
          </cell>
          <cell r="I36">
            <v>16.266395578750799</v>
          </cell>
          <cell r="J36">
            <v>16.611694222062589</v>
          </cell>
          <cell r="K36">
            <v>16.956993852050463</v>
          </cell>
          <cell r="L36">
            <v>17.015760310926382</v>
          </cell>
          <cell r="M36">
            <v>17.074528854627712</v>
          </cell>
          <cell r="N36">
            <v>17.133294185602008</v>
          </cell>
          <cell r="O36">
            <v>17.192068101281823</v>
          </cell>
        </row>
        <row r="37">
          <cell r="A37" t="str">
            <v>RNWWOD2</v>
          </cell>
          <cell r="C37" t="str">
            <v>WOD</v>
          </cell>
          <cell r="D37">
            <v>7.5116714792787516</v>
          </cell>
          <cell r="E37">
            <v>7.5431421335966675</v>
          </cell>
          <cell r="F37">
            <v>7.5903483529641971</v>
          </cell>
          <cell r="G37">
            <v>7.6690266108984915</v>
          </cell>
          <cell r="H37">
            <v>7.669027110614115</v>
          </cell>
          <cell r="I37">
            <v>7.6690272561862862</v>
          </cell>
          <cell r="J37">
            <v>7.6690271876529321</v>
          </cell>
          <cell r="K37">
            <v>7.6690281047762552</v>
          </cell>
          <cell r="L37">
            <v>7.6690271918015256</v>
          </cell>
          <cell r="M37">
            <v>7.6690282773254745</v>
          </cell>
          <cell r="N37">
            <v>7.6690262131216862</v>
          </cell>
          <cell r="O37">
            <v>7.6690263254100701</v>
          </cell>
        </row>
        <row r="38">
          <cell r="A38" t="str">
            <v>RNWWOD3</v>
          </cell>
          <cell r="C38" t="str">
            <v>WOD</v>
          </cell>
          <cell r="D38">
            <v>3.1682453941052438</v>
          </cell>
          <cell r="E38">
            <v>3.4956720240256094</v>
          </cell>
          <cell r="F38">
            <v>3.9868135890129714</v>
          </cell>
          <cell r="G38">
            <v>4.805385560005389</v>
          </cell>
          <cell r="H38">
            <v>4.805384426012572</v>
          </cell>
          <cell r="I38">
            <v>4.8053846118820971</v>
          </cell>
          <cell r="J38">
            <v>4.8053846358314969</v>
          </cell>
          <cell r="K38">
            <v>4.8053828172703277</v>
          </cell>
          <cell r="L38">
            <v>4.8053845343663566</v>
          </cell>
          <cell r="M38">
            <v>4.8053832322819119</v>
          </cell>
          <cell r="N38">
            <v>4.8053834357688743</v>
          </cell>
          <cell r="O38">
            <v>4.8053839557388356</v>
          </cell>
        </row>
        <row r="39">
          <cell r="A39" t="str">
            <v>RNWWOD4</v>
          </cell>
          <cell r="C39" t="str">
            <v>WOD</v>
          </cell>
          <cell r="D39">
            <v>13.656486322215706</v>
          </cell>
          <cell r="E39">
            <v>14.899045414670375</v>
          </cell>
          <cell r="F39">
            <v>16.76286999126075</v>
          </cell>
          <cell r="G39">
            <v>19.869250371052292</v>
          </cell>
          <cell r="H39">
            <v>19.86601605641571</v>
          </cell>
          <cell r="I39">
            <v>19.448852380155774</v>
          </cell>
          <cell r="J39">
            <v>19.10360492631327</v>
          </cell>
          <cell r="K39">
            <v>18.757148551457721</v>
          </cell>
          <cell r="L39">
            <v>18.699530019797997</v>
          </cell>
          <cell r="M39">
            <v>18.639545472706615</v>
          </cell>
          <cell r="N39">
            <v>18.581316585010683</v>
          </cell>
          <cell r="O39">
            <v>18.519737016689596</v>
          </cell>
        </row>
        <row r="40">
          <cell r="A40" t="str">
            <v>RNWWOD5</v>
          </cell>
          <cell r="C40" t="str">
            <v>WOD</v>
          </cell>
          <cell r="D40">
            <v>9.5241214603999484</v>
          </cell>
          <cell r="E40">
            <v>10.29972619014187</v>
          </cell>
          <cell r="F40">
            <v>6.6360461433905682</v>
          </cell>
          <cell r="G40">
            <v>0.52990143590697003</v>
          </cell>
          <cell r="H40">
            <v>1.7074932250328494E-3</v>
          </cell>
          <cell r="I40">
            <v>1.6160193230159005E-3</v>
          </cell>
          <cell r="J40">
            <v>1.5667709154505048E-3</v>
          </cell>
          <cell r="K40">
            <v>2.7359077871841834E-3</v>
          </cell>
          <cell r="L40">
            <v>1.5828955988225694E-3</v>
          </cell>
          <cell r="M40">
            <v>2.8146155196367506E-3</v>
          </cell>
          <cell r="N40">
            <v>2.2813690186128687E-3</v>
          </cell>
          <cell r="O40">
            <v>5.1483145064870782E-3</v>
          </cell>
        </row>
        <row r="41">
          <cell r="A41" t="str">
            <v>RNNWWST1</v>
          </cell>
          <cell r="C41" t="str">
            <v>WSTNREN</v>
          </cell>
          <cell r="D41">
            <v>35.851290112416699</v>
          </cell>
          <cell r="E41">
            <v>35.882382878107464</v>
          </cell>
          <cell r="F41">
            <v>35.489467550159034</v>
          </cell>
          <cell r="G41">
            <v>35.039968096222253</v>
          </cell>
          <cell r="H41">
            <v>34.937585174902388</v>
          </cell>
          <cell r="I41">
            <v>35.159449549388498</v>
          </cell>
          <cell r="J41">
            <v>35.381314116653847</v>
          </cell>
          <cell r="K41">
            <v>35.603182411498764</v>
          </cell>
          <cell r="L41">
            <v>35.603179606571651</v>
          </cell>
          <cell r="M41">
            <v>35.60318313159835</v>
          </cell>
          <cell r="N41">
            <v>35.603178915539864</v>
          </cell>
          <cell r="O41">
            <v>35.603185210495248</v>
          </cell>
        </row>
        <row r="42">
          <cell r="A42" t="str">
            <v>RNWSOL1</v>
          </cell>
          <cell r="C42" t="str">
            <v>SOL</v>
          </cell>
          <cell r="D42">
            <v>12.556519064853482</v>
          </cell>
          <cell r="E42">
            <v>16.522310718534442</v>
          </cell>
          <cell r="F42">
            <v>32.461622337746881</v>
          </cell>
          <cell r="G42">
            <v>54.391512754991936</v>
          </cell>
          <cell r="H42">
            <v>57.322739727141375</v>
          </cell>
          <cell r="I42">
            <v>59.982207730216153</v>
          </cell>
          <cell r="J42">
            <v>62.656608924788308</v>
          </cell>
          <cell r="K42">
            <v>65.445109124829642</v>
          </cell>
          <cell r="L42">
            <v>68.066565779377171</v>
          </cell>
          <cell r="M42">
            <v>71.128921885008282</v>
          </cell>
          <cell r="N42">
            <v>74.650491637627184</v>
          </cell>
          <cell r="O42">
            <v>78.992618232451747</v>
          </cell>
        </row>
        <row r="43">
          <cell r="A43" t="str">
            <v>IMPHFO1</v>
          </cell>
          <cell r="C43" t="str">
            <v>HFO</v>
          </cell>
          <cell r="D43">
            <v>2.7763728796908738</v>
          </cell>
          <cell r="E43">
            <v>2.3070306354183776</v>
          </cell>
          <cell r="F43">
            <v>3.2363941301427105E-3</v>
          </cell>
          <cell r="G43">
            <v>9.1582087505070846E-4</v>
          </cell>
          <cell r="H43">
            <v>1.4333012973887045E-3</v>
          </cell>
          <cell r="I43">
            <v>1.2935185701310884E-3</v>
          </cell>
          <cell r="J43">
            <v>1.4666104341367115E-3</v>
          </cell>
        </row>
        <row r="44">
          <cell r="A44" t="str">
            <v>RNWHYDD1</v>
          </cell>
          <cell r="C44" t="str">
            <v>HYDD</v>
          </cell>
          <cell r="D44">
            <v>66.745679999996938</v>
          </cell>
          <cell r="E44">
            <v>49.798802720425954</v>
          </cell>
          <cell r="F44">
            <v>68.534766593212638</v>
          </cell>
          <cell r="G44">
            <v>69.617936454117384</v>
          </cell>
          <cell r="H44">
            <v>70.702302945354674</v>
          </cell>
          <cell r="I44">
            <v>71.787070620196431</v>
          </cell>
          <cell r="J44">
            <v>72.871347957925721</v>
          </cell>
          <cell r="K44">
            <v>73.956372894292329</v>
          </cell>
          <cell r="L44">
            <v>73.956376943374892</v>
          </cell>
          <cell r="M44">
            <v>73.956432969456444</v>
          </cell>
          <cell r="N44">
            <v>73.956436818231381</v>
          </cell>
          <cell r="O44">
            <v>73.955970595593001</v>
          </cell>
        </row>
        <row r="45">
          <cell r="A45" t="str">
            <v>IMPKER</v>
          </cell>
          <cell r="C45" t="str">
            <v>KER</v>
          </cell>
          <cell r="D45">
            <v>1.1081985022514804</v>
          </cell>
          <cell r="E45">
            <v>1.4051982331671331</v>
          </cell>
          <cell r="F45">
            <v>1.8468315276611209</v>
          </cell>
          <cell r="G45">
            <v>1.6113273768218674</v>
          </cell>
          <cell r="H45">
            <v>1.1628675536284052</v>
          </cell>
          <cell r="I45">
            <v>0.98586215126959842</v>
          </cell>
          <cell r="J45">
            <v>0.64108235172521733</v>
          </cell>
          <cell r="K45">
            <v>0.38713857374479593</v>
          </cell>
          <cell r="L45">
            <v>0.19677487944744107</v>
          </cell>
          <cell r="M45">
            <v>1.099207705099201E-4</v>
          </cell>
          <cell r="N45">
            <v>6.8442189954515557E-5</v>
          </cell>
          <cell r="O45">
            <v>1.2488900007089188E-4</v>
          </cell>
        </row>
        <row r="46">
          <cell r="A46" t="str">
            <v>IMPBDS</v>
          </cell>
          <cell r="C46" t="str">
            <v>BDS</v>
          </cell>
          <cell r="D46">
            <v>2.3895718924106442</v>
          </cell>
          <cell r="E46">
            <v>2.3780126338883383</v>
          </cell>
          <cell r="F46">
            <v>3.9194060466943825</v>
          </cell>
          <cell r="G46">
            <v>3.3627721463549225</v>
          </cell>
          <cell r="H46">
            <v>3.0181492963263192</v>
          </cell>
          <cell r="I46">
            <v>3.0161527606003604</v>
          </cell>
          <cell r="J46">
            <v>3.0159161788436561</v>
          </cell>
          <cell r="K46">
            <v>2.8094514831094664</v>
          </cell>
          <cell r="L46">
            <v>2.7317338511349387</v>
          </cell>
          <cell r="M46">
            <v>2.5530453841422638</v>
          </cell>
          <cell r="N46">
            <v>1.7023758913976963</v>
          </cell>
          <cell r="O46">
            <v>1.4416485884912185</v>
          </cell>
        </row>
        <row r="47">
          <cell r="A47" t="str">
            <v>IMPCOA1</v>
          </cell>
          <cell r="C47" t="str">
            <v>COA</v>
          </cell>
          <cell r="D47">
            <v>3.660005798694931</v>
          </cell>
          <cell r="E47">
            <v>3.564717920772833</v>
          </cell>
          <cell r="F47">
            <v>2.9101793072424531</v>
          </cell>
          <cell r="G47">
            <v>3.0962455558206279E-3</v>
          </cell>
          <cell r="H47">
            <v>2.2281574129933445E-3</v>
          </cell>
          <cell r="I47">
            <v>1.356355616750455E-3</v>
          </cell>
          <cell r="J47">
            <v>1.7821310339615763E-3</v>
          </cell>
          <cell r="K47">
            <v>4.4958159540471462E-3</v>
          </cell>
          <cell r="L47">
            <v>2.6600949992475072E-3</v>
          </cell>
          <cell r="M47">
            <v>4.0053278377095072E-3</v>
          </cell>
          <cell r="N47">
            <v>2.206658400013735E-3</v>
          </cell>
          <cell r="O47">
            <v>3.8655899619369095E-3</v>
          </cell>
        </row>
        <row r="48">
          <cell r="A48" t="str">
            <v>IMPETH</v>
          </cell>
          <cell r="C48" t="str">
            <v>ETH</v>
          </cell>
          <cell r="D48">
            <v>4.4341519255776722</v>
          </cell>
          <cell r="E48">
            <v>4.3986163932295153</v>
          </cell>
          <cell r="F48">
            <v>4.6186126808201786</v>
          </cell>
          <cell r="G48">
            <v>4.1109770175834157</v>
          </cell>
          <cell r="H48">
            <v>2.8918450506768658</v>
          </cell>
          <cell r="I48">
            <v>2.2334233641073076</v>
          </cell>
          <cell r="J48">
            <v>1.923267562958572</v>
          </cell>
          <cell r="K48">
            <v>1.6660200650747619</v>
          </cell>
          <cell r="L48">
            <v>1.5220630282110983</v>
          </cell>
          <cell r="M48">
            <v>1.3844675728155382</v>
          </cell>
          <cell r="N48">
            <v>1.279184724857102</v>
          </cell>
          <cell r="O48">
            <v>1.2243457690473214</v>
          </cell>
        </row>
        <row r="49">
          <cell r="A49" t="str">
            <v>IMPELC_DE</v>
          </cell>
          <cell r="C49" t="str">
            <v>ELC_I-DE</v>
          </cell>
          <cell r="D49">
            <v>46.398475558398296</v>
          </cell>
          <cell r="E49">
            <v>32.433239892185853</v>
          </cell>
          <cell r="F49">
            <v>28.962914111315044</v>
          </cell>
          <cell r="G49">
            <v>35.631619927336757</v>
          </cell>
          <cell r="H49">
            <v>35.218741532434144</v>
          </cell>
          <cell r="I49">
            <v>29.591298312779195</v>
          </cell>
          <cell r="J49">
            <v>31.653863172776603</v>
          </cell>
          <cell r="K49">
            <v>26.904251354298484</v>
          </cell>
          <cell r="L49">
            <v>6.0199666844384998</v>
          </cell>
          <cell r="M49">
            <v>4.4188469404399895E-3</v>
          </cell>
          <cell r="N49">
            <v>2.0143583182738196E-3</v>
          </cell>
          <cell r="O49">
            <v>4.2821727803009097E-3</v>
          </cell>
        </row>
        <row r="50">
          <cell r="A50" t="str">
            <v>IMPELC_DE</v>
          </cell>
          <cell r="C50" t="str">
            <v>ELCS</v>
          </cell>
          <cell r="D50">
            <v>46.398475558398296</v>
          </cell>
          <cell r="E50">
            <v>32.433239892185853</v>
          </cell>
          <cell r="F50">
            <v>28.962914111315044</v>
          </cell>
          <cell r="G50">
            <v>35.631619927336757</v>
          </cell>
          <cell r="H50">
            <v>35.218741532434144</v>
          </cell>
          <cell r="I50">
            <v>29.591298312779195</v>
          </cell>
          <cell r="J50">
            <v>31.653863172776603</v>
          </cell>
          <cell r="K50">
            <v>26.904251354298484</v>
          </cell>
          <cell r="L50">
            <v>6.0199666844384998</v>
          </cell>
          <cell r="M50">
            <v>4.4188469404399895E-3</v>
          </cell>
          <cell r="N50">
            <v>2.0143583182738196E-3</v>
          </cell>
          <cell r="O50">
            <v>4.2821727803009097E-3</v>
          </cell>
        </row>
        <row r="51">
          <cell r="A51" t="str">
            <v>RNWWST1</v>
          </cell>
          <cell r="C51" t="str">
            <v>WSTREN</v>
          </cell>
          <cell r="D51">
            <v>34.020651087806847</v>
          </cell>
          <cell r="E51">
            <v>34.02083105029152</v>
          </cell>
          <cell r="F51">
            <v>34.020839214620466</v>
          </cell>
          <cell r="G51">
            <v>34.020831087089384</v>
          </cell>
          <cell r="H51">
            <v>34.020831824828178</v>
          </cell>
          <cell r="I51">
            <v>34.020835928906713</v>
          </cell>
          <cell r="J51">
            <v>34.020837649287699</v>
          </cell>
          <cell r="K51">
            <v>34.020843217369098</v>
          </cell>
          <cell r="L51">
            <v>34.020843925928681</v>
          </cell>
          <cell r="M51">
            <v>34.020850735982414</v>
          </cell>
          <cell r="N51">
            <v>34.020853936134763</v>
          </cell>
          <cell r="O51">
            <v>34.020914911631472</v>
          </cell>
        </row>
        <row r="52">
          <cell r="A52" t="str">
            <v>IMPNGA1</v>
          </cell>
          <cell r="C52" t="str">
            <v>NGA</v>
          </cell>
          <cell r="D52">
            <v>117.02060415422058</v>
          </cell>
          <cell r="E52">
            <v>106.71999989703531</v>
          </cell>
          <cell r="F52">
            <v>112.32736443706395</v>
          </cell>
          <cell r="G52">
            <v>119.29382626193762</v>
          </cell>
          <cell r="H52">
            <v>122.95686017998561</v>
          </cell>
          <cell r="I52">
            <v>122.40471799680431</v>
          </cell>
          <cell r="J52">
            <v>122.77954252500017</v>
          </cell>
          <cell r="K52">
            <v>120.81855123616619</v>
          </cell>
          <cell r="L52">
            <v>117.86614501800922</v>
          </cell>
          <cell r="M52">
            <v>113.58921411020063</v>
          </cell>
          <cell r="N52">
            <v>113.08251608387286</v>
          </cell>
          <cell r="O52">
            <v>101.95519412387092</v>
          </cell>
        </row>
        <row r="53">
          <cell r="A53" t="str">
            <v>IMPELC_IT</v>
          </cell>
          <cell r="C53" t="str">
            <v>ELC_I-IT</v>
          </cell>
          <cell r="D53">
            <v>6.7990984689457825</v>
          </cell>
          <cell r="E53">
            <v>4.4927108418183479E-4</v>
          </cell>
          <cell r="F53">
            <v>3.7701183243797506E-4</v>
          </cell>
          <cell r="G53">
            <v>1.7056863472947946E-4</v>
          </cell>
          <cell r="H53">
            <v>2.5275626182611562E-4</v>
          </cell>
          <cell r="I53">
            <v>2.7821811638026436E-4</v>
          </cell>
          <cell r="J53">
            <v>2.9845590121461323E-4</v>
          </cell>
          <cell r="K53">
            <v>3.0499196314359711E-4</v>
          </cell>
          <cell r="L53">
            <v>2.788038793884994E-4</v>
          </cell>
          <cell r="M53">
            <v>2.9659251943588822E-4</v>
          </cell>
          <cell r="N53">
            <v>2.8157576044126389E-4</v>
          </cell>
          <cell r="O53">
            <v>5.0959686104336309E-4</v>
          </cell>
        </row>
        <row r="54">
          <cell r="A54" t="str">
            <v>IMPELC_IT</v>
          </cell>
          <cell r="C54" t="str">
            <v>ELCS</v>
          </cell>
          <cell r="D54">
            <v>6.7990984689457825</v>
          </cell>
          <cell r="E54">
            <v>4.4927108418183479E-4</v>
          </cell>
          <cell r="F54">
            <v>3.7701183243797506E-4</v>
          </cell>
          <cell r="G54">
            <v>1.7056863472947946E-4</v>
          </cell>
          <cell r="H54">
            <v>2.5275626182611562E-4</v>
          </cell>
          <cell r="I54">
            <v>2.7821811638026436E-4</v>
          </cell>
          <cell r="J54">
            <v>2.9845590121461323E-4</v>
          </cell>
          <cell r="K54">
            <v>3.0499196314359711E-4</v>
          </cell>
          <cell r="L54">
            <v>2.788038793884994E-4</v>
          </cell>
          <cell r="M54">
            <v>2.9659251943588822E-4</v>
          </cell>
          <cell r="N54">
            <v>2.8157576044126389E-4</v>
          </cell>
          <cell r="O54">
            <v>5.0959686104336309E-4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3.2682200707794404</v>
          </cell>
          <cell r="E4">
            <v>3.8319876654690179</v>
          </cell>
          <cell r="F4">
            <v>3.7274502892581181</v>
          </cell>
          <cell r="G4">
            <v>3.8802264193580873</v>
          </cell>
          <cell r="H4">
            <v>4.0152390668101994</v>
          </cell>
          <cell r="I4">
            <v>4.1161217693212793</v>
          </cell>
          <cell r="J4">
            <v>4.1964746352904925</v>
          </cell>
          <cell r="K4">
            <v>4.2602899080571213</v>
          </cell>
          <cell r="L4">
            <v>4.3100572798673955</v>
          </cell>
          <cell r="M4">
            <v>4.3543341181122441</v>
          </cell>
          <cell r="N4">
            <v>4.3543571385485889</v>
          </cell>
          <cell r="O4">
            <v>4.3546548146875583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3.2682200707794404</v>
          </cell>
          <cell r="E5">
            <v>3.8319876654690179</v>
          </cell>
          <cell r="F5">
            <v>3.7274502892581181</v>
          </cell>
          <cell r="G5">
            <v>3.8802264193580873</v>
          </cell>
          <cell r="H5">
            <v>4.0152390668101994</v>
          </cell>
          <cell r="I5">
            <v>4.1161217693212793</v>
          </cell>
          <cell r="J5">
            <v>4.1964746352904925</v>
          </cell>
          <cell r="K5">
            <v>4.2602899080571213</v>
          </cell>
          <cell r="L5">
            <v>4.3100572798673955</v>
          </cell>
          <cell r="M5">
            <v>4.3543341181122441</v>
          </cell>
          <cell r="N5">
            <v>4.3543571385485889</v>
          </cell>
          <cell r="O5">
            <v>4.3546548146875583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7.9153167081117218E-5</v>
          </cell>
          <cell r="F6">
            <v>3.6280476502940413E-4</v>
          </cell>
          <cell r="G6">
            <v>1.5461695316946894E-3</v>
          </cell>
          <cell r="H6">
            <v>2.1825816707456151E-3</v>
          </cell>
          <cell r="I6">
            <v>2.2588877853138775E-3</v>
          </cell>
          <cell r="J6">
            <v>1.1919470278288502E-3</v>
          </cell>
          <cell r="K6">
            <v>1.0604007154541482E-3</v>
          </cell>
          <cell r="L6">
            <v>2.5600577105410857E-3</v>
          </cell>
          <cell r="M6">
            <v>2.4701496352261326E-3</v>
          </cell>
          <cell r="N6">
            <v>1.0347700969619387E-3</v>
          </cell>
          <cell r="O6">
            <v>5.1730962011374006E-4</v>
          </cell>
        </row>
        <row r="7">
          <cell r="A7" t="str">
            <v>RHNS-SHSTG-SOL</v>
          </cell>
          <cell r="B7" t="str">
            <v>VAR_fin</v>
          </cell>
          <cell r="C7" t="str">
            <v>RHNS-SHASOL</v>
          </cell>
          <cell r="D7"/>
          <cell r="E7">
            <v>9.7834675592591177E-6</v>
          </cell>
          <cell r="F7">
            <v>2.9346226167292799E-4</v>
          </cell>
          <cell r="G7">
            <v>1.4685734607328194E-3</v>
          </cell>
          <cell r="H7">
            <v>2.1240812998209479E-3</v>
          </cell>
          <cell r="I7">
            <v>2.2159440631075453E-3</v>
          </cell>
          <cell r="J7">
            <v>1.1072911620147391E-3</v>
          </cell>
          <cell r="K7">
            <v>9.7509807902477574E-4</v>
          </cell>
          <cell r="L7">
            <v>2.5166024993189774E-3</v>
          </cell>
          <cell r="M7">
            <v>2.361851509112741E-3</v>
          </cell>
          <cell r="N7">
            <v>9.7846067994836433E-4</v>
          </cell>
          <cell r="O7">
            <v>3.9642999920833105E-4</v>
          </cell>
        </row>
        <row r="8">
          <cell r="A8" t="str">
            <v>RHNS-SHSTG-SOL</v>
          </cell>
          <cell r="B8" t="str">
            <v>VAR_ncap</v>
          </cell>
          <cell r="C8" t="str">
            <v>-</v>
          </cell>
          <cell r="D8">
            <v>3.9945033963983499E-6</v>
          </cell>
          <cell r="E8">
            <v>1.2416623050794E-5</v>
          </cell>
          <cell r="F8">
            <v>4.7946329822535302E-5</v>
          </cell>
          <cell r="G8">
            <v>1.7399595326268301E-4</v>
          </cell>
          <cell r="H8">
            <v>1.0891635266574499E-4</v>
          </cell>
          <cell r="I8">
            <v>7.5058763249302002E-5</v>
          </cell>
          <cell r="J8">
            <v>5.5344335518028002E-6</v>
          </cell>
          <cell r="K8">
            <v>9.8133458834040997E-5</v>
          </cell>
          <cell r="L8">
            <v>2.9565379293594601E-4</v>
          </cell>
          <cell r="M8">
            <v>3.9247362075872603E-6</v>
          </cell>
          <cell r="N8">
            <v>1.24844332530557E-4</v>
          </cell>
          <cell r="O8">
            <v>4.1513950989671197E-6</v>
          </cell>
        </row>
        <row r="9">
          <cell r="A9" t="str">
            <v>RHNS-SHSTG-SOL</v>
          </cell>
          <cell r="B9" t="str">
            <v>VAR_cap</v>
          </cell>
          <cell r="C9" t="str">
            <v>-</v>
          </cell>
          <cell r="D9">
            <v>3.9945033963983499E-6</v>
          </cell>
          <cell r="E9">
            <v>1.64111264471924E-5</v>
          </cell>
          <cell r="F9">
            <v>6.4357456269727601E-5</v>
          </cell>
          <cell r="G9">
            <v>2.3835340953241E-4</v>
          </cell>
          <cell r="H9">
            <v>3.3825612817640698E-4</v>
          </cell>
          <cell r="I9">
            <v>3.3493746796816801E-4</v>
          </cell>
          <cell r="J9">
            <v>1.89509549466849E-4</v>
          </cell>
          <cell r="K9">
            <v>1.7872665563514601E-4</v>
          </cell>
          <cell r="L9">
            <v>4.1012148323237799E-4</v>
          </cell>
          <cell r="M9">
            <v>3.97711987977575E-4</v>
          </cell>
          <cell r="N9">
            <v>3.4807814867614402E-4</v>
          </cell>
          <cell r="O9">
            <v>1.32920463837112E-4</v>
          </cell>
        </row>
        <row r="10">
          <cell r="A10" t="str">
            <v>RHNS-SHNGAHP</v>
          </cell>
          <cell r="B10" t="str">
            <v>VAR_fout</v>
          </cell>
          <cell r="C10" t="str">
            <v>CO2_R</v>
          </cell>
          <cell r="D10"/>
          <cell r="E10"/>
          <cell r="F10">
            <v>7.1225402380533501E-2</v>
          </cell>
          <cell r="G10">
            <v>6.6416539893073098E-2</v>
          </cell>
          <cell r="H10">
            <v>13.8543520176501</v>
          </cell>
          <cell r="I10">
            <v>33.146730819249598</v>
          </cell>
          <cell r="J10">
            <v>32.274931284010201</v>
          </cell>
          <cell r="K10">
            <v>38.152069435858301</v>
          </cell>
          <cell r="L10">
            <v>38.151549838403497</v>
          </cell>
          <cell r="M10">
            <v>38.151173571598797</v>
          </cell>
          <cell r="N10">
            <v>38.149047039450799</v>
          </cell>
          <cell r="O10">
            <v>38.151158675600598</v>
          </cell>
        </row>
        <row r="11">
          <cell r="A11" t="str">
            <v>RHNS-SHNGAHP</v>
          </cell>
          <cell r="B11" t="str">
            <v>VAR_fout</v>
          </cell>
          <cell r="C11" t="str">
            <v>RHNS-SHANGAH</v>
          </cell>
          <cell r="D11"/>
          <cell r="E11"/>
          <cell r="F11">
            <v>2.5257234886714008E-3</v>
          </cell>
          <cell r="G11">
            <v>2.449404308113334E-3</v>
          </cell>
          <cell r="H11">
            <v>0.52813575953807845</v>
          </cell>
          <cell r="I11">
            <v>1.304711745013017</v>
          </cell>
          <cell r="J11">
            <v>1.3047312646727529</v>
          </cell>
          <cell r="K11">
            <v>1.5829050085090157</v>
          </cell>
          <cell r="L11">
            <v>1.5828834507422733</v>
          </cell>
          <cell r="M11">
            <v>1.5828678396727174</v>
          </cell>
          <cell r="N11">
            <v>1.5827796112112573</v>
          </cell>
          <cell r="O11">
            <v>1.5828672216472603</v>
          </cell>
        </row>
        <row r="12">
          <cell r="A12" t="str">
            <v>RHNS-SHNGAHP</v>
          </cell>
          <cell r="B12" t="str">
            <v>VAR_fin</v>
          </cell>
          <cell r="C12" t="str">
            <v>RNGA</v>
          </cell>
          <cell r="D12"/>
          <cell r="E12"/>
          <cell r="F12">
            <v>1.2628617443357004E-3</v>
          </cell>
          <cell r="G12">
            <v>1.1775982250544874E-3</v>
          </cell>
          <cell r="H12">
            <v>0.2456445393200363</v>
          </cell>
          <cell r="I12">
            <v>0.58770799324910628</v>
          </cell>
          <cell r="J12">
            <v>0.57225055468103236</v>
          </cell>
          <cell r="K12">
            <v>0.67645513184146033</v>
          </cell>
          <cell r="L12">
            <v>0.67644591912062979</v>
          </cell>
          <cell r="M12">
            <v>0.67643924772338315</v>
          </cell>
          <cell r="N12">
            <v>0.67640154325267454</v>
          </cell>
          <cell r="O12">
            <v>0.67643898360994059</v>
          </cell>
        </row>
        <row r="13">
          <cell r="A13" t="str">
            <v>RHNS-SHNGAHP</v>
          </cell>
          <cell r="B13" t="str">
            <v>VAR_fin</v>
          </cell>
          <cell r="C13" t="str">
            <v>RHNSELCHPC</v>
          </cell>
          <cell r="D13"/>
          <cell r="E13"/>
          <cell r="F13">
            <v>2.5257234886714008E-3</v>
          </cell>
          <cell r="G13">
            <v>2.449404308113334E-3</v>
          </cell>
          <cell r="H13">
            <v>0.52813575953807845</v>
          </cell>
          <cell r="I13">
            <v>1.304711745013017</v>
          </cell>
          <cell r="J13">
            <v>1.3047312646727529</v>
          </cell>
          <cell r="K13">
            <v>1.5829050085090157</v>
          </cell>
          <cell r="L13">
            <v>1.5828834507422733</v>
          </cell>
          <cell r="M13">
            <v>1.5828678396727174</v>
          </cell>
          <cell r="N13">
            <v>1.5827796112112573</v>
          </cell>
          <cell r="O13">
            <v>1.5828672216472603</v>
          </cell>
        </row>
        <row r="14">
          <cell r="A14" t="str">
            <v>RHNS-SHNGAHP</v>
          </cell>
          <cell r="B14" t="str">
            <v>VAR_ncap</v>
          </cell>
          <cell r="C14" t="str">
            <v>-</v>
          </cell>
          <cell r="D14"/>
          <cell r="E14">
            <v>1.9460213135181901E-7</v>
          </cell>
          <cell r="F14">
            <v>1.9678616242864501E-4</v>
          </cell>
          <cell r="G14">
            <v>4.1318822715486101E-7</v>
          </cell>
          <cell r="H14">
            <v>3.83006937103419E-2</v>
          </cell>
          <cell r="I14">
            <v>5.6729195621031202E-2</v>
          </cell>
          <cell r="J14">
            <v>4.0788505275597299E-5</v>
          </cell>
          <cell r="K14">
            <v>5.8596746185935397E-2</v>
          </cell>
          <cell r="L14">
            <v>4.7992554842419398E-2</v>
          </cell>
          <cell r="M14">
            <v>8.7812268031759802E-3</v>
          </cell>
          <cell r="N14">
            <v>6.3409502158763398E-2</v>
          </cell>
          <cell r="O14">
            <v>4.3213113974195499E-2</v>
          </cell>
        </row>
        <row r="15">
          <cell r="A15" t="str">
            <v>RHNS-SHNGAHP</v>
          </cell>
          <cell r="B15" t="str">
            <v>VAR_cap</v>
          </cell>
          <cell r="C15" t="str">
            <v>-</v>
          </cell>
          <cell r="D15"/>
          <cell r="E15">
            <v>1.9460213135181901E-7</v>
          </cell>
          <cell r="F15">
            <v>1.969021756117511E-4</v>
          </cell>
          <cell r="G15">
            <v>1.9724053970200404E-4</v>
          </cell>
          <cell r="H15">
            <v>3.8497517736101862E-2</v>
          </cell>
          <cell r="I15">
            <v>9.507098272702863E-2</v>
          </cell>
          <cell r="J15">
            <v>9.5070381020071995E-2</v>
          </cell>
          <cell r="K15">
            <v>0.11536627888759624</v>
          </cell>
          <cell r="L15">
            <v>0.11534092559427628</v>
          </cell>
          <cell r="M15">
            <v>0.11537009071597877</v>
          </cell>
          <cell r="N15">
            <v>0.11534713585528</v>
          </cell>
          <cell r="O15">
            <v>0.11540339218513225</v>
          </cell>
        </row>
        <row r="16">
          <cell r="A16" t="str">
            <v>ITOT-SWHPLTBR</v>
          </cell>
          <cell r="B16" t="str">
            <v>VAR_fout</v>
          </cell>
          <cell r="C16" t="str">
            <v>ITOT-SWH</v>
          </cell>
          <cell r="D16">
            <v>0.4615217481890983</v>
          </cell>
          <cell r="E16">
            <v>0.54457591751289969</v>
          </cell>
          <cell r="F16">
            <v>0.54457761634288437</v>
          </cell>
          <cell r="G16">
            <v>0.54458137301167697</v>
          </cell>
          <cell r="H16">
            <v>0.54501633679927985</v>
          </cell>
          <cell r="I16">
            <v>0.54502320288204176</v>
          </cell>
          <cell r="J16">
            <v>0.54503200295724463</v>
          </cell>
          <cell r="K16">
            <v>0.54504511222801577</v>
          </cell>
          <cell r="L16">
            <v>0.54505157965806394</v>
          </cell>
          <cell r="M16">
            <v>0.54507863786179145</v>
          </cell>
          <cell r="N16">
            <v>0.54511725797392219</v>
          </cell>
          <cell r="O16">
            <v>0.54526510768860315</v>
          </cell>
        </row>
        <row r="17">
          <cell r="A17" t="str">
            <v>ITOT-SWHPLTBR</v>
          </cell>
          <cell r="B17" t="str">
            <v>VAR_fin</v>
          </cell>
          <cell r="C17" t="str">
            <v>ITOTPLTBRC</v>
          </cell>
          <cell r="D17">
            <v>0.4615217481890983</v>
          </cell>
          <cell r="E17">
            <v>0.54457591751289969</v>
          </cell>
          <cell r="F17">
            <v>0.54457761634288437</v>
          </cell>
          <cell r="G17">
            <v>0.54458137301167697</v>
          </cell>
          <cell r="H17">
            <v>0.54501633679927985</v>
          </cell>
          <cell r="I17">
            <v>0.54502320288204176</v>
          </cell>
          <cell r="J17">
            <v>0.54503200295724463</v>
          </cell>
          <cell r="K17">
            <v>0.54504511222801577</v>
          </cell>
          <cell r="L17">
            <v>0.54505157965806394</v>
          </cell>
          <cell r="M17">
            <v>0.54507863786179145</v>
          </cell>
          <cell r="N17">
            <v>0.54511725797392219</v>
          </cell>
          <cell r="O17">
            <v>0.54526510768860315</v>
          </cell>
        </row>
        <row r="18">
          <cell r="A18" t="str">
            <v>ITOT-SWHPLTBR</v>
          </cell>
          <cell r="B18" t="str">
            <v>VAR_fin</v>
          </cell>
          <cell r="C18" t="str">
            <v>IPLT</v>
          </cell>
          <cell r="D18">
            <v>0.62579220093437027</v>
          </cell>
          <cell r="E18">
            <v>0.73757460611227832</v>
          </cell>
          <cell r="F18">
            <v>0.7363302981537585</v>
          </cell>
          <cell r="G18">
            <v>0.73426701979102527</v>
          </cell>
          <cell r="H18">
            <v>0.73279507468810712</v>
          </cell>
          <cell r="I18">
            <v>0.73075736699268234</v>
          </cell>
          <cell r="J18">
            <v>0.72873359726873921</v>
          </cell>
          <cell r="K18">
            <v>0.72672681630402114</v>
          </cell>
          <cell r="L18">
            <v>0.72673543954408537</v>
          </cell>
          <cell r="M18">
            <v>0.72677151714905508</v>
          </cell>
          <cell r="N18">
            <v>0.72682301063189581</v>
          </cell>
          <cell r="O18">
            <v>0.72702014358480382</v>
          </cell>
        </row>
        <row r="19">
          <cell r="A19" t="str">
            <v>ITOT-SWHPLTBR</v>
          </cell>
          <cell r="B19" t="str">
            <v>VAR_ncap</v>
          </cell>
          <cell r="C19" t="str">
            <v>-</v>
          </cell>
          <cell r="D19"/>
          <cell r="E19">
            <v>5.1670686545941397E-3</v>
          </cell>
          <cell r="F19">
            <v>5.81594889285751E-5</v>
          </cell>
          <cell r="G19">
            <v>7.0268744750450803E-3</v>
          </cell>
          <cell r="H19">
            <v>2.41505558214276E-2</v>
          </cell>
          <cell r="I19">
            <v>9.6876196033868992E-3</v>
          </cell>
          <cell r="J19">
            <v>5.0604088832136001E-3</v>
          </cell>
          <cell r="K19">
            <v>2.5284401992138598E-2</v>
          </cell>
          <cell r="L19">
            <v>8.5470263793821794E-3</v>
          </cell>
          <cell r="M19">
            <v>4.9048502485078702E-3</v>
          </cell>
          <cell r="N19">
            <v>2.51363600422011E-2</v>
          </cell>
          <cell r="O19">
            <v>1.0414466066777499E-2</v>
          </cell>
        </row>
        <row r="20">
          <cell r="A20" t="str">
            <v>ITOT-SWHPLTBR</v>
          </cell>
          <cell r="B20" t="str">
            <v>VAR_cap</v>
          </cell>
          <cell r="C20" t="str">
            <v>-</v>
          </cell>
          <cell r="D20">
            <v>2.9860759506449799E-2</v>
          </cell>
          <cell r="E20">
            <v>3.5026368792771136E-2</v>
          </cell>
          <cell r="F20">
            <v>3.508087340852558E-2</v>
          </cell>
          <cell r="G20">
            <v>4.2101795871048078E-2</v>
          </cell>
          <cell r="H20">
            <v>4.1608107437852135E-2</v>
          </cell>
          <cell r="I20">
            <v>3.9529616824404618E-2</v>
          </cell>
          <cell r="J20">
            <v>3.888812617509526E-2</v>
          </cell>
          <cell r="K20">
            <v>4.0018511147101386E-2</v>
          </cell>
          <cell r="L20">
            <v>3.9693953133856784E-2</v>
          </cell>
          <cell r="M20">
            <v>3.8718391067366791E-2</v>
          </cell>
          <cell r="N20">
            <v>4.0334270588938119E-2</v>
          </cell>
          <cell r="O20">
            <v>4.0437034378676184E-2</v>
          </cell>
        </row>
        <row r="21">
          <cell r="A21" t="str">
            <v>D-RHNS_KEV_WOD_ELC_CHP</v>
          </cell>
          <cell r="B21" t="str">
            <v>VAR_fout</v>
          </cell>
          <cell r="C21" t="str">
            <v>RHNS_ELC</v>
          </cell>
          <cell r="D21"/>
          <cell r="E21"/>
          <cell r="F21"/>
          <cell r="G21">
            <v>4.0222638839831345E-4</v>
          </cell>
          <cell r="H21">
            <v>8.5556247864823458E-4</v>
          </cell>
          <cell r="I21">
            <v>8.5981439828768818E-4</v>
          </cell>
          <cell r="J21">
            <v>8.48287420853998E-4</v>
          </cell>
          <cell r="K21">
            <v>2.3101714599608118E-3</v>
          </cell>
          <cell r="L21">
            <v>2.209588792639387E-3</v>
          </cell>
          <cell r="M21">
            <v>2.8691408908865525E-3</v>
          </cell>
          <cell r="N21">
            <v>1.3878130299499216E-3</v>
          </cell>
          <cell r="O21">
            <v>2.3770972466697271E-3</v>
          </cell>
        </row>
        <row r="22">
          <cell r="A22" t="str">
            <v>D-RHNS_KEV_WOD_ELC_CHP</v>
          </cell>
          <cell r="B22" t="str">
            <v>VAR_fout</v>
          </cell>
          <cell r="C22" t="str">
            <v>ELC5</v>
          </cell>
          <cell r="D22"/>
          <cell r="E22"/>
          <cell r="F22"/>
          <cell r="G22">
            <v>4.0243818943890832E-4</v>
          </cell>
          <cell r="H22">
            <v>8.5698293123400652E-4</v>
          </cell>
          <cell r="I22">
            <v>8.6072524980938066E-4</v>
          </cell>
          <cell r="J22">
            <v>8.4988152554521816E-4</v>
          </cell>
          <cell r="K22">
            <v>2.3169360734970907E-3</v>
          </cell>
          <cell r="L22">
            <v>2.2149882785407562E-3</v>
          </cell>
          <cell r="M22">
            <v>2.8748539868793813E-3</v>
          </cell>
          <cell r="N22">
            <v>1.3888926250526902E-3</v>
          </cell>
          <cell r="O22">
            <v>2.3794081931349711E-3</v>
          </cell>
        </row>
        <row r="23">
          <cell r="A23" t="str">
            <v>D-RHNS_KEV_WOD_ELC_CHP</v>
          </cell>
          <cell r="B23" t="str">
            <v>VAR_fin</v>
          </cell>
          <cell r="C23" t="str">
            <v>RHNS_KEV_WOD_ELC_CHP</v>
          </cell>
          <cell r="D23"/>
          <cell r="E23"/>
          <cell r="F23"/>
          <cell r="G23">
            <v>8.0145883202900863E-4</v>
          </cell>
          <cell r="H23">
            <v>1.706761339786042E-3</v>
          </cell>
          <cell r="I23">
            <v>1.7081410434835506E-3</v>
          </cell>
          <cell r="J23">
            <v>1.6861702967732295E-3</v>
          </cell>
          <cell r="K23">
            <v>4.6135090638817879E-3</v>
          </cell>
          <cell r="L23">
            <v>4.4121784665666249E-3</v>
          </cell>
          <cell r="M23">
            <v>5.7303519687467519E-3</v>
          </cell>
          <cell r="N23">
            <v>2.7643070503890967E-3</v>
          </cell>
          <cell r="O23">
            <v>4.7325081405527247E-3</v>
          </cell>
        </row>
        <row r="24">
          <cell r="A24" t="str">
            <v>RHSA-WHWODBR</v>
          </cell>
          <cell r="B24" t="str">
            <v>VAR_fout</v>
          </cell>
          <cell r="C24" t="str">
            <v>RHSA-WHWOD</v>
          </cell>
          <cell r="D24">
            <v>0.52047574617950443</v>
          </cell>
          <cell r="E24">
            <v>0.59724163539243746</v>
          </cell>
          <cell r="F24">
            <v>0.33498585596771474</v>
          </cell>
          <cell r="G24">
            <v>0.26452941896034488</v>
          </cell>
          <cell r="H24">
            <v>0.24572887897149234</v>
          </cell>
          <cell r="I24">
            <v>0.21564076411057581</v>
          </cell>
          <cell r="J24">
            <v>0.19034659793295367</v>
          </cell>
          <cell r="K24">
            <v>0.15763620398360861</v>
          </cell>
          <cell r="L24">
            <v>0.14996249951461282</v>
          </cell>
          <cell r="M24">
            <v>0.12660934799300352</v>
          </cell>
          <cell r="N24">
            <v>0.1179896724769519</v>
          </cell>
          <cell r="O24">
            <v>7.3914303438976953E-2</v>
          </cell>
        </row>
        <row r="25">
          <cell r="A25" t="str">
            <v>RHSA-WHWODBR</v>
          </cell>
          <cell r="B25" t="str">
            <v>VAR_fin</v>
          </cell>
          <cell r="C25" t="str">
            <v>RWOD</v>
          </cell>
          <cell r="D25">
            <v>1.0409514923590091</v>
          </cell>
          <cell r="E25">
            <v>1.1944832707848747</v>
          </cell>
          <cell r="F25">
            <v>0.66997171193542948</v>
          </cell>
          <cell r="G25">
            <v>0.52905883792068997</v>
          </cell>
          <cell r="H25">
            <v>0.49145775794298474</v>
          </cell>
          <cell r="I25">
            <v>0.43128152822115173</v>
          </cell>
          <cell r="J25">
            <v>0.38069319586590716</v>
          </cell>
          <cell r="K25">
            <v>0.31527240796721734</v>
          </cell>
          <cell r="L25">
            <v>0.29992499902922581</v>
          </cell>
          <cell r="M25">
            <v>0.25321869598600716</v>
          </cell>
          <cell r="N25">
            <v>0.23597934495390388</v>
          </cell>
          <cell r="O25">
            <v>0.14782860687795393</v>
          </cell>
        </row>
        <row r="26">
          <cell r="A26" t="str">
            <v>RHSA-WHWODBR</v>
          </cell>
          <cell r="B26" t="str">
            <v>VAR_ncap</v>
          </cell>
          <cell r="C26" t="str">
            <v>-</v>
          </cell>
          <cell r="D26"/>
          <cell r="E26">
            <v>5.1152428475833003E-3</v>
          </cell>
          <cell r="F26">
            <v>1.2842039278979599E-7</v>
          </cell>
          <cell r="G26">
            <v>7.4935273423291398E-7</v>
          </cell>
          <cell r="H26">
            <v>5.5503641430964196E-3</v>
          </cell>
          <cell r="I26">
            <v>9.06486468119257E-3</v>
          </cell>
          <cell r="J26">
            <v>1.2074765193837101E-6</v>
          </cell>
          <cell r="K26">
            <v>1.7443147488118199E-3</v>
          </cell>
          <cell r="L26">
            <v>7.1111708749237298E-3</v>
          </cell>
          <cell r="M26">
            <v>8.99885680696934E-6</v>
          </cell>
          <cell r="N26">
            <v>2.9170539870710301E-3</v>
          </cell>
          <cell r="O26">
            <v>2.1859159792820102E-3</v>
          </cell>
        </row>
        <row r="27">
          <cell r="A27" t="str">
            <v>RHSA-WHWODBR</v>
          </cell>
          <cell r="B27" t="str">
            <v>VAR_cap</v>
          </cell>
          <cell r="C27" t="str">
            <v>-</v>
          </cell>
          <cell r="D27">
            <v>3.5322010722483803E-2</v>
          </cell>
          <cell r="E27">
            <v>4.0437174986762907E-2</v>
          </cell>
          <cell r="F27">
            <v>3.8479651898856868E-2</v>
          </cell>
          <cell r="G27">
            <v>3.845768552629273E-2</v>
          </cell>
          <cell r="H27">
            <v>1.6817749536484024E-2</v>
          </cell>
          <cell r="I27">
            <v>1.4615496352032563E-2</v>
          </cell>
          <cell r="J27">
            <v>1.4611746494761508E-2</v>
          </cell>
          <cell r="K27">
            <v>1.0809561614659045E-2</v>
          </cell>
          <cell r="L27">
            <v>1.0248775745201964E-2</v>
          </cell>
          <cell r="M27">
            <v>8.8631677955387216E-3</v>
          </cell>
          <cell r="N27">
            <v>8.0908154086737141E-3</v>
          </cell>
          <cell r="O27">
            <v>5.1112841905662076E-3</v>
          </cell>
        </row>
        <row r="28">
          <cell r="A28" t="str">
            <v>RHES-SHWODBR</v>
          </cell>
          <cell r="B28" t="str">
            <v>VAR_fout</v>
          </cell>
          <cell r="C28" t="str">
            <v>RHES-SHWOD</v>
          </cell>
          <cell r="D28">
            <v>4.3871591727629307</v>
          </cell>
          <cell r="E28">
            <v>4.3869910615906997</v>
          </cell>
          <cell r="F28">
            <v>4.2020256445309814</v>
          </cell>
          <cell r="G28">
            <v>3.9460172543817928</v>
          </cell>
          <cell r="H28">
            <v>3.6315825662379773</v>
          </cell>
          <cell r="I28">
            <v>3.2567682798683255</v>
          </cell>
          <cell r="J28">
            <v>2.8238905463468886</v>
          </cell>
          <cell r="K28">
            <v>2.4270244812189734</v>
          </cell>
          <cell r="L28">
            <v>2.1647714297837402</v>
          </cell>
          <cell r="M28">
            <v>1.8958806639287977</v>
          </cell>
          <cell r="N28">
            <v>1.8257140112539554</v>
          </cell>
          <cell r="O28">
            <v>1.2760131445400258</v>
          </cell>
        </row>
        <row r="29">
          <cell r="A29" t="str">
            <v>RHES-SHWODBR</v>
          </cell>
          <cell r="B29" t="str">
            <v>VAR_fin</v>
          </cell>
          <cell r="C29" t="str">
            <v>RWOD</v>
          </cell>
          <cell r="D29">
            <v>6.0932766288374012</v>
          </cell>
          <cell r="E29">
            <v>6.0930431410981942</v>
          </cell>
          <cell r="F29">
            <v>5.8361467285152511</v>
          </cell>
          <cell r="G29">
            <v>5.4805795199747145</v>
          </cell>
          <cell r="H29">
            <v>5.0438646753305223</v>
          </cell>
          <cell r="I29">
            <v>4.5232892775948956</v>
          </cell>
          <cell r="J29">
            <v>3.9220702032595711</v>
          </cell>
          <cell r="K29">
            <v>3.3708673350263498</v>
          </cell>
          <cell r="L29">
            <v>3.0066269858107488</v>
          </cell>
          <cell r="M29">
            <v>2.6331675887899957</v>
          </cell>
          <cell r="N29">
            <v>2.5357139045193837</v>
          </cell>
          <cell r="O29">
            <v>1.7722404785278159</v>
          </cell>
        </row>
        <row r="30">
          <cell r="A30" t="str">
            <v>RHES-SHWODBR</v>
          </cell>
          <cell r="B30" t="str">
            <v>VAR_ncap</v>
          </cell>
          <cell r="C30" t="str">
            <v>-</v>
          </cell>
          <cell r="D30"/>
          <cell r="E30">
            <v>3.1536984214196898E-7</v>
          </cell>
          <cell r="F30">
            <v>2.0675115154131201E-7</v>
          </cell>
          <cell r="G30">
            <v>3.3697601340367599E-6</v>
          </cell>
          <cell r="H30">
            <v>0.202010142216208</v>
          </cell>
          <cell r="I30">
            <v>6.1110292372408802E-2</v>
          </cell>
          <cell r="J30">
            <v>2.93208196373091E-7</v>
          </cell>
          <cell r="K30">
            <v>0.135036714780394</v>
          </cell>
          <cell r="L30">
            <v>3.0485083832693698E-2</v>
          </cell>
          <cell r="M30">
            <v>9.8236645723966701E-7</v>
          </cell>
          <cell r="N30">
            <v>0.103043667855652</v>
          </cell>
          <cell r="O30">
            <v>1.4043931622883499E-4</v>
          </cell>
        </row>
        <row r="31">
          <cell r="A31" t="str">
            <v>RHES-SHWODBR</v>
          </cell>
          <cell r="B31" t="str">
            <v>VAR_cap</v>
          </cell>
          <cell r="C31" t="str">
            <v>-</v>
          </cell>
          <cell r="D31">
            <v>0.354428052062076</v>
          </cell>
          <cell r="E31">
            <v>0.35442829898047989</v>
          </cell>
          <cell r="F31">
            <v>0.3544265404547961</v>
          </cell>
          <cell r="G31">
            <v>0.35442880671267268</v>
          </cell>
          <cell r="H31">
            <v>0.2939283833768126</v>
          </cell>
          <cell r="I31">
            <v>0.26312293651772806</v>
          </cell>
          <cell r="J31">
            <v>0.24166905918462361</v>
          </cell>
          <cell r="K31">
            <v>0.19614672317167745</v>
          </cell>
          <cell r="L31">
            <v>0.17491159671291748</v>
          </cell>
          <cell r="M31">
            <v>0.16551969400213062</v>
          </cell>
          <cell r="N31">
            <v>0.14778284131542146</v>
          </cell>
          <cell r="O31">
            <v>0.10318469752035274</v>
          </cell>
        </row>
        <row r="32">
          <cell r="A32" t="str">
            <v>D-EH2</v>
          </cell>
          <cell r="B32" t="str">
            <v>VAR_fout</v>
          </cell>
          <cell r="C32" t="str">
            <v>EH2</v>
          </cell>
          <cell r="D32"/>
          <cell r="E32"/>
          <cell r="F32"/>
          <cell r="G32"/>
          <cell r="H32"/>
          <cell r="I32">
            <v>9.568496594176654E-4</v>
          </cell>
          <cell r="J32">
            <v>9.2303156309310398E-4</v>
          </cell>
          <cell r="K32">
            <v>1.8885499819270377E-3</v>
          </cell>
          <cell r="L32">
            <v>1.9028024790011962E-3</v>
          </cell>
          <cell r="M32">
            <v>3.8801065612271757E-2</v>
          </cell>
          <cell r="N32">
            <v>5.5962151569269029E-2</v>
          </cell>
          <cell r="O32">
            <v>4.5680412992208624E-2</v>
          </cell>
        </row>
        <row r="33">
          <cell r="A33" t="str">
            <v>D-EH2</v>
          </cell>
          <cell r="B33" t="str">
            <v>VAR_fin</v>
          </cell>
          <cell r="C33" t="str">
            <v>H2</v>
          </cell>
          <cell r="D33"/>
          <cell r="E33"/>
          <cell r="F33"/>
          <cell r="G33"/>
          <cell r="H33"/>
          <cell r="I33">
            <v>9.6651480749259148E-4</v>
          </cell>
          <cell r="J33">
            <v>9.3235511423545839E-4</v>
          </cell>
          <cell r="K33">
            <v>1.9076262443707467E-3</v>
          </cell>
          <cell r="L33">
            <v>1.9220227060618136E-3</v>
          </cell>
          <cell r="M33">
            <v>3.9192995567951257E-2</v>
          </cell>
          <cell r="N33">
            <v>5.6527425827544407E-2</v>
          </cell>
          <cell r="O33">
            <v>4.6141831305261269E-2</v>
          </cell>
        </row>
        <row r="34">
          <cell r="A34" t="str">
            <v>D-EH2</v>
          </cell>
          <cell r="B34" t="str">
            <v>VAR_ncap</v>
          </cell>
          <cell r="C34" t="str">
            <v>-</v>
          </cell>
          <cell r="D34"/>
          <cell r="E34"/>
          <cell r="F34"/>
          <cell r="G34">
            <v>9.5270866440827304E-7</v>
          </cell>
          <cell r="H34">
            <v>2.1221454995243701E-6</v>
          </cell>
          <cell r="I34">
            <v>5.0205972187840396E-4</v>
          </cell>
          <cell r="J34">
            <v>3.9434037098137702E-5</v>
          </cell>
          <cell r="K34">
            <v>4.14521609768731E-4</v>
          </cell>
          <cell r="L34">
            <v>9.5262456964187698E-6</v>
          </cell>
          <cell r="M34">
            <v>4.2269750921993497E-3</v>
          </cell>
          <cell r="N34">
            <v>8.8004596427287895E-5</v>
          </cell>
          <cell r="O34">
            <v>4.2156662899309303E-4</v>
          </cell>
        </row>
        <row r="35">
          <cell r="A35" t="str">
            <v>D-EH2</v>
          </cell>
          <cell r="B35" t="str">
            <v>VAR_cap</v>
          </cell>
          <cell r="C35" t="str">
            <v>-</v>
          </cell>
          <cell r="D35"/>
          <cell r="E35"/>
          <cell r="F35"/>
          <cell r="G35">
            <v>9.5270866440827304E-7</v>
          </cell>
          <cell r="H35">
            <v>3.0748541639326399E-6</v>
          </cell>
          <cell r="I35">
            <v>5.0513457604233695E-4</v>
          </cell>
          <cell r="J35">
            <v>5.4456861314047496E-4</v>
          </cell>
          <cell r="K35">
            <v>9.5909022290920597E-4</v>
          </cell>
          <cell r="L35">
            <v>9.6861646860562495E-4</v>
          </cell>
          <cell r="M35">
            <v>5.1955915608049696E-3</v>
          </cell>
          <cell r="N35">
            <v>5.2832941355427298E-3</v>
          </cell>
          <cell r="O35">
            <v>5.7042100775609398E-3</v>
          </cell>
        </row>
        <row r="36">
          <cell r="A36" t="str">
            <v>SCOM-SHWODBR</v>
          </cell>
          <cell r="B36" t="str">
            <v>VAR_fout</v>
          </cell>
          <cell r="C36" t="str">
            <v>SCOM-SHWOD</v>
          </cell>
          <cell r="D36">
            <v>6.1735489186679837</v>
          </cell>
          <cell r="E36">
            <v>6.7327673375209898</v>
          </cell>
          <cell r="F36">
            <v>6.6638984441387112</v>
          </cell>
          <cell r="G36">
            <v>5.3431887590102489</v>
          </cell>
          <cell r="H36">
            <v>3.6747496226228971</v>
          </cell>
          <cell r="I36">
            <v>2.3163624217600955</v>
          </cell>
          <cell r="J36">
            <v>1.4396978839283658</v>
          </cell>
          <cell r="K36">
            <v>0.46228240479896465</v>
          </cell>
          <cell r="L36">
            <v>0.44814656810342113</v>
          </cell>
          <cell r="M36">
            <v>0.43766859106624001</v>
          </cell>
          <cell r="N36">
            <v>0.4282104076606979</v>
          </cell>
          <cell r="O36">
            <v>0.40961067531905521</v>
          </cell>
        </row>
        <row r="37">
          <cell r="A37" t="str">
            <v>SCOM-SHWODBR</v>
          </cell>
          <cell r="B37" t="str">
            <v>VAR_fin</v>
          </cell>
          <cell r="C37" t="str">
            <v>SWOD</v>
          </cell>
          <cell r="D37">
            <v>8.5743734981499795</v>
          </cell>
          <cell r="E37">
            <v>9.3510657465569356</v>
          </cell>
          <cell r="F37">
            <v>9.2554145057482131</v>
          </cell>
          <cell r="G37">
            <v>7.4210954986253475</v>
          </cell>
          <cell r="H37">
            <v>5.1038189203095827</v>
          </cell>
          <cell r="I37">
            <v>3.2171700302223591</v>
          </cell>
          <cell r="J37">
            <v>1.9995803943449542</v>
          </cell>
          <cell r="K37">
            <v>0.64205889555411755</v>
          </cell>
          <cell r="L37">
            <v>0.62242578903252921</v>
          </cell>
          <cell r="M37">
            <v>0.60787304314755519</v>
          </cell>
          <cell r="N37">
            <v>0.59473667730652424</v>
          </cell>
          <cell r="O37">
            <v>0.56890371572090936</v>
          </cell>
        </row>
        <row r="38">
          <cell r="A38" t="str">
            <v>SCOM-SHWODBR</v>
          </cell>
          <cell r="B38" t="str">
            <v>VAR_ncap</v>
          </cell>
          <cell r="C38" t="str">
            <v>-</v>
          </cell>
          <cell r="D38">
            <v>9.2795328785153805E-6</v>
          </cell>
          <cell r="E38">
            <v>4.2027012257271103E-2</v>
          </cell>
          <cell r="F38">
            <v>1.2472648261263E-6</v>
          </cell>
          <cell r="G38">
            <v>4.8626885293431901E-6</v>
          </cell>
          <cell r="H38">
            <v>0.14231096592811701</v>
          </cell>
          <cell r="I38">
            <v>3.6797580238364297E-2</v>
          </cell>
          <cell r="J38">
            <v>8.4892049760895502E-7</v>
          </cell>
          <cell r="K38">
            <v>1.8535439867112899E-5</v>
          </cell>
          <cell r="L38">
            <v>2.9174276950744E-2</v>
          </cell>
          <cell r="M38">
            <v>4.87208415357533E-3</v>
          </cell>
          <cell r="N38">
            <v>8.5733926467414304E-3</v>
          </cell>
          <cell r="O38">
            <v>1.86902252998822E-2</v>
          </cell>
        </row>
        <row r="39">
          <cell r="A39" t="str">
            <v>SCOM-SHWODBR</v>
          </cell>
          <cell r="B39" t="str">
            <v>VAR_cap</v>
          </cell>
          <cell r="C39" t="str">
            <v>-</v>
          </cell>
          <cell r="D39">
            <v>0.47842955734999049</v>
          </cell>
          <cell r="E39">
            <v>0.52045642427623595</v>
          </cell>
          <cell r="F39">
            <v>0.52023428106743419</v>
          </cell>
          <cell r="G39">
            <v>0.52022357509874784</v>
          </cell>
          <cell r="H39">
            <v>0.28785684995581912</v>
          </cell>
          <cell r="I39">
            <v>0.17911171205869744</v>
          </cell>
          <cell r="J39">
            <v>0.11610626230782201</v>
          </cell>
          <cell r="K39">
            <v>3.681326062438682E-2</v>
          </cell>
          <cell r="L39">
            <v>3.484558931065615E-2</v>
          </cell>
          <cell r="M39">
            <v>3.4062606890183124E-2</v>
          </cell>
          <cell r="N39">
            <v>3.3371431898197648E-2</v>
          </cell>
          <cell r="O39">
            <v>3.21335928039133E-2</v>
          </cell>
        </row>
        <row r="40">
          <cell r="A40" t="str">
            <v>ITOT-SWHLTHCHP</v>
          </cell>
          <cell r="B40" t="str">
            <v>VAR_fout</v>
          </cell>
          <cell r="C40" t="str">
            <v>ITOT-SWH</v>
          </cell>
          <cell r="D40">
            <v>5.1850772885888405</v>
          </cell>
          <cell r="E40">
            <v>5.5675710318074074</v>
          </cell>
          <cell r="F40">
            <v>5.6974790109707651</v>
          </cell>
          <cell r="G40">
            <v>8.6445747790176988</v>
          </cell>
          <cell r="H40">
            <v>8.6223687385073671</v>
          </cell>
          <cell r="I40">
            <v>7.7198544573997241</v>
          </cell>
          <cell r="J40">
            <v>9.3350520900838934</v>
          </cell>
          <cell r="K40">
            <v>11.285347435821935</v>
          </cell>
          <cell r="L40">
            <v>12.166093859663588</v>
          </cell>
          <cell r="M40">
            <v>12.154678735967526</v>
          </cell>
          <cell r="N40">
            <v>12.113185326848424</v>
          </cell>
          <cell r="O40">
            <v>12.246727540230138</v>
          </cell>
        </row>
        <row r="41">
          <cell r="A41" t="str">
            <v>ITOT-SWHLTHCHP</v>
          </cell>
          <cell r="B41" t="str">
            <v>VAR_fin</v>
          </cell>
          <cell r="C41" t="str">
            <v>ITOTLTHCHPC</v>
          </cell>
          <cell r="D41">
            <v>5.1850772885888405</v>
          </cell>
          <cell r="E41">
            <v>5.5675710318074074</v>
          </cell>
          <cell r="F41">
            <v>5.6974790109707651</v>
          </cell>
          <cell r="G41">
            <v>8.6445747790176988</v>
          </cell>
          <cell r="H41">
            <v>8.6223687385073671</v>
          </cell>
          <cell r="I41">
            <v>7.7198544573997241</v>
          </cell>
          <cell r="J41">
            <v>9.3350520900838934</v>
          </cell>
          <cell r="K41">
            <v>11.285347435821935</v>
          </cell>
          <cell r="L41">
            <v>12.166093859663588</v>
          </cell>
          <cell r="M41">
            <v>12.154678735967526</v>
          </cell>
          <cell r="N41">
            <v>12.113185326848424</v>
          </cell>
          <cell r="O41">
            <v>12.246727540230138</v>
          </cell>
        </row>
        <row r="42">
          <cell r="A42" t="str">
            <v>ITOT-SWHLTHCHP</v>
          </cell>
          <cell r="B42" t="str">
            <v>VAR_fin</v>
          </cell>
          <cell r="C42" t="str">
            <v>ITOT_LTH_CHP_ON</v>
          </cell>
          <cell r="D42">
            <v>5.6086646025070923</v>
          </cell>
          <cell r="E42">
            <v>6.0095340130196915</v>
          </cell>
          <cell r="F42">
            <v>6.13010163596193</v>
          </cell>
          <cell r="G42">
            <v>9.251701289744048</v>
          </cell>
          <cell r="H42">
            <v>9.1793044420717766</v>
          </cell>
          <cell r="I42">
            <v>8.1754105716422387</v>
          </cell>
          <cell r="J42">
            <v>9.8560566488221948</v>
          </cell>
          <cell r="K42">
            <v>11.879313090338886</v>
          </cell>
          <cell r="L42">
            <v>12.806414589119568</v>
          </cell>
          <cell r="M42">
            <v>12.794398669439497</v>
          </cell>
          <cell r="N42">
            <v>12.750721396682561</v>
          </cell>
          <cell r="O42">
            <v>12.891292147610679</v>
          </cell>
        </row>
        <row r="43">
          <cell r="A43" t="str">
            <v>ITOT-SWHLTHCHP</v>
          </cell>
          <cell r="B43" t="str">
            <v>VAR_ncap</v>
          </cell>
          <cell r="C43" t="str">
            <v>-</v>
          </cell>
          <cell r="D43"/>
          <cell r="E43">
            <v>3.1061023165889299E-2</v>
          </cell>
          <cell r="F43">
            <v>5.4374254026874999E-2</v>
          </cell>
          <cell r="G43">
            <v>0.18929244107930801</v>
          </cell>
          <cell r="H43">
            <v>0.25077101863895002</v>
          </cell>
          <cell r="I43">
            <v>0.123772793582914</v>
          </cell>
          <cell r="J43">
            <v>0.21627833049318601</v>
          </cell>
          <cell r="K43">
            <v>0.35725619381898499</v>
          </cell>
          <cell r="L43">
            <v>0.203523851190932</v>
          </cell>
          <cell r="M43">
            <v>0.23482888221739601</v>
          </cell>
          <cell r="N43">
            <v>0.36292893057914</v>
          </cell>
          <cell r="O43">
            <v>0.202581607661873</v>
          </cell>
        </row>
        <row r="44">
          <cell r="A44" t="str">
            <v>ITOT-SWHLTHCHP</v>
          </cell>
          <cell r="B44" t="str">
            <v>VAR_cap</v>
          </cell>
          <cell r="C44" t="str">
            <v>-</v>
          </cell>
          <cell r="D44">
            <v>0.62661755442165901</v>
          </cell>
          <cell r="E44">
            <v>0.33079639574571734</v>
          </cell>
          <cell r="F44">
            <v>0.34555719940645335</v>
          </cell>
          <cell r="G44">
            <v>0.50905289593970293</v>
          </cell>
          <cell r="H44">
            <v>0.51448872856504102</v>
          </cell>
          <cell r="I44">
            <v>0.4421108719958019</v>
          </cell>
          <cell r="J44">
            <v>0.52612476365969385</v>
          </cell>
          <cell r="K44">
            <v>0.63194445647959985</v>
          </cell>
          <cell r="L44">
            <v>0.68539774261540587</v>
          </cell>
          <cell r="M44">
            <v>0.685576875107761</v>
          </cell>
          <cell r="N44">
            <v>0.68576972775434408</v>
          </cell>
          <cell r="O44">
            <v>0.69152682591096004</v>
          </cell>
        </row>
        <row r="45">
          <cell r="A45" t="str">
            <v>RHSA-WHSTG-NGAHP</v>
          </cell>
          <cell r="B45" t="str">
            <v>VAR_fout</v>
          </cell>
          <cell r="C45" t="str">
            <v>RHSA-WHANGAH</v>
          </cell>
          <cell r="D45"/>
          <cell r="E45"/>
          <cell r="F45">
            <v>1.954060709629716E-4</v>
          </cell>
          <cell r="G45">
            <v>2.6395061278131733E-4</v>
          </cell>
          <cell r="H45">
            <v>4.3703131110306118E-2</v>
          </cell>
          <cell r="I45">
            <v>0.11434739622435418</v>
          </cell>
          <cell r="J45">
            <v>0.14917185849480208</v>
          </cell>
          <cell r="K45">
            <v>0.25800258557744427</v>
          </cell>
          <cell r="L45">
            <v>0.2742955271661483</v>
          </cell>
          <cell r="M45">
            <v>0.32727075205937184</v>
          </cell>
          <cell r="N45">
            <v>0.51022654022088676</v>
          </cell>
          <cell r="O45">
            <v>0.36857795555269207</v>
          </cell>
        </row>
        <row r="46">
          <cell r="A46" t="str">
            <v>RHSA-WHSTG-NGAHP</v>
          </cell>
          <cell r="B46" t="str">
            <v>VAR_fin</v>
          </cell>
          <cell r="C46" t="str">
            <v>RHSA-WHANGAH</v>
          </cell>
          <cell r="D46"/>
          <cell r="E46"/>
          <cell r="F46">
            <v>1.9393177331504316E-4</v>
          </cell>
          <cell r="G46">
            <v>2.5827411955440589E-4</v>
          </cell>
          <cell r="H46">
            <v>4.3707185316286763E-2</v>
          </cell>
          <cell r="I46">
            <v>0.11435678823606031</v>
          </cell>
          <cell r="J46">
            <v>0.14918655733253783</v>
          </cell>
          <cell r="K46">
            <v>0.2580258839711484</v>
          </cell>
          <cell r="L46">
            <v>0.27431818333337621</v>
          </cell>
          <cell r="M46">
            <v>0.32729903004257727</v>
          </cell>
          <cell r="N46">
            <v>0.51025866857088509</v>
          </cell>
          <cell r="O46">
            <v>0.36862595597717362</v>
          </cell>
        </row>
        <row r="47">
          <cell r="A47" t="str">
            <v>RHSA-WHSTG-NGAHP</v>
          </cell>
          <cell r="B47" t="str">
            <v>VAR_ncap</v>
          </cell>
          <cell r="C47" t="str">
            <v>-</v>
          </cell>
          <cell r="D47">
            <v>1.1306231350597399E-5</v>
          </cell>
          <cell r="E47">
            <v>1.5024998519717099E-5</v>
          </cell>
          <cell r="F47">
            <v>4.9707534858153498E-5</v>
          </cell>
          <cell r="G47">
            <v>3.3360024173646699E-5</v>
          </cell>
          <cell r="H47">
            <v>7.9954863110944102E-3</v>
          </cell>
          <cell r="I47">
            <v>1.2893172535245599E-2</v>
          </cell>
          <cell r="J47">
            <v>7.7592409713037203E-3</v>
          </cell>
          <cell r="K47">
            <v>2.58886735413014E-2</v>
          </cell>
          <cell r="L47">
            <v>1.5144381782601499E-2</v>
          </cell>
          <cell r="M47">
            <v>1.10926790934454E-2</v>
          </cell>
          <cell r="N47">
            <v>4.5215769093740601E-2</v>
          </cell>
          <cell r="O47">
            <v>1.4940647653624E-2</v>
          </cell>
        </row>
        <row r="48">
          <cell r="A48" t="str">
            <v>RHSA-WHSTG-NGAHP</v>
          </cell>
          <cell r="B48" t="str">
            <v>VAR_cap</v>
          </cell>
          <cell r="C48" t="str">
            <v>-</v>
          </cell>
          <cell r="D48">
            <v>1.1310571190657903E-5</v>
          </cell>
          <cell r="E48">
            <v>5.7340515933960353E-7</v>
          </cell>
          <cell r="F48">
            <v>4.9765445419477014E-5</v>
          </cell>
          <cell r="G48">
            <v>5.6417338183848911E-5</v>
          </cell>
          <cell r="H48">
            <v>8.0298529288402535E-3</v>
          </cell>
          <cell r="I48">
            <v>2.0879665763912213E-2</v>
          </cell>
          <cell r="J48">
            <v>2.8579617963383656E-2</v>
          </cell>
          <cell r="K48">
            <v>4.6374651832259542E-2</v>
          </cell>
          <cell r="L48">
            <v>4.9497679374617118E-2</v>
          </cell>
          <cell r="M48">
            <v>5.1814528410363762E-2</v>
          </cell>
          <cell r="N48">
            <v>7.0854982622166426E-2</v>
          </cell>
          <cell r="O48">
            <v>7.0949030371925584E-2</v>
          </cell>
        </row>
        <row r="49">
          <cell r="A49" t="str">
            <v>D-RES_LTH</v>
          </cell>
          <cell r="B49" t="str">
            <v>VAR_fout</v>
          </cell>
          <cell r="C49" t="str">
            <v>RHNS_LTH_DH</v>
          </cell>
          <cell r="D49"/>
          <cell r="E49">
            <v>5.4457827149761377E-2</v>
          </cell>
          <cell r="F49">
            <v>7.2446099652885135E-2</v>
          </cell>
          <cell r="G49">
            <v>0.11201295496091554</v>
          </cell>
          <cell r="H49">
            <v>0.17396618034723257</v>
          </cell>
          <cell r="I49">
            <v>0.24652805238734624</v>
          </cell>
          <cell r="J49">
            <v>0.39702696298621271</v>
          </cell>
          <cell r="K49">
            <v>0.63940698667322671</v>
          </cell>
          <cell r="L49">
            <v>0.69969645462359531</v>
          </cell>
          <cell r="M49">
            <v>0.73540490321452778</v>
          </cell>
          <cell r="N49">
            <v>0.77293076369054114</v>
          </cell>
          <cell r="O49">
            <v>0.81238183491361393</v>
          </cell>
        </row>
        <row r="50">
          <cell r="A50" t="str">
            <v>D-RES_LTH</v>
          </cell>
          <cell r="B50" t="str">
            <v>VAR_fout</v>
          </cell>
          <cell r="C50" t="str">
            <v>RHEM_LTH_DH</v>
          </cell>
          <cell r="D50">
            <v>2.0637720559103818</v>
          </cell>
          <cell r="E50">
            <v>3.8269976932966365</v>
          </cell>
          <cell r="F50">
            <v>4.216063077320765</v>
          </cell>
          <cell r="G50">
            <v>3.7319380530670156</v>
          </cell>
          <cell r="H50">
            <v>3.1774500532604595</v>
          </cell>
          <cell r="I50">
            <v>3.9405694477025901</v>
          </cell>
          <cell r="J50">
            <v>3.8380006522061003</v>
          </cell>
          <cell r="K50">
            <v>3.7054540543389289</v>
          </cell>
          <cell r="L50">
            <v>3.5354475503793199</v>
          </cell>
          <cell r="M50">
            <v>3.1438928800167725</v>
          </cell>
          <cell r="N50">
            <v>3.247323416985592</v>
          </cell>
          <cell r="O50">
            <v>2.5900858812934229</v>
          </cell>
        </row>
        <row r="51">
          <cell r="A51" t="str">
            <v>D-RES_LTH</v>
          </cell>
          <cell r="B51" t="str">
            <v>VAR_fout</v>
          </cell>
          <cell r="C51" t="str">
            <v>RHES_LTH_DH</v>
          </cell>
          <cell r="D51">
            <v>1.8913157780599137</v>
          </cell>
          <cell r="E51">
            <v>3.5391902509850879</v>
          </cell>
          <cell r="F51">
            <v>3.5402780598089971</v>
          </cell>
          <cell r="G51">
            <v>2.7734556291157153</v>
          </cell>
          <cell r="H51">
            <v>3.3092411264492725</v>
          </cell>
          <cell r="I51">
            <v>3.1430903079241492</v>
          </cell>
          <cell r="J51">
            <v>2.3694739251627244</v>
          </cell>
          <cell r="K51">
            <v>2.7781315923003054</v>
          </cell>
          <cell r="L51">
            <v>2.5919910487714102</v>
          </cell>
          <cell r="M51">
            <v>2.4001054309657466</v>
          </cell>
          <cell r="N51">
            <v>2.351302154913999</v>
          </cell>
          <cell r="O51">
            <v>1.9611318434770997</v>
          </cell>
        </row>
        <row r="52">
          <cell r="A52" t="str">
            <v>D-RES_LTH</v>
          </cell>
          <cell r="B52" t="str">
            <v>VAR_fout</v>
          </cell>
          <cell r="C52" t="str">
            <v>RHSA_LTH</v>
          </cell>
          <cell r="D52">
            <v>4.3849286736176216</v>
          </cell>
          <cell r="E52">
            <v>1.842874221305453</v>
          </cell>
          <cell r="F52">
            <v>1.842873913529038</v>
          </cell>
          <cell r="G52">
            <v>1.8428724705271555</v>
          </cell>
          <cell r="H52">
            <v>1.8428723545964227</v>
          </cell>
          <cell r="I52">
            <v>1.8428734550358741</v>
          </cell>
          <cell r="J52">
            <v>1.842877931283887</v>
          </cell>
          <cell r="K52">
            <v>1.8428821963675404</v>
          </cell>
          <cell r="L52">
            <v>1.8428876237383516</v>
          </cell>
          <cell r="M52">
            <v>1.8428956286154055</v>
          </cell>
          <cell r="N52">
            <v>1.8429132107672301</v>
          </cell>
          <cell r="O52">
            <v>1.8429688195435345</v>
          </cell>
        </row>
        <row r="53">
          <cell r="A53" t="str">
            <v>D-RES_LTH</v>
          </cell>
          <cell r="B53" t="str">
            <v>VAR_fout</v>
          </cell>
          <cell r="C53" t="str">
            <v>RHNM_LTH_DH</v>
          </cell>
          <cell r="D53"/>
          <cell r="E53">
            <v>0.35008646175268521</v>
          </cell>
          <cell r="F53">
            <v>0.38254892706318117</v>
          </cell>
          <cell r="G53">
            <v>0.44347686528232338</v>
          </cell>
          <cell r="H53">
            <v>0.51411122549234523</v>
          </cell>
          <cell r="I53">
            <v>0.5959965582402782</v>
          </cell>
          <cell r="J53">
            <v>0.69092592307601153</v>
          </cell>
          <cell r="K53">
            <v>0.80136382219885793</v>
          </cell>
          <cell r="L53">
            <v>0.929006750345308</v>
          </cell>
          <cell r="M53">
            <v>1.0769864362716011</v>
          </cell>
          <cell r="N53">
            <v>1.2485291713851059</v>
          </cell>
          <cell r="O53">
            <v>1.4474077165632218</v>
          </cell>
        </row>
        <row r="54">
          <cell r="A54" t="str">
            <v>D-RES_LTH</v>
          </cell>
          <cell r="B54" t="str">
            <v>VAR_fin</v>
          </cell>
          <cell r="C54" t="str">
            <v>LTH</v>
          </cell>
          <cell r="D54">
            <v>9.2187462962374216</v>
          </cell>
          <cell r="E54">
            <v>10.626525596823125</v>
          </cell>
          <cell r="F54">
            <v>11.08885802300359</v>
          </cell>
          <cell r="G54">
            <v>9.783781263482334</v>
          </cell>
          <cell r="H54">
            <v>9.8724957496798265</v>
          </cell>
          <cell r="I54">
            <v>10.655972636403073</v>
          </cell>
          <cell r="J54">
            <v>9.9315791992926794</v>
          </cell>
          <cell r="K54">
            <v>10.57651163819615</v>
          </cell>
          <cell r="L54">
            <v>10.394365293777041</v>
          </cell>
          <cell r="M54">
            <v>9.9614999986309076</v>
          </cell>
          <cell r="N54">
            <v>10.247063641798665</v>
          </cell>
          <cell r="O54">
            <v>9.3710087524273629</v>
          </cell>
        </row>
        <row r="55">
          <cell r="A55" t="str">
            <v>D-RES_LTH</v>
          </cell>
          <cell r="B55" t="str">
            <v>VAR_ncap</v>
          </cell>
          <cell r="C55" t="str">
            <v>-</v>
          </cell>
          <cell r="D55">
            <v>0.62767289129739801</v>
          </cell>
          <cell r="E55">
            <v>3.2846166689476E-2</v>
          </cell>
          <cell r="F55">
            <v>3.6708298700107501E-3</v>
          </cell>
          <cell r="G55">
            <v>5.7363515000540899E-3</v>
          </cell>
          <cell r="H55">
            <v>1.19329647863164E-2</v>
          </cell>
          <cell r="I55">
            <v>1.26447786594867E-2</v>
          </cell>
          <cell r="J55">
            <v>1.8044946931361699E-2</v>
          </cell>
          <cell r="K55">
            <v>2.6868044516140301E-2</v>
          </cell>
          <cell r="L55">
            <v>1.42266865150712E-2</v>
          </cell>
          <cell r="M55">
            <v>1.5019826526043299E-2</v>
          </cell>
          <cell r="N55">
            <v>1.07428993209164E-2</v>
          </cell>
          <cell r="O55">
            <v>1.81660439352072E-2</v>
          </cell>
        </row>
        <row r="56">
          <cell r="A56" t="str">
            <v>D-RES_LTH</v>
          </cell>
          <cell r="B56" t="str">
            <v>VAR_cap</v>
          </cell>
          <cell r="C56" t="str">
            <v>-</v>
          </cell>
          <cell r="D56">
            <v>0.62767289129739801</v>
          </cell>
          <cell r="E56">
            <v>0.66051905798687405</v>
          </cell>
          <cell r="F56">
            <v>0.66418988785688504</v>
          </cell>
          <cell r="G56">
            <v>0.66992623935693896</v>
          </cell>
          <cell r="H56">
            <v>0.68185920414325496</v>
          </cell>
          <cell r="I56">
            <v>0.69450398280274195</v>
          </cell>
          <cell r="J56">
            <v>0.712548929734104</v>
          </cell>
          <cell r="K56">
            <v>0.739416974250244</v>
          </cell>
          <cell r="L56">
            <v>0.75364366076531497</v>
          </cell>
          <cell r="M56">
            <v>0.76866348729135803</v>
          </cell>
          <cell r="N56">
            <v>0.77940638661227502</v>
          </cell>
          <cell r="O56">
            <v>0.79757243054748195</v>
          </cell>
        </row>
        <row r="57">
          <cell r="A57" t="str">
            <v>D-RHEM_NKEV_GAS_ELC_CHP</v>
          </cell>
          <cell r="B57" t="str">
            <v>VAR_fout</v>
          </cell>
          <cell r="C57" t="str">
            <v>ELC5</v>
          </cell>
          <cell r="D57">
            <v>1.3683760201346701E-2</v>
          </cell>
          <cell r="E57">
            <v>1.1176912768930951E-2</v>
          </cell>
          <cell r="F57">
            <v>4.5729785507913935E-2</v>
          </cell>
          <cell r="G57">
            <v>0.1253303972168221</v>
          </cell>
          <cell r="H57">
            <v>0.138050714296753</v>
          </cell>
          <cell r="I57">
            <v>0.17014934296631909</v>
          </cell>
          <cell r="J57">
            <v>0.13634418050986682</v>
          </cell>
          <cell r="K57">
            <v>0.15441938454178986</v>
          </cell>
          <cell r="L57">
            <v>0.1482608212934004</v>
          </cell>
          <cell r="M57">
            <v>0.14217077854765503</v>
          </cell>
          <cell r="N57">
            <v>0.174499024430877</v>
          </cell>
          <cell r="O57">
            <v>0.27409522794906943</v>
          </cell>
        </row>
        <row r="58">
          <cell r="A58" t="str">
            <v>D-RHEM_NKEV_GAS_ELC_CHP</v>
          </cell>
          <cell r="B58" t="str">
            <v>VAR_fout</v>
          </cell>
          <cell r="C58" t="str">
            <v>RHEM_ELC</v>
          </cell>
          <cell r="D58">
            <v>1.4149927226877036E-2</v>
          </cell>
          <cell r="E58">
            <v>1.1232215071562936E-2</v>
          </cell>
          <cell r="F58">
            <v>4.5606125004103833E-2</v>
          </cell>
          <cell r="G58">
            <v>0.12433621789792532</v>
          </cell>
          <cell r="H58">
            <v>0.13460868983162386</v>
          </cell>
          <cell r="I58">
            <v>0.16800452948359637</v>
          </cell>
          <cell r="J58">
            <v>0.13359763167876929</v>
          </cell>
          <cell r="K58">
            <v>0.14972148525593437</v>
          </cell>
          <cell r="L58">
            <v>0.14451202533816984</v>
          </cell>
          <cell r="M58">
            <v>0.13808501227045616</v>
          </cell>
          <cell r="N58">
            <v>0.17216981819993704</v>
          </cell>
          <cell r="O58">
            <v>0.26677025231667273</v>
          </cell>
        </row>
        <row r="59">
          <cell r="A59" t="str">
            <v>D-RHEM_NKEV_GAS_ELC_CHP</v>
          </cell>
          <cell r="B59" t="str">
            <v>VAR_fin</v>
          </cell>
          <cell r="C59" t="str">
            <v>RHEM_NKEV_GAS_ELC_CHP</v>
          </cell>
          <cell r="D59">
            <v>2.7833687428223744E-2</v>
          </cell>
          <cell r="E59">
            <v>2.2409127840493905E-2</v>
          </cell>
          <cell r="F59">
            <v>9.133027444182909E-2</v>
          </cell>
          <cell r="G59">
            <v>0.24966661511474739</v>
          </cell>
          <cell r="H59">
            <v>0.2726594041283773</v>
          </cell>
          <cell r="I59">
            <v>0.33815387244991535</v>
          </cell>
          <cell r="J59">
            <v>0.26994181218863605</v>
          </cell>
          <cell r="K59">
            <v>0.30414086979772426</v>
          </cell>
          <cell r="L59">
            <v>0.29277284663157005</v>
          </cell>
          <cell r="M59">
            <v>0.28025579081811114</v>
          </cell>
          <cell r="N59">
            <v>0.34666884263081377</v>
          </cell>
          <cell r="O59">
            <v>0.54086548026574233</v>
          </cell>
        </row>
        <row r="60">
          <cell r="A60" t="str">
            <v>SCOM-SHDEM</v>
          </cell>
          <cell r="B60" t="str">
            <v>VAR_fout</v>
          </cell>
          <cell r="C60" t="str">
            <v>SCOM-SHD</v>
          </cell>
          <cell r="D60">
            <v>73.238417488083428</v>
          </cell>
          <cell r="E60">
            <v>78.573863084864982</v>
          </cell>
          <cell r="F60">
            <v>77.911710830801667</v>
          </cell>
          <cell r="G60">
            <v>76.652966633334032</v>
          </cell>
          <cell r="H60">
            <v>74.019788905465134</v>
          </cell>
          <cell r="I60">
            <v>71.295684010047694</v>
          </cell>
          <cell r="J60">
            <v>68.108840371014196</v>
          </cell>
          <cell r="K60">
            <v>64.95093838914552</v>
          </cell>
          <cell r="L60">
            <v>63.559689680651694</v>
          </cell>
          <cell r="M60">
            <v>62.235814108419859</v>
          </cell>
          <cell r="N60">
            <v>61.037403231624261</v>
          </cell>
          <cell r="O60">
            <v>58.650706760864985</v>
          </cell>
        </row>
        <row r="61">
          <cell r="A61" t="str">
            <v>SCOM-SHDEM</v>
          </cell>
          <cell r="B61" t="str">
            <v>VAR_fin</v>
          </cell>
          <cell r="C61" t="str">
            <v>SCOM-SHCON</v>
          </cell>
          <cell r="D61"/>
          <cell r="E61">
            <v>6.9647296197727808</v>
          </cell>
          <cell r="F61">
            <v>6.9636662472751878</v>
          </cell>
          <cell r="G61">
            <v>6.963855865998509</v>
          </cell>
          <cell r="H61">
            <v>6.963629013799312</v>
          </cell>
          <cell r="I61">
            <v>6.9637081870079447</v>
          </cell>
          <cell r="J61">
            <v>6.9638508623242572</v>
          </cell>
          <cell r="K61">
            <v>6.9635596424799351</v>
          </cell>
          <cell r="L61">
            <v>6.9620339482545237</v>
          </cell>
          <cell r="M61">
            <v>6.9622857417114004</v>
          </cell>
          <cell r="N61">
            <v>6.9620578979549608</v>
          </cell>
          <cell r="O61">
            <v>6.9627382326655498</v>
          </cell>
        </row>
        <row r="62">
          <cell r="A62" t="str">
            <v>SCOM-SHDEM</v>
          </cell>
          <cell r="B62" t="str">
            <v>VAR_fin</v>
          </cell>
          <cell r="C62" t="str">
            <v>SCOM-SHWOD</v>
          </cell>
          <cell r="D62">
            <v>6.1735489186679837</v>
          </cell>
          <cell r="E62">
            <v>6.7327673375209898</v>
          </cell>
          <cell r="F62">
            <v>6.6638984441387112</v>
          </cell>
          <cell r="G62">
            <v>5.3431887590102489</v>
          </cell>
          <cell r="H62">
            <v>3.6747496226228971</v>
          </cell>
          <cell r="I62">
            <v>2.3163624217600955</v>
          </cell>
          <cell r="J62">
            <v>1.4396978839283658</v>
          </cell>
          <cell r="K62">
            <v>0.46228240479896465</v>
          </cell>
          <cell r="L62">
            <v>0.44814656810342113</v>
          </cell>
          <cell r="M62">
            <v>0.43766859106624001</v>
          </cell>
          <cell r="N62">
            <v>0.4282104076606979</v>
          </cell>
          <cell r="O62">
            <v>0.40961067531905521</v>
          </cell>
        </row>
        <row r="63">
          <cell r="A63" t="str">
            <v>SCOM-SHDEM</v>
          </cell>
          <cell r="B63" t="str">
            <v>VAR_fin</v>
          </cell>
          <cell r="C63" t="str">
            <v>SCOM-SHH2B</v>
          </cell>
          <cell r="D63"/>
          <cell r="E63"/>
          <cell r="F63"/>
          <cell r="G63">
            <v>5.6722351448929378E-4</v>
          </cell>
          <cell r="H63">
            <v>1.3654498035103398E-3</v>
          </cell>
          <cell r="I63">
            <v>2.0001463008748228E-3</v>
          </cell>
          <cell r="J63">
            <v>1.5438396505406621E-3</v>
          </cell>
          <cell r="K63">
            <v>7.7520118735975134E-3</v>
          </cell>
          <cell r="L63">
            <v>6.4890560428250794E-3</v>
          </cell>
          <cell r="M63">
            <v>0.10490354676480908</v>
          </cell>
          <cell r="N63">
            <v>0.147041215000807</v>
          </cell>
          <cell r="O63">
            <v>0.12534401805110076</v>
          </cell>
        </row>
        <row r="64">
          <cell r="A64" t="str">
            <v>SCOM-SHDEM</v>
          </cell>
          <cell r="B64" t="str">
            <v>VAR_fin</v>
          </cell>
          <cell r="C64" t="str">
            <v>SCOM-SHLTHD</v>
          </cell>
          <cell r="D64">
            <v>5.5539112059778857</v>
          </cell>
          <cell r="E64">
            <v>6.0159405532928005</v>
          </cell>
          <cell r="F64">
            <v>6.0159409433901008</v>
          </cell>
          <cell r="G64">
            <v>6.0159398285879018</v>
          </cell>
          <cell r="H64">
            <v>6.0159401973443991</v>
          </cell>
          <cell r="I64">
            <v>6.0159421953020988</v>
          </cell>
          <cell r="J64">
            <v>6.0159676438443066</v>
          </cell>
          <cell r="K64">
            <v>8.944357202847657</v>
          </cell>
          <cell r="L64">
            <v>8.9443936277865372</v>
          </cell>
          <cell r="M64">
            <v>8.9444083086847961</v>
          </cell>
          <cell r="N64">
            <v>8.9444305023053641</v>
          </cell>
          <cell r="O64">
            <v>8.9444452530453464</v>
          </cell>
        </row>
        <row r="65">
          <cell r="A65" t="str">
            <v>SCOM-SHDEM</v>
          </cell>
          <cell r="B65" t="str">
            <v>VAR_fin</v>
          </cell>
          <cell r="C65" t="str">
            <v>SCOM-SHELCB</v>
          </cell>
          <cell r="D65">
            <v>2.3940440573252206</v>
          </cell>
          <cell r="E65">
            <v>0.36708237313388331</v>
          </cell>
          <cell r="F65">
            <v>2.2265700660055887</v>
          </cell>
          <cell r="G65">
            <v>1.9302770698554437</v>
          </cell>
          <cell r="H65">
            <v>1.6224051476713701</v>
          </cell>
          <cell r="I65">
            <v>1.332196847987084</v>
          </cell>
          <cell r="J65">
            <v>1.0513455498927218</v>
          </cell>
          <cell r="K65">
            <v>0.7975592450624478</v>
          </cell>
          <cell r="L65">
            <v>0.77723737178234831</v>
          </cell>
          <cell r="M65">
            <v>0.75882804199396015</v>
          </cell>
          <cell r="N65">
            <v>0.74408605578357156</v>
          </cell>
          <cell r="O65">
            <v>0.70868443776308065</v>
          </cell>
        </row>
        <row r="66">
          <cell r="A66" t="str">
            <v>SCOM-SHDEM</v>
          </cell>
          <cell r="B66" t="str">
            <v>VAR_fin</v>
          </cell>
          <cell r="C66" t="str">
            <v>SCOM-SHBIO</v>
          </cell>
          <cell r="D66">
            <v>1.223074421686815</v>
          </cell>
          <cell r="E66">
            <v>1.340771218646178</v>
          </cell>
          <cell r="F66">
            <v>1.4128752993535807</v>
          </cell>
          <cell r="G66">
            <v>1.4121921441689773</v>
          </cell>
          <cell r="H66">
            <v>1.5482934865292146</v>
          </cell>
          <cell r="I66">
            <v>1.6671630196004568</v>
          </cell>
          <cell r="J66">
            <v>1.7573525472003533</v>
          </cell>
          <cell r="K66">
            <v>2.0586569353883735</v>
          </cell>
          <cell r="L66">
            <v>2.2309961411266661</v>
          </cell>
          <cell r="M66">
            <v>2.2250816898724621</v>
          </cell>
          <cell r="N66">
            <v>3.0577930947890217</v>
          </cell>
          <cell r="O66">
            <v>3.2067924924654867</v>
          </cell>
        </row>
        <row r="67">
          <cell r="A67" t="str">
            <v>SCOM-SHDEM</v>
          </cell>
          <cell r="B67" t="str">
            <v>VAR_fin</v>
          </cell>
          <cell r="C67" t="str">
            <v>SCOM-SHELCH</v>
          </cell>
          <cell r="D67">
            <v>4.2612166800087108</v>
          </cell>
          <cell r="E67">
            <v>4.6176569595178769</v>
          </cell>
          <cell r="F67">
            <v>4.8251888199793269</v>
          </cell>
          <cell r="G67">
            <v>5.1932871861523751</v>
          </cell>
          <cell r="H67">
            <v>5.5882275337634804</v>
          </cell>
          <cell r="I67">
            <v>5.9834244316631411</v>
          </cell>
          <cell r="J67">
            <v>6.4560629172112032</v>
          </cell>
          <cell r="K67">
            <v>6.9607567127105971</v>
          </cell>
          <cell r="L67">
            <v>7.5093441247726949</v>
          </cell>
          <cell r="M67">
            <v>8.0228139558957601</v>
          </cell>
          <cell r="N67">
            <v>8.6687264051193633</v>
          </cell>
          <cell r="O67">
            <v>9.2913825225102755</v>
          </cell>
        </row>
        <row r="68">
          <cell r="A68" t="str">
            <v>SCOM-SHDEM</v>
          </cell>
          <cell r="B68" t="str">
            <v>VAR_fin</v>
          </cell>
          <cell r="C68" t="str">
            <v>SCOM-SHPLT</v>
          </cell>
          <cell r="D68">
            <v>1.8770752338903489</v>
          </cell>
          <cell r="E68">
            <v>2.160084299782115</v>
          </cell>
          <cell r="F68">
            <v>2.088285675289304</v>
          </cell>
          <cell r="G68">
            <v>2.2799817843479819</v>
          </cell>
          <cell r="H68">
            <v>2.4139693388573455</v>
          </cell>
          <cell r="I68">
            <v>2.7307896875825275</v>
          </cell>
          <cell r="J68">
            <v>2.6025783966563925</v>
          </cell>
          <cell r="K68">
            <v>2.658526008201834</v>
          </cell>
          <cell r="L68">
            <v>2.5947938084754827</v>
          </cell>
          <cell r="M68">
            <v>2.5341043097975824</v>
          </cell>
          <cell r="N68">
            <v>2.4791619913276275</v>
          </cell>
          <cell r="O68">
            <v>2.3697428065328054</v>
          </cell>
        </row>
        <row r="69">
          <cell r="A69" t="str">
            <v>SCOM-SHDEM</v>
          </cell>
          <cell r="B69" t="str">
            <v>VAR_fin</v>
          </cell>
          <cell r="C69" t="str">
            <v>SCOM-SHLTHC-NGA</v>
          </cell>
          <cell r="D69">
            <v>0.68566546903670444</v>
          </cell>
          <cell r="E69">
            <v>0.74270301112066661</v>
          </cell>
          <cell r="F69">
            <v>0.64608447364420385</v>
          </cell>
          <cell r="G69">
            <v>2.6485521125671969</v>
          </cell>
          <cell r="H69">
            <v>5.0399487566055328</v>
          </cell>
          <cell r="I69">
            <v>5.2785125258499042</v>
          </cell>
          <cell r="J69">
            <v>5.334372939766137</v>
          </cell>
          <cell r="K69">
            <v>3.8086423931115538</v>
          </cell>
          <cell r="L69">
            <v>3.8120270082043675</v>
          </cell>
          <cell r="M69">
            <v>3.8913735250300894</v>
          </cell>
          <cell r="N69">
            <v>4.1915192858394805</v>
          </cell>
          <cell r="O69">
            <v>4.4337477342239575</v>
          </cell>
        </row>
        <row r="70">
          <cell r="A70" t="str">
            <v>SCOM-SHDEM</v>
          </cell>
          <cell r="B70" t="str">
            <v>VAR_fin</v>
          </cell>
          <cell r="C70" t="str">
            <v>SCOM-SHSOL</v>
          </cell>
          <cell r="D70">
            <v>0.62701287805219308</v>
          </cell>
          <cell r="E70">
            <v>0.68734820864067614</v>
          </cell>
          <cell r="F70">
            <v>0.68598998205407036</v>
          </cell>
          <cell r="G70">
            <v>0.68665121434295184</v>
          </cell>
          <cell r="H70">
            <v>0.68140363614087507</v>
          </cell>
          <cell r="I70">
            <v>0.68228261031266801</v>
          </cell>
          <cell r="J70">
            <v>0.68623262208842684</v>
          </cell>
          <cell r="K70">
            <v>0.68240920921429271</v>
          </cell>
          <cell r="L70">
            <v>0.68295319329372051</v>
          </cell>
          <cell r="M70">
            <v>0.68192353503803071</v>
          </cell>
          <cell r="N70">
            <v>0.68253810370407109</v>
          </cell>
          <cell r="O70">
            <v>0.68099033345423254</v>
          </cell>
        </row>
        <row r="71">
          <cell r="A71" t="str">
            <v>SCOM-SHDEM</v>
          </cell>
          <cell r="B71" t="str">
            <v>VAR_fin</v>
          </cell>
          <cell r="C71" t="str">
            <v>SCOM-SHLTHC-WOD</v>
          </cell>
          <cell r="D71"/>
          <cell r="E71"/>
          <cell r="F71"/>
          <cell r="G71">
            <v>4.7683038398639785E-3</v>
          </cell>
          <cell r="H71">
            <v>3.632620103447992E-3</v>
          </cell>
          <cell r="I71">
            <v>2.8219927940610358E-3</v>
          </cell>
          <cell r="J71">
            <v>4.0311734237266257E-3</v>
          </cell>
          <cell r="K71">
            <v>7.8062459757593334E-3</v>
          </cell>
          <cell r="L71">
            <v>7.0937129893072588E-3</v>
          </cell>
          <cell r="M71">
            <v>9.1231088871684615E-3</v>
          </cell>
          <cell r="N71">
            <v>9.329791623556254E-3</v>
          </cell>
          <cell r="O71">
            <v>2.042057822118553E-2</v>
          </cell>
        </row>
        <row r="72">
          <cell r="A72" t="str">
            <v>SCOM-SHDEM</v>
          </cell>
          <cell r="B72" t="str">
            <v>VAR_fin</v>
          </cell>
          <cell r="C72" t="str">
            <v>SCOM-SHNGA</v>
          </cell>
          <cell r="D72">
            <v>24.189721046358255</v>
          </cell>
          <cell r="E72">
            <v>25.326924250223758</v>
          </cell>
          <cell r="F72">
            <v>24.174075713055622</v>
          </cell>
          <cell r="G72">
            <v>25.042767930965869</v>
          </cell>
          <cell r="H72">
            <v>25.33831742949198</v>
          </cell>
          <cell r="I72">
            <v>25.501574344213001</v>
          </cell>
          <cell r="J72">
            <v>23.856495397893482</v>
          </cell>
          <cell r="K72">
            <v>22.280358712463663</v>
          </cell>
          <cell r="L72">
            <v>21.752454067862999</v>
          </cell>
          <cell r="M72">
            <v>21.201627979603323</v>
          </cell>
          <cell r="N72">
            <v>20.742131783467521</v>
          </cell>
          <cell r="O72">
            <v>19.773832353221255</v>
          </cell>
        </row>
        <row r="73">
          <cell r="A73" t="str">
            <v>SCOM-SHDEM</v>
          </cell>
          <cell r="B73" t="str">
            <v>VAR_fin</v>
          </cell>
          <cell r="C73" t="str">
            <v>SCOM-SHNGAH</v>
          </cell>
          <cell r="D73"/>
          <cell r="E73"/>
          <cell r="F73">
            <v>1.4531138263951416E-3</v>
          </cell>
          <cell r="G73">
            <v>1.5668072293863471E-3</v>
          </cell>
          <cell r="H73">
            <v>7.8636620554277288E-3</v>
          </cell>
          <cell r="I73">
            <v>1.2932609843420748E-2</v>
          </cell>
          <cell r="J73">
            <v>2.7191520466782762E-2</v>
          </cell>
          <cell r="K73">
            <v>2.1569678370702561E-2</v>
          </cell>
          <cell r="L73">
            <v>1.579316196234665E-2</v>
          </cell>
          <cell r="M73">
            <v>5.5792529198027116E-2</v>
          </cell>
          <cell r="N73">
            <v>5.5033611206423791E-2</v>
          </cell>
          <cell r="O73">
            <v>0.10283334437703062</v>
          </cell>
        </row>
        <row r="74">
          <cell r="A74" t="str">
            <v>SCOM-SHDEM</v>
          </cell>
          <cell r="B74" t="str">
            <v>VAR_fin</v>
          </cell>
          <cell r="C74" t="str">
            <v>SCOM-SHLTHC-BIO</v>
          </cell>
          <cell r="D74">
            <v>1.41007676537791</v>
          </cell>
          <cell r="E74">
            <v>1.5273769025242878</v>
          </cell>
          <cell r="F74">
            <v>1.3826586934083311</v>
          </cell>
          <cell r="G74">
            <v>1.1455798069342997</v>
          </cell>
          <cell r="H74">
            <v>0.93061845476727179</v>
          </cell>
          <cell r="I74">
            <v>0.74381503742126331</v>
          </cell>
          <cell r="J74">
            <v>0.68371920784287288</v>
          </cell>
          <cell r="K74">
            <v>0.6275444126807912</v>
          </cell>
          <cell r="L74">
            <v>0.58062032126080965</v>
          </cell>
          <cell r="M74">
            <v>0.50445297146783252</v>
          </cell>
          <cell r="N74">
            <v>0.4556226277181995</v>
          </cell>
          <cell r="O74">
            <v>0.41463664377079607</v>
          </cell>
        </row>
        <row r="75">
          <cell r="A75" t="str">
            <v>SCOM-SHDEM</v>
          </cell>
          <cell r="B75" t="str">
            <v>VAR_fin</v>
          </cell>
          <cell r="C75" t="str">
            <v>SCOM-SHLTHC-HFC</v>
          </cell>
          <cell r="D75"/>
          <cell r="E75"/>
          <cell r="F75"/>
          <cell r="G75">
            <v>6.2530940619092801E-4</v>
          </cell>
          <cell r="H75">
            <v>1.4043464296614333E-3</v>
          </cell>
          <cell r="I75">
            <v>1.4269519603528236E-3</v>
          </cell>
          <cell r="J75">
            <v>1.5773240056261607E-3</v>
          </cell>
          <cell r="K75">
            <v>4.7618022514721355E-3</v>
          </cell>
          <cell r="L75">
            <v>4.431299762291712E-3</v>
          </cell>
          <cell r="M75">
            <v>1.1268185224121333E-2</v>
          </cell>
          <cell r="N75">
            <v>8.521710788476836E-3</v>
          </cell>
          <cell r="O75">
            <v>1.6109057027787321E-2</v>
          </cell>
        </row>
        <row r="76">
          <cell r="A76" t="str">
            <v>SCOM-SHDEM</v>
          </cell>
          <cell r="B76" t="str">
            <v>VAR_fin</v>
          </cell>
          <cell r="C76" t="str">
            <v>SCOM-SHLFO</v>
          </cell>
          <cell r="D76">
            <v>24.843070811701367</v>
          </cell>
          <cell r="E76">
            <v>22.090710628529269</v>
          </cell>
          <cell r="F76">
            <v>20.825239689869345</v>
          </cell>
          <cell r="G76">
            <v>17.983347720079596</v>
          </cell>
          <cell r="H76">
            <v>14.188153291374128</v>
          </cell>
          <cell r="I76">
            <v>12.060853968393968</v>
          </cell>
          <cell r="J76">
            <v>11.227212754909369</v>
          </cell>
          <cell r="K76">
            <v>8.664933696995968</v>
          </cell>
          <cell r="L76">
            <v>7.2310060981658051</v>
          </cell>
          <cell r="M76">
            <v>5.8905388359771589</v>
          </cell>
          <cell r="N76">
            <v>3.4613812323685664</v>
          </cell>
          <cell r="O76">
            <v>1.189942301282082</v>
          </cell>
        </row>
        <row r="77">
          <cell r="A77" t="str">
            <v>ITOT-SWHSTG-NGAHP</v>
          </cell>
          <cell r="B77" t="str">
            <v>VAR_fout</v>
          </cell>
          <cell r="C77" t="str">
            <v>ITOT-SWHANGAH</v>
          </cell>
          <cell r="D77">
            <v>1.2196450329941865E-3</v>
          </cell>
          <cell r="E77">
            <v>2.3863440990259822E-3</v>
          </cell>
          <cell r="F77">
            <v>2.2578645866718956E-3</v>
          </cell>
          <cell r="G77">
            <v>1.236172043222111E-3</v>
          </cell>
          <cell r="H77">
            <v>2.0101647627100297E-3</v>
          </cell>
          <cell r="I77">
            <v>2.1643793255990188E-3</v>
          </cell>
          <cell r="J77">
            <v>3.0492407124155874E-3</v>
          </cell>
          <cell r="K77">
            <v>7.6137167825264893E-3</v>
          </cell>
          <cell r="L77">
            <v>5.192256143126581E-3</v>
          </cell>
          <cell r="M77">
            <v>1.134121413843041E-2</v>
          </cell>
          <cell r="N77">
            <v>2.2848580631455288E-2</v>
          </cell>
          <cell r="O77">
            <v>3.2843755982769077E-2</v>
          </cell>
        </row>
        <row r="78">
          <cell r="A78" t="str">
            <v>ITOT-SWHSTG-NGAHP</v>
          </cell>
          <cell r="B78" t="str">
            <v>VAR_fin</v>
          </cell>
          <cell r="C78" t="str">
            <v>ITOT-SWHANGAH</v>
          </cell>
          <cell r="D78">
            <v>1.2196450329941865E-3</v>
          </cell>
          <cell r="E78">
            <v>2.3863440990259822E-3</v>
          </cell>
          <cell r="F78">
            <v>2.9119385630500881E-3</v>
          </cell>
          <cell r="G78">
            <v>1.4871425619659942E-3</v>
          </cell>
          <cell r="H78">
            <v>2.4196191838192918E-3</v>
          </cell>
          <cell r="I78">
            <v>2.5412963454783826E-3</v>
          </cell>
          <cell r="J78">
            <v>3.4016024753553862E-3</v>
          </cell>
          <cell r="K78">
            <v>8.4607563691759431E-3</v>
          </cell>
          <cell r="L78">
            <v>5.7634607204371724E-3</v>
          </cell>
          <cell r="M78">
            <v>1.2620224429306971E-2</v>
          </cell>
          <cell r="N78">
            <v>2.5405360544866348E-2</v>
          </cell>
          <cell r="O78">
            <v>3.6494023447658411E-2</v>
          </cell>
        </row>
        <row r="79">
          <cell r="A79" t="str">
            <v>ITOT-SWHSTG-NGAHP</v>
          </cell>
          <cell r="B79" t="str">
            <v>VAR_ncap</v>
          </cell>
          <cell r="C79" t="str">
            <v>-</v>
          </cell>
          <cell r="D79">
            <v>2.1956749264675302E-3</v>
          </cell>
          <cell r="E79">
            <v>5.7063526355224503E-6</v>
          </cell>
          <cell r="F79">
            <v>5.3133032058667504E-4</v>
          </cell>
          <cell r="G79">
            <v>1.2735961713734199E-3</v>
          </cell>
          <cell r="H79">
            <v>7.3478760566709101E-4</v>
          </cell>
          <cell r="I79">
            <v>1.2372243924383399E-3</v>
          </cell>
          <cell r="J79">
            <v>1.13182416366653E-3</v>
          </cell>
          <cell r="K79">
            <v>9.2580018740176799E-4</v>
          </cell>
          <cell r="L79">
            <v>1.24168059549682E-3</v>
          </cell>
          <cell r="M79">
            <v>4.2206446782046499E-2</v>
          </cell>
          <cell r="N79">
            <v>1.2581163441359E-3</v>
          </cell>
          <cell r="O79">
            <v>1.0845637677679399E-3</v>
          </cell>
        </row>
        <row r="80">
          <cell r="A80" t="str">
            <v>ITOT-SWHSTG-NGAHP</v>
          </cell>
          <cell r="B80" t="str">
            <v>VAR_cap</v>
          </cell>
          <cell r="C80" t="str">
            <v>-</v>
          </cell>
          <cell r="D80">
            <v>2.1956749264675302E-3</v>
          </cell>
          <cell r="E80">
            <v>1.8329011481869797E-5</v>
          </cell>
          <cell r="F80">
            <v>6.5152318789247002E-4</v>
          </cell>
          <cell r="G80">
            <v>2.0768546467473895E-3</v>
          </cell>
          <cell r="H80">
            <v>2.5858764603738349E-3</v>
          </cell>
          <cell r="I80">
            <v>3.0257023994535734E-3</v>
          </cell>
          <cell r="J80">
            <v>3.01932022981731E-3</v>
          </cell>
          <cell r="K80">
            <v>3.0724997267754959E-3</v>
          </cell>
          <cell r="L80">
            <v>3.0245642275837661E-3</v>
          </cell>
          <cell r="M80">
            <v>4.4006716410592769E-2</v>
          </cell>
          <cell r="N80">
            <v>4.4088128806593782E-2</v>
          </cell>
          <cell r="O80">
            <v>4.4151503550697024E-2</v>
          </cell>
        </row>
        <row r="81">
          <cell r="A81" t="str">
            <v>ITOT-STG-ELCSPEC</v>
          </cell>
          <cell r="B81" t="str">
            <v>VAR_fout</v>
          </cell>
          <cell r="C81" t="str">
            <v>ITOT-ELS</v>
          </cell>
          <cell r="D81"/>
          <cell r="E81">
            <v>1.9350744394383921E-2</v>
          </cell>
          <cell r="F81">
            <v>2.0096737998559318E-2</v>
          </cell>
          <cell r="G81">
            <v>2.0701498026406587E-2</v>
          </cell>
          <cell r="H81">
            <v>0.14888903274095966</v>
          </cell>
          <cell r="I81">
            <v>0.23088988688095985</v>
          </cell>
          <cell r="J81">
            <v>0.23392013878324328</v>
          </cell>
          <cell r="K81">
            <v>0.23589563458458845</v>
          </cell>
          <cell r="L81">
            <v>0.3598535288064944</v>
          </cell>
          <cell r="M81">
            <v>0.35218355886335179</v>
          </cell>
          <cell r="N81">
            <v>0.35246830060622558</v>
          </cell>
          <cell r="O81">
            <v>0.34718028947564072</v>
          </cell>
        </row>
        <row r="82">
          <cell r="A82" t="str">
            <v>ITOT-STG-ELCSPEC</v>
          </cell>
          <cell r="B82" t="str">
            <v>VAR_fin</v>
          </cell>
          <cell r="C82" t="str">
            <v>ITOT-ELS</v>
          </cell>
          <cell r="D82"/>
          <cell r="E82">
            <v>1.9351760946643877E-2</v>
          </cell>
          <cell r="F82">
            <v>2.0097754550819309E-2</v>
          </cell>
          <cell r="G82">
            <v>2.0703798699821009E-2</v>
          </cell>
          <cell r="H82">
            <v>0.1488905272371881</v>
          </cell>
          <cell r="I82">
            <v>0.23089196442492269</v>
          </cell>
          <cell r="J82">
            <v>0.23392118033268988</v>
          </cell>
          <cell r="K82">
            <v>0.23589970079362838</v>
          </cell>
          <cell r="L82">
            <v>0.35985559524059679</v>
          </cell>
          <cell r="M82">
            <v>0.35219155518563694</v>
          </cell>
          <cell r="N82">
            <v>0.35247380531135486</v>
          </cell>
          <cell r="O82">
            <v>0.34719148821529161</v>
          </cell>
        </row>
        <row r="83">
          <cell r="A83" t="str">
            <v>ITOT-STG-ELCSPEC</v>
          </cell>
          <cell r="B83" t="str">
            <v>VAR_ncap</v>
          </cell>
          <cell r="C83" t="str">
            <v>-</v>
          </cell>
          <cell r="D83"/>
          <cell r="E83">
            <v>7.2131247391120205E-4</v>
          </cell>
          <cell r="F83">
            <v>2.15130783391095E-5</v>
          </cell>
          <cell r="G83">
            <v>4.9639802612175296E-6</v>
          </cell>
          <cell r="H83">
            <v>4.4696528827012699E-3</v>
          </cell>
          <cell r="I83">
            <v>3.3825969923751901E-3</v>
          </cell>
          <cell r="J83">
            <v>7.0579718702751997E-4</v>
          </cell>
          <cell r="K83">
            <v>8.08398152966216E-5</v>
          </cell>
          <cell r="L83">
            <v>7.92028488296476E-3</v>
          </cell>
          <cell r="M83">
            <v>4.2936411797646901E-3</v>
          </cell>
          <cell r="N83">
            <v>7.0824694340332198E-4</v>
          </cell>
          <cell r="O83">
            <v>8.7825155591589099E-5</v>
          </cell>
        </row>
        <row r="84">
          <cell r="A84" t="str">
            <v>ITOT-STG-ELCSPEC</v>
          </cell>
          <cell r="B84" t="str">
            <v>VAR_cap</v>
          </cell>
          <cell r="C84" t="str">
            <v>-</v>
          </cell>
          <cell r="D84"/>
          <cell r="E84">
            <v>7.2131247391120205E-4</v>
          </cell>
          <cell r="F84">
            <v>7.4228848600657723E-4</v>
          </cell>
          <cell r="G84">
            <v>7.4632419592681365E-4</v>
          </cell>
          <cell r="H84">
            <v>5.2141054530760577E-3</v>
          </cell>
          <cell r="I84">
            <v>8.3174130835654576E-3</v>
          </cell>
          <cell r="J84">
            <v>8.5621823090120102E-3</v>
          </cell>
          <cell r="K84">
            <v>8.6345493333420797E-3</v>
          </cell>
          <cell r="L84">
            <v>1.2992560659079874E-2</v>
          </cell>
          <cell r="M84">
            <v>1.299470994762995E-2</v>
          </cell>
          <cell r="N84">
            <v>1.2997509141310502E-2</v>
          </cell>
          <cell r="O84">
            <v>1.3002297965169206E-2</v>
          </cell>
        </row>
        <row r="85">
          <cell r="A85" t="str">
            <v>D-RHES_LTH_CHPNGA</v>
          </cell>
          <cell r="B85" t="str">
            <v>VAR_fout</v>
          </cell>
          <cell r="C85" t="str">
            <v>RHSA_LTH</v>
          </cell>
          <cell r="D85">
            <v>2.3864611053038429E-4</v>
          </cell>
          <cell r="E85">
            <v>1.6153505281933723E-3</v>
          </cell>
          <cell r="F85">
            <v>4.1820284967012208E-4</v>
          </cell>
          <cell r="G85">
            <v>2.6183814398182193E-4</v>
          </cell>
          <cell r="H85">
            <v>5.6269879526153879E-5</v>
          </cell>
          <cell r="I85">
            <v>2.7081469886774636E-4</v>
          </cell>
          <cell r="J85">
            <v>8.192728382472726E-5</v>
          </cell>
          <cell r="K85">
            <v>1.018792582408116E-3</v>
          </cell>
          <cell r="L85">
            <v>1.6998323720172651E-4</v>
          </cell>
          <cell r="M85">
            <v>9.1854103660610659E-5</v>
          </cell>
          <cell r="N85">
            <v>3.3564284938596362E-4</v>
          </cell>
          <cell r="O85">
            <v>2.8534745371378348E-4</v>
          </cell>
        </row>
        <row r="86">
          <cell r="A86" t="str">
            <v>D-RHES_LTH_CHPNGA</v>
          </cell>
          <cell r="B86" t="str">
            <v>VAR_fout</v>
          </cell>
          <cell r="C86" t="str">
            <v>LTH</v>
          </cell>
          <cell r="D86"/>
          <cell r="E86"/>
          <cell r="F86">
            <v>6.1572196445668351E-6</v>
          </cell>
          <cell r="G86">
            <v>1.1374212852327963E-5</v>
          </cell>
          <cell r="H86">
            <v>1.8334869901199689E-5</v>
          </cell>
          <cell r="I86">
            <v>2.834501139337067E-5</v>
          </cell>
          <cell r="J86">
            <v>3.374076072232816E-5</v>
          </cell>
          <cell r="K86">
            <v>4.3792503043022782E-5</v>
          </cell>
          <cell r="L86">
            <v>4.0566687203558467E-5</v>
          </cell>
          <cell r="M86">
            <v>5.5195942992638229E-5</v>
          </cell>
          <cell r="N86">
            <v>1.5623603457577586E-4</v>
          </cell>
          <cell r="O86">
            <v>2.5442651044277109E-4</v>
          </cell>
        </row>
        <row r="87">
          <cell r="A87" t="str">
            <v>D-RHES_LTH_CHPNGA</v>
          </cell>
          <cell r="B87" t="str">
            <v>VAR_fout</v>
          </cell>
          <cell r="C87" t="str">
            <v>RHES_LTH_CHPNGA_ON</v>
          </cell>
          <cell r="D87">
            <v>3.1782472163293697E-2</v>
          </cell>
          <cell r="E87">
            <v>4.4092894952821966E-3</v>
          </cell>
          <cell r="F87">
            <v>1.9510264471379601E-2</v>
          </cell>
          <cell r="G87">
            <v>1.7932802600645285E-2</v>
          </cell>
          <cell r="H87">
            <v>1.9706161554815693E-2</v>
          </cell>
          <cell r="I87">
            <v>2.2606101406025668E-2</v>
          </cell>
          <cell r="J87">
            <v>2.1940461479255245E-2</v>
          </cell>
          <cell r="K87">
            <v>2.271437175844589E-2</v>
          </cell>
          <cell r="L87">
            <v>2.152620927806647E-2</v>
          </cell>
          <cell r="M87">
            <v>2.1498854213628397E-2</v>
          </cell>
          <cell r="N87">
            <v>0.20338319211532654</v>
          </cell>
          <cell r="O87">
            <v>0.22828374628946904</v>
          </cell>
        </row>
        <row r="88">
          <cell r="A88" t="str">
            <v>D-RHES_LTH_CHPNGA</v>
          </cell>
          <cell r="B88" t="str">
            <v>VAR_fin</v>
          </cell>
          <cell r="C88" t="str">
            <v>RHES_LTH_CHPNGA</v>
          </cell>
          <cell r="D88">
            <v>3.2021118273824076E-2</v>
          </cell>
          <cell r="E88">
            <v>6.0256606028523396E-3</v>
          </cell>
          <cell r="F88">
            <v>1.9935046359570125E-2</v>
          </cell>
          <cell r="G88">
            <v>1.8206310645791049E-2</v>
          </cell>
          <cell r="H88">
            <v>1.9781007606335912E-2</v>
          </cell>
          <cell r="I88">
            <v>2.2905408308468007E-2</v>
          </cell>
          <cell r="J88">
            <v>2.2056255543389757E-2</v>
          </cell>
          <cell r="K88">
            <v>2.377695684389702E-2</v>
          </cell>
          <cell r="L88">
            <v>2.1736778876542594E-2</v>
          </cell>
          <cell r="M88">
            <v>2.1645904260281634E-2</v>
          </cell>
          <cell r="N88">
            <v>0.2038750709992882</v>
          </cell>
          <cell r="O88">
            <v>0.22882352025362546</v>
          </cell>
        </row>
        <row r="89">
          <cell r="A89" t="str">
            <v>D-ICOA</v>
          </cell>
          <cell r="B89" t="str">
            <v>VAR_fout</v>
          </cell>
          <cell r="C89" t="str">
            <v>ICOA</v>
          </cell>
          <cell r="D89">
            <v>3.5600047542263824</v>
          </cell>
          <cell r="E89">
            <v>3.4647169635802859</v>
          </cell>
          <cell r="F89">
            <v>2.9081085473763579</v>
          </cell>
          <cell r="G89">
            <v>1.3322349892724663E-3</v>
          </cell>
          <cell r="H89">
            <v>1.5087891758493537E-3</v>
          </cell>
          <cell r="I89">
            <v>1.356355616750455E-3</v>
          </cell>
          <cell r="J89">
            <v>1.7821310339615763E-3</v>
          </cell>
          <cell r="K89">
            <v>4.4958159540471462E-3</v>
          </cell>
          <cell r="L89">
            <v>2.6600949992475072E-3</v>
          </cell>
          <cell r="M89">
            <v>4.0053278377095072E-3</v>
          </cell>
          <cell r="N89">
            <v>2.206658400013735E-3</v>
          </cell>
          <cell r="O89">
            <v>3.8655899619369095E-3</v>
          </cell>
        </row>
        <row r="90">
          <cell r="A90" t="str">
            <v>D-ICOA</v>
          </cell>
          <cell r="B90" t="str">
            <v>VAR_fout</v>
          </cell>
          <cell r="C90" t="str">
            <v>CO2</v>
          </cell>
          <cell r="D90">
            <v>330.01244071678599</v>
          </cell>
          <cell r="E90">
            <v>321.17926252389299</v>
          </cell>
          <cell r="F90">
            <v>269.58166234178799</v>
          </cell>
          <cell r="G90">
            <v>0.123498183505558</v>
          </cell>
          <cell r="H90">
            <v>0.13986475660123501</v>
          </cell>
          <cell r="I90">
            <v>0.12573416567276699</v>
          </cell>
          <cell r="J90">
            <v>0.16520354684823799</v>
          </cell>
          <cell r="K90">
            <v>0.41676213894017</v>
          </cell>
          <cell r="L90">
            <v>0.246590806430244</v>
          </cell>
          <cell r="M90">
            <v>0.37129389055567102</v>
          </cell>
          <cell r="N90">
            <v>0.20455723368127299</v>
          </cell>
          <cell r="O90">
            <v>0.358340189471552</v>
          </cell>
        </row>
        <row r="91">
          <cell r="A91" t="str">
            <v>D-ICOA</v>
          </cell>
          <cell r="B91" t="str">
            <v>VAR_fin</v>
          </cell>
          <cell r="C91" t="str">
            <v>COA</v>
          </cell>
          <cell r="D91">
            <v>3.5600047542263824</v>
          </cell>
          <cell r="E91">
            <v>3.4647169635802859</v>
          </cell>
          <cell r="F91">
            <v>2.9081085473763579</v>
          </cell>
          <cell r="G91">
            <v>1.3322349892724663E-3</v>
          </cell>
          <cell r="H91">
            <v>1.5087891758493537E-3</v>
          </cell>
          <cell r="I91">
            <v>1.356355616750455E-3</v>
          </cell>
          <cell r="J91">
            <v>1.7821310339615763E-3</v>
          </cell>
          <cell r="K91">
            <v>4.4958159540471462E-3</v>
          </cell>
          <cell r="L91">
            <v>2.6600949992475072E-3</v>
          </cell>
          <cell r="M91">
            <v>4.0053278377095072E-3</v>
          </cell>
          <cell r="N91">
            <v>2.206658400013735E-3</v>
          </cell>
          <cell r="O91">
            <v>3.8655899619369095E-3</v>
          </cell>
        </row>
        <row r="92">
          <cell r="A92" t="str">
            <v>RHEM-SHCONBR1</v>
          </cell>
          <cell r="B92" t="str">
            <v>VAR_fout</v>
          </cell>
          <cell r="C92" t="str">
            <v>RHEM-SHCON</v>
          </cell>
          <cell r="D92">
            <v>0.38997929136791765</v>
          </cell>
          <cell r="E92">
            <v>0.78046889566662947</v>
          </cell>
          <cell r="F92">
            <v>0.78036119000911219</v>
          </cell>
          <cell r="G92">
            <v>0.78035158394349602</v>
          </cell>
          <cell r="H92">
            <v>0.78036722642912015</v>
          </cell>
          <cell r="I92">
            <v>0.78037930466331318</v>
          </cell>
          <cell r="J92">
            <v>0.78034551175247158</v>
          </cell>
          <cell r="K92">
            <v>1.9941856313555077</v>
          </cell>
          <cell r="L92">
            <v>3.4050224452281923</v>
          </cell>
          <cell r="M92">
            <v>3.4047941822147703</v>
          </cell>
          <cell r="N92">
            <v>3.4049280741250176</v>
          </cell>
          <cell r="O92">
            <v>3.4047481353367641</v>
          </cell>
        </row>
        <row r="93">
          <cell r="A93" t="str">
            <v>RHEM-SHCONBR1</v>
          </cell>
          <cell r="B93" t="str">
            <v>VAR_fin</v>
          </cell>
          <cell r="C93" t="str">
            <v>CON</v>
          </cell>
          <cell r="D93">
            <v>0.38997929136791765</v>
          </cell>
          <cell r="E93">
            <v>0.78046889566662947</v>
          </cell>
          <cell r="F93">
            <v>0.78036119000911219</v>
          </cell>
          <cell r="G93">
            <v>0.78035158394349602</v>
          </cell>
          <cell r="H93">
            <v>0.78036722642912015</v>
          </cell>
          <cell r="I93">
            <v>0.78037930466331318</v>
          </cell>
          <cell r="J93">
            <v>0.78034551175247158</v>
          </cell>
          <cell r="K93">
            <v>1.9941856313555077</v>
          </cell>
          <cell r="L93">
            <v>3.4050224452281923</v>
          </cell>
          <cell r="M93">
            <v>3.4047941822147703</v>
          </cell>
          <cell r="N93">
            <v>3.4049280741250176</v>
          </cell>
          <cell r="O93">
            <v>3.4047481353367641</v>
          </cell>
        </row>
        <row r="94">
          <cell r="A94" t="str">
            <v>RHEM-SHCONBR1</v>
          </cell>
          <cell r="B94" t="str">
            <v>VAR_ncap</v>
          </cell>
          <cell r="C94" t="str">
            <v>-</v>
          </cell>
          <cell r="D94">
            <v>2.7552140161243899E-2</v>
          </cell>
          <cell r="E94">
            <v>2.7552133966075601E-2</v>
          </cell>
          <cell r="F94">
            <v>4.8105565463569298E-8</v>
          </cell>
          <cell r="G94">
            <v>6.4122896912130001E-8</v>
          </cell>
          <cell r="H94">
            <v>5.8350718733598203E-8</v>
          </cell>
          <cell r="I94">
            <v>6.6777532600137799E-8</v>
          </cell>
          <cell r="J94">
            <v>4.4864558074371699E-8</v>
          </cell>
          <cell r="K94">
            <v>0.112820873670869</v>
          </cell>
          <cell r="L94">
            <v>0.12762696764141401</v>
          </cell>
          <cell r="M94">
            <v>5.8079612519042801E-8</v>
          </cell>
          <cell r="N94">
            <v>1.17755549101527E-7</v>
          </cell>
          <cell r="O94">
            <v>3.4467778686352701E-7</v>
          </cell>
        </row>
        <row r="95">
          <cell r="A95" t="str">
            <v>RHEM-SHCONBR1</v>
          </cell>
          <cell r="B95" t="str">
            <v>VAR_cap</v>
          </cell>
          <cell r="C95" t="str">
            <v>-</v>
          </cell>
          <cell r="D95">
            <v>2.7552140161243899E-2</v>
          </cell>
          <cell r="E95">
            <v>5.5104274127319497E-2</v>
          </cell>
          <cell r="F95">
            <v>5.5104322232884903E-2</v>
          </cell>
          <cell r="G95">
            <v>5.5104386355781902E-2</v>
          </cell>
          <cell r="H95">
            <v>5.5104444706500597E-2</v>
          </cell>
          <cell r="I95">
            <v>5.5104511484033197E-2</v>
          </cell>
          <cell r="J95">
            <v>5.5104556348591301E-2</v>
          </cell>
          <cell r="K95">
            <v>0.14082680209310899</v>
          </cell>
          <cell r="L95">
            <v>0.240448072826557</v>
          </cell>
          <cell r="M95">
            <v>0.24044806938470401</v>
          </cell>
          <cell r="N95">
            <v>0.240448128670706</v>
          </cell>
          <cell r="O95">
            <v>0.24044840668978901</v>
          </cell>
        </row>
        <row r="96">
          <cell r="A96" t="str">
            <v>RHEM-SHELCBR</v>
          </cell>
          <cell r="B96" t="str">
            <v>VAR_fout</v>
          </cell>
          <cell r="C96" t="str">
            <v>RHEM-SHAELCB</v>
          </cell>
          <cell r="D96">
            <v>4.6280387143771344</v>
          </cell>
          <cell r="E96">
            <v>3.7254313446295848</v>
          </cell>
          <cell r="F96">
            <v>3.9916775111367757</v>
          </cell>
          <cell r="G96">
            <v>3.06219981171005</v>
          </cell>
          <cell r="H96">
            <v>1.9214806051280682</v>
          </cell>
          <cell r="I96">
            <v>2.115558125522977</v>
          </cell>
          <cell r="J96">
            <v>1.623908449424885</v>
          </cell>
          <cell r="K96">
            <v>1.3993471834041848</v>
          </cell>
          <cell r="L96">
            <v>0.34580756829509257</v>
          </cell>
          <cell r="M96">
            <v>0.32426424031382978</v>
          </cell>
          <cell r="N96">
            <v>0.31761661793016072</v>
          </cell>
          <cell r="O96">
            <v>0.25335977938426751</v>
          </cell>
        </row>
        <row r="97">
          <cell r="A97" t="str">
            <v>RHEM-SHELCBR</v>
          </cell>
          <cell r="B97" t="str">
            <v>VAR_fin</v>
          </cell>
          <cell r="C97" t="str">
            <v>RHEM_ELC</v>
          </cell>
          <cell r="D97">
            <v>4.8716196993443575</v>
          </cell>
          <cell r="E97">
            <v>3.9215066785574613</v>
          </cell>
          <cell r="F97">
            <v>4.201765801196605</v>
          </cell>
          <cell r="G97">
            <v>3.2233682228526828</v>
          </cell>
          <cell r="H97">
            <v>2.0226111632927029</v>
          </cell>
          <cell r="I97">
            <v>2.226903290024187</v>
          </cell>
          <cell r="J97">
            <v>1.7093773151840892</v>
          </cell>
          <cell r="K97">
            <v>1.4729970351623005</v>
          </cell>
          <cell r="L97">
            <v>0.36400796662641299</v>
          </cell>
          <cell r="M97">
            <v>0.34133077927771566</v>
          </cell>
          <cell r="N97">
            <v>0.33433328203174828</v>
          </cell>
          <cell r="O97">
            <v>0.26669450461501837</v>
          </cell>
        </row>
        <row r="98">
          <cell r="A98" t="str">
            <v>RHEM-SHELCBR</v>
          </cell>
          <cell r="B98" t="str">
            <v>VAR_ncap</v>
          </cell>
          <cell r="C98" t="str">
            <v>-</v>
          </cell>
          <cell r="D98">
            <v>1.40765156625622E-6</v>
          </cell>
          <cell r="E98">
            <v>1.89499743224065E-6</v>
          </cell>
          <cell r="F98">
            <v>2.2461041468060302E-6</v>
          </cell>
          <cell r="G98">
            <v>4.2122504508082998E-6</v>
          </cell>
          <cell r="H98">
            <v>6.9476729680852195E-2</v>
          </cell>
          <cell r="I98">
            <v>8.8059238531214098E-2</v>
          </cell>
          <cell r="J98">
            <v>1.5579902909286999E-6</v>
          </cell>
          <cell r="K98">
            <v>1.6909602370175001E-2</v>
          </cell>
          <cell r="L98">
            <v>2.4878752498458901E-5</v>
          </cell>
          <cell r="M98">
            <v>1.0011183704675099E-2</v>
          </cell>
          <cell r="N98">
            <v>1.31737546153769E-2</v>
          </cell>
          <cell r="O98">
            <v>3.9108658487070601E-5</v>
          </cell>
        </row>
        <row r="99">
          <cell r="A99" t="str">
            <v>RHEM-SHELCBR</v>
          </cell>
          <cell r="B99" t="str">
            <v>VAR_cap</v>
          </cell>
          <cell r="C99" t="str">
            <v>-</v>
          </cell>
          <cell r="D99">
            <v>0.32680255159990523</v>
          </cell>
          <cell r="E99">
            <v>0.32680321731209916</v>
          </cell>
          <cell r="F99">
            <v>0.32680488198910512</v>
          </cell>
          <cell r="G99">
            <v>0.32680705412214645</v>
          </cell>
          <cell r="H99">
            <v>0.15423194075573371</v>
          </cell>
          <cell r="I99">
            <v>0.15753872811944988</v>
          </cell>
          <cell r="J99">
            <v>0.15753407767344524</v>
          </cell>
          <cell r="K99">
            <v>0.10496804778671838</v>
          </cell>
          <cell r="L99">
            <v>3.0464052390975029E-2</v>
          </cell>
          <cell r="M99">
            <v>2.6942963488653777E-2</v>
          </cell>
          <cell r="N99">
            <v>2.6193756111086774E-2</v>
          </cell>
          <cell r="O99">
            <v>2.3221392665567334E-2</v>
          </cell>
        </row>
        <row r="100">
          <cell r="A100" t="str">
            <v>RHNM-SHLTHCHPNGA</v>
          </cell>
          <cell r="B100" t="str">
            <v>VAR_fout</v>
          </cell>
          <cell r="C100" t="str">
            <v>RHNM-SHLTHC-NGA</v>
          </cell>
          <cell r="D100"/>
          <cell r="E100">
            <v>2.573176669333817E-3</v>
          </cell>
          <cell r="F100">
            <v>2.1131437860524346E-2</v>
          </cell>
          <cell r="G100">
            <v>0.74680251041177437</v>
          </cell>
          <cell r="H100">
            <v>0.74751336188445461</v>
          </cell>
          <cell r="I100">
            <v>0.74840900142729949</v>
          </cell>
          <cell r="J100">
            <v>0.7486885526112842</v>
          </cell>
          <cell r="K100">
            <v>0.73843706781658458</v>
          </cell>
          <cell r="L100">
            <v>0.74191198991897434</v>
          </cell>
          <cell r="M100">
            <v>0.74771109507977029</v>
          </cell>
          <cell r="N100">
            <v>0.45518572991217077</v>
          </cell>
          <cell r="O100">
            <v>4.6719763664189111E-2</v>
          </cell>
        </row>
        <row r="101">
          <cell r="A101" t="str">
            <v>RHNM-SHLTHCHPNGA</v>
          </cell>
          <cell r="B101" t="str">
            <v>VAR_fin</v>
          </cell>
          <cell r="C101" t="str">
            <v>RHNMLTHCHPC</v>
          </cell>
          <cell r="D101"/>
          <cell r="E101">
            <v>2.573176669333817E-3</v>
          </cell>
          <cell r="F101">
            <v>2.1131437860524346E-2</v>
          </cell>
          <cell r="G101">
            <v>0.74680251041177437</v>
          </cell>
          <cell r="H101">
            <v>0.74751336188445461</v>
          </cell>
          <cell r="I101">
            <v>0.74840900142729949</v>
          </cell>
          <cell r="J101">
            <v>0.7486885526112842</v>
          </cell>
          <cell r="K101">
            <v>0.73843706781658458</v>
          </cell>
          <cell r="L101">
            <v>0.74191198991897434</v>
          </cell>
          <cell r="M101">
            <v>0.74771109507977029</v>
          </cell>
          <cell r="N101">
            <v>0.45518572991217077</v>
          </cell>
          <cell r="O101">
            <v>4.6719763664189111E-2</v>
          </cell>
        </row>
        <row r="102">
          <cell r="A102" t="str">
            <v>RHNM-SHLTHCHPNGA</v>
          </cell>
          <cell r="B102" t="str">
            <v>VAR_fin</v>
          </cell>
          <cell r="C102" t="str">
            <v>RHNM_LTH_CHPNGA_ON</v>
          </cell>
          <cell r="D102"/>
          <cell r="E102">
            <v>2.5991683528624443E-3</v>
          </cell>
          <cell r="F102">
            <v>2.1344886727802357E-2</v>
          </cell>
          <cell r="G102">
            <v>0.75434597011290327</v>
          </cell>
          <cell r="H102">
            <v>0.75506400190349021</v>
          </cell>
          <cell r="I102">
            <v>0.75596868831040398</v>
          </cell>
          <cell r="J102">
            <v>0.75625106324372116</v>
          </cell>
          <cell r="K102">
            <v>0.74589602809755973</v>
          </cell>
          <cell r="L102">
            <v>0.74940605042320552</v>
          </cell>
          <cell r="M102">
            <v>0.75526373240380751</v>
          </cell>
          <cell r="N102">
            <v>0.45978356556784944</v>
          </cell>
          <cell r="O102">
            <v>4.7191680468877902E-2</v>
          </cell>
        </row>
        <row r="103">
          <cell r="A103" t="str">
            <v>RHNM-SHLTHCHPNGA</v>
          </cell>
          <cell r="B103" t="str">
            <v>VAR_ncap</v>
          </cell>
          <cell r="C103" t="str">
            <v>-</v>
          </cell>
          <cell r="D103"/>
          <cell r="E103">
            <v>2.8415916392462802E-4</v>
          </cell>
          <cell r="F103">
            <v>1.83001876426267E-3</v>
          </cell>
          <cell r="G103">
            <v>5.6985226474607499E-2</v>
          </cell>
          <cell r="H103">
            <v>2.60012160819082E-2</v>
          </cell>
          <cell r="I103">
            <v>3.59274412474598E-2</v>
          </cell>
          <cell r="J103">
            <v>2.93766553393244E-2</v>
          </cell>
          <cell r="K103">
            <v>3.6727251681264297E-2</v>
          </cell>
          <cell r="L103">
            <v>3.2789805030088298E-2</v>
          </cell>
          <cell r="M103">
            <v>3.01246073694489E-2</v>
          </cell>
          <cell r="N103">
            <v>2.0190900402156601E-2</v>
          </cell>
          <cell r="O103">
            <v>2.6249101923121699E-3</v>
          </cell>
        </row>
        <row r="104">
          <cell r="A104" t="str">
            <v>RHNM-SHLTHCHPNGA</v>
          </cell>
          <cell r="B104" t="str">
            <v>VAR_cap</v>
          </cell>
          <cell r="C104" t="str">
            <v>-</v>
          </cell>
          <cell r="D104"/>
          <cell r="E104">
            <v>2.8415916392462802E-4</v>
          </cell>
          <cell r="F104">
            <v>1.9930868336602032E-3</v>
          </cell>
          <cell r="G104">
            <v>5.8214156773507518E-2</v>
          </cell>
          <cell r="H104">
            <v>5.8955866661394601E-2</v>
          </cell>
          <cell r="I104">
            <v>6.0814019762073894E-2</v>
          </cell>
          <cell r="J104">
            <v>6.0147306381848606E-2</v>
          </cell>
          <cell r="K104">
            <v>6.3594873115781686E-2</v>
          </cell>
          <cell r="L104">
            <v>6.2681767746217004E-2</v>
          </cell>
          <cell r="M104">
            <v>6.0676114739278204E-2</v>
          </cell>
          <cell r="N104">
            <v>4.2156897682255105E-2</v>
          </cell>
          <cell r="O104">
            <v>5.5601335407579958E-3</v>
          </cell>
        </row>
        <row r="105">
          <cell r="A105" t="str">
            <v>RHEM-SHCONBR2</v>
          </cell>
          <cell r="B105" t="str">
            <v>VAR_fout</v>
          </cell>
          <cell r="C105" t="str">
            <v>RHEM-SHCON</v>
          </cell>
          <cell r="D105">
            <v>0.6073149601571104</v>
          </cell>
          <cell r="E105">
            <v>1.2155280704935876</v>
          </cell>
          <cell r="F105">
            <v>1.2153973921127597</v>
          </cell>
          <cell r="G105">
            <v>1.2154030860580913</v>
          </cell>
          <cell r="H105">
            <v>1.2154135397826897</v>
          </cell>
          <cell r="I105">
            <v>1.2154300789458705</v>
          </cell>
          <cell r="J105">
            <v>1.2153897511315888</v>
          </cell>
          <cell r="K105">
            <v>0.61780246213406509</v>
          </cell>
          <cell r="L105">
            <v>6.0394904379977811E-3</v>
          </cell>
          <cell r="M105">
            <v>6.0721037962028976E-3</v>
          </cell>
          <cell r="N105">
            <v>6.0380752792894583E-3</v>
          </cell>
          <cell r="O105">
            <v>6.1378446830441698E-3</v>
          </cell>
        </row>
        <row r="106">
          <cell r="A106" t="str">
            <v>RHEM-SHCONBR2</v>
          </cell>
          <cell r="B106" t="str">
            <v>VAR_fin</v>
          </cell>
          <cell r="C106" t="str">
            <v>CON</v>
          </cell>
          <cell r="D106">
            <v>0.6073149601571104</v>
          </cell>
          <cell r="E106">
            <v>1.2155280704935876</v>
          </cell>
          <cell r="F106">
            <v>1.2153973921127597</v>
          </cell>
          <cell r="G106">
            <v>1.2154030860580913</v>
          </cell>
          <cell r="H106">
            <v>1.2154135397826897</v>
          </cell>
          <cell r="I106">
            <v>1.2154300789458705</v>
          </cell>
          <cell r="J106">
            <v>1.2153897511315888</v>
          </cell>
          <cell r="K106">
            <v>0.61780246213406509</v>
          </cell>
          <cell r="L106">
            <v>6.0394904379977811E-3</v>
          </cell>
          <cell r="M106">
            <v>6.0721037962028976E-3</v>
          </cell>
          <cell r="N106">
            <v>6.0380752792894583E-3</v>
          </cell>
          <cell r="O106">
            <v>6.1378446830441698E-3</v>
          </cell>
        </row>
        <row r="107">
          <cell r="A107" t="str">
            <v>RHEM-SHCONBR2</v>
          </cell>
          <cell r="B107" t="str">
            <v>VAR_ncap</v>
          </cell>
          <cell r="C107" t="str">
            <v>-</v>
          </cell>
          <cell r="D107">
            <v>4.2912676974935601E-2</v>
          </cell>
          <cell r="E107">
            <v>4.29126701502478E-2</v>
          </cell>
          <cell r="F107">
            <v>5.8658019497062198E-8</v>
          </cell>
          <cell r="G107">
            <v>5.5952098312060598E-8</v>
          </cell>
          <cell r="H107">
            <v>5.2222278900975703E-8</v>
          </cell>
          <cell r="I107">
            <v>5.8599614597546399E-8</v>
          </cell>
          <cell r="J107">
            <v>4.15649198044607E-8</v>
          </cell>
          <cell r="K107">
            <v>1.0902707094028899E-5</v>
          </cell>
          <cell r="L107">
            <v>4.1347335631082598E-4</v>
          </cell>
          <cell r="M107">
            <v>5.7512759811346297E-8</v>
          </cell>
          <cell r="N107">
            <v>1.2146426711955301E-7</v>
          </cell>
          <cell r="O107">
            <v>3.6365885434939398E-7</v>
          </cell>
        </row>
        <row r="108">
          <cell r="A108" t="str">
            <v>RHEM-SHCONBR2</v>
          </cell>
          <cell r="B108" t="str">
            <v>VAR_cap</v>
          </cell>
          <cell r="C108" t="str">
            <v>-</v>
          </cell>
          <cell r="D108">
            <v>4.2912676974935601E-2</v>
          </cell>
          <cell r="E108">
            <v>8.5825347125183402E-2</v>
          </cell>
          <cell r="F108">
            <v>8.5825405783202899E-2</v>
          </cell>
          <cell r="G108">
            <v>8.5825461735301201E-2</v>
          </cell>
          <cell r="H108">
            <v>8.5825513957580105E-2</v>
          </cell>
          <cell r="I108">
            <v>8.5825572557194696E-2</v>
          </cell>
          <cell r="J108">
            <v>8.5825614122114494E-2</v>
          </cell>
          <cell r="K108">
            <v>4.36301878412255E-2</v>
          </cell>
          <cell r="L108">
            <v>4.24587196444436E-4</v>
          </cell>
          <cell r="M108">
            <v>4.2458596297796901E-4</v>
          </cell>
          <cell r="N108">
            <v>4.2465528090877098E-4</v>
          </cell>
          <cell r="O108">
            <v>4.2496026420594E-4</v>
          </cell>
        </row>
        <row r="109">
          <cell r="A109" t="str">
            <v>D-RHSA_LTH</v>
          </cell>
          <cell r="B109" t="str">
            <v>VAR_fout</v>
          </cell>
          <cell r="C109" t="str">
            <v>RHSA_LTH</v>
          </cell>
          <cell r="D109">
            <v>1.8669567458225564E-3</v>
          </cell>
          <cell r="E109">
            <v>2.8966542920557836E-2</v>
          </cell>
          <cell r="F109">
            <v>3.2337780153499272E-2</v>
          </cell>
          <cell r="G109">
            <v>4.7287039234941474E-3</v>
          </cell>
          <cell r="H109">
            <v>5.296188898490934E-2</v>
          </cell>
          <cell r="I109">
            <v>0.12278463388539076</v>
          </cell>
          <cell r="J109">
            <v>5.1227912510571599E-2</v>
          </cell>
          <cell r="K109">
            <v>0.14156733899780607</v>
          </cell>
          <cell r="L109">
            <v>9.799959330120335E-2</v>
          </cell>
          <cell r="M109">
            <v>7.1131453130463332E-2</v>
          </cell>
          <cell r="N109">
            <v>0.11407206572228216</v>
          </cell>
          <cell r="O109">
            <v>3.9809021639612308E-2</v>
          </cell>
        </row>
        <row r="110">
          <cell r="A110" t="str">
            <v>D-RHSA_LTH</v>
          </cell>
          <cell r="B110" t="str">
            <v>VAR_fin</v>
          </cell>
          <cell r="C110" t="str">
            <v>RHEM_LTH_CHPWOD_ON</v>
          </cell>
          <cell r="D110">
            <v>5.1297182574302363E-5</v>
          </cell>
          <cell r="E110">
            <v>7.1184421926858619E-5</v>
          </cell>
          <cell r="F110">
            <v>1.8750201639534556E-5</v>
          </cell>
          <cell r="G110">
            <v>2.5645692758824364E-4</v>
          </cell>
          <cell r="H110">
            <v>9.6704095261431302E-4</v>
          </cell>
          <cell r="I110">
            <v>7.0319854661713744E-4</v>
          </cell>
          <cell r="J110">
            <v>1.2920230699135914E-3</v>
          </cell>
          <cell r="K110">
            <v>4.0378035628989371E-3</v>
          </cell>
          <cell r="L110">
            <v>2.967089054322697E-3</v>
          </cell>
          <cell r="M110">
            <v>2.7021912648358772E-3</v>
          </cell>
          <cell r="N110">
            <v>1.9114634669715209E-3</v>
          </cell>
          <cell r="O110">
            <v>3.536843100207342E-3</v>
          </cell>
        </row>
        <row r="111">
          <cell r="A111" t="str">
            <v>D-RHSA_LTH</v>
          </cell>
          <cell r="B111" t="str">
            <v>VAR_fin</v>
          </cell>
          <cell r="C111" t="str">
            <v>RHNM_LTH_CHPWOD_ON</v>
          </cell>
          <cell r="D111">
            <v>3.8632320595652631E-5</v>
          </cell>
          <cell r="E111">
            <v>4.7463485625916558E-5</v>
          </cell>
          <cell r="F111">
            <v>9.8343361964641288E-6</v>
          </cell>
          <cell r="G111">
            <v>2.0546443204970725E-4</v>
          </cell>
          <cell r="H111">
            <v>1.1386346942431629E-3</v>
          </cell>
          <cell r="I111">
            <v>1.3447581215873667E-4</v>
          </cell>
          <cell r="J111">
            <v>1.5757064486863811E-3</v>
          </cell>
          <cell r="K111">
            <v>1.8232336453863273E-3</v>
          </cell>
          <cell r="L111">
            <v>1.1710406537196883E-3</v>
          </cell>
          <cell r="M111">
            <v>3.0444011423830402E-3</v>
          </cell>
          <cell r="N111">
            <v>3.4252205067769733E-3</v>
          </cell>
          <cell r="O111">
            <v>4.6160339617314127E-3</v>
          </cell>
        </row>
        <row r="112">
          <cell r="A112" t="str">
            <v>D-RHSA_LTH</v>
          </cell>
          <cell r="B112" t="str">
            <v>VAR_fin</v>
          </cell>
          <cell r="C112" t="str">
            <v>RHES_LTH_CHPWOD_ON</v>
          </cell>
          <cell r="D112">
            <v>4.6967737155536481E-5</v>
          </cell>
          <cell r="E112">
            <v>4.6761936377210824E-5</v>
          </cell>
          <cell r="F112">
            <v>2.7608312630138368E-5</v>
          </cell>
          <cell r="G112">
            <v>1.5602603289787729E-4</v>
          </cell>
          <cell r="H112">
            <v>2.9749067541232213E-4</v>
          </cell>
          <cell r="I112">
            <v>2.7520691853785527E-4</v>
          </cell>
          <cell r="J112">
            <v>2.63863571941914E-4</v>
          </cell>
          <cell r="K112">
            <v>3.9066586680575266E-4</v>
          </cell>
          <cell r="L112">
            <v>3.3205441451129251E-4</v>
          </cell>
          <cell r="M112">
            <v>6.859131845193653E-4</v>
          </cell>
          <cell r="N112">
            <v>4.868887018952039E-4</v>
          </cell>
          <cell r="O112">
            <v>1.156774302505101E-3</v>
          </cell>
        </row>
        <row r="113">
          <cell r="A113" t="str">
            <v>D-RHSA_LTH</v>
          </cell>
          <cell r="B113" t="str">
            <v>VAR_fin</v>
          </cell>
          <cell r="C113" t="str">
            <v>RHNS_LTH_CHPWOD_ON</v>
          </cell>
          <cell r="D113">
            <v>3.9204893535391104E-5</v>
          </cell>
          <cell r="E113">
            <v>3.3842401249832479E-5</v>
          </cell>
          <cell r="F113">
            <v>1.9661275030949621E-5</v>
          </cell>
          <cell r="G113">
            <v>2.6989056413594662E-4</v>
          </cell>
          <cell r="H113">
            <v>3.7383558517014345E-4</v>
          </cell>
          <cell r="I113">
            <v>3.4867823534796393E-4</v>
          </cell>
          <cell r="J113">
            <v>3.951682847201125E-4</v>
          </cell>
          <cell r="K113">
            <v>2.9141228970451478E-4</v>
          </cell>
          <cell r="L113">
            <v>3.2826363852203291E-5</v>
          </cell>
          <cell r="M113">
            <v>6.3192679385205321E-4</v>
          </cell>
          <cell r="N113">
            <v>7.8469876601000642E-4</v>
          </cell>
          <cell r="O113">
            <v>1.8297702975197002E-3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RHEM_LTH_CHPNGA_ON</v>
          </cell>
          <cell r="D114">
            <v>3.4830395815120172E-4</v>
          </cell>
          <cell r="E114">
            <v>2.5135295934223152E-2</v>
          </cell>
          <cell r="F114">
            <v>2.4115765968952086E-2</v>
          </cell>
          <cell r="G114">
            <v>4.0299251566483681E-4</v>
          </cell>
          <cell r="H114">
            <v>3.3701296406800613E-2</v>
          </cell>
          <cell r="I114">
            <v>8.3522830742160908E-2</v>
          </cell>
          <cell r="J114">
            <v>7.6771217821719829E-3</v>
          </cell>
          <cell r="K114">
            <v>7.3029117682019376E-2</v>
          </cell>
          <cell r="L114">
            <v>4.409697087381044E-2</v>
          </cell>
          <cell r="M114">
            <v>1.8078979798984526E-2</v>
          </cell>
          <cell r="N114">
            <v>9.0371663493693435E-3</v>
          </cell>
          <cell r="O114">
            <v>8.8532743509622119E-3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RHNM_LTH_CHPNGA_ON</v>
          </cell>
          <cell r="D115">
            <v>4.3576073302669054E-5</v>
          </cell>
          <cell r="E115">
            <v>1.4005243215404171E-4</v>
          </cell>
          <cell r="F115">
            <v>4.5100015419322426E-3</v>
          </cell>
          <cell r="G115">
            <v>2.7406919402374321E-3</v>
          </cell>
          <cell r="H115">
            <v>1.5298701028659276E-2</v>
          </cell>
          <cell r="I115">
            <v>3.7024750606306972E-2</v>
          </cell>
          <cell r="J115">
            <v>3.9201404865023937E-2</v>
          </cell>
          <cell r="K115">
            <v>6.0604972722925469E-2</v>
          </cell>
          <cell r="L115">
            <v>4.887004327099935E-2</v>
          </cell>
          <cell r="M115">
            <v>4.380852521235664E-2</v>
          </cell>
          <cell r="N115">
            <v>9.6301928402588458E-2</v>
          </cell>
          <cell r="O115">
            <v>1.5620152022919657E-2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RHES_LTH_CHPNGA_ON</v>
          </cell>
          <cell r="D116">
            <v>1.2547127101307956E-3</v>
          </cell>
          <cell r="E116">
            <v>3.2884019228945982E-3</v>
          </cell>
          <cell r="F116">
            <v>3.1720778105086144E-3</v>
          </cell>
          <cell r="G116">
            <v>3.3435657558364922E-4</v>
          </cell>
          <cell r="H116">
            <v>5.3172610845399605E-4</v>
          </cell>
          <cell r="I116">
            <v>2.9499534748085257E-4</v>
          </cell>
          <cell r="J116">
            <v>3.267774311402505E-4</v>
          </cell>
          <cell r="K116">
            <v>9.2839299193086806E-4</v>
          </cell>
          <cell r="L116">
            <v>5.0285679229424354E-4</v>
          </cell>
          <cell r="M116">
            <v>1.3805865918496384E-3</v>
          </cell>
          <cell r="N116">
            <v>3.325598278103376E-4</v>
          </cell>
          <cell r="O116">
            <v>1.2771749426239581E-3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RHNS_LTH_CHPNGA_ON</v>
          </cell>
          <cell r="D117">
            <v>4.4261870377007401E-5</v>
          </cell>
          <cell r="E117">
            <v>2.0354038610621522E-4</v>
          </cell>
          <cell r="F117">
            <v>4.6408070660923143E-4</v>
          </cell>
          <cell r="G117">
            <v>3.6282493533645719E-4</v>
          </cell>
          <cell r="H117">
            <v>6.5316353355545254E-4</v>
          </cell>
          <cell r="I117">
            <v>4.8049767678040351E-4</v>
          </cell>
          <cell r="J117">
            <v>4.9584705697346728E-4</v>
          </cell>
          <cell r="K117">
            <v>4.6174023613490989E-4</v>
          </cell>
          <cell r="L117">
            <v>2.6711877693449998E-5</v>
          </cell>
          <cell r="M117">
            <v>7.9892914168219504E-4</v>
          </cell>
          <cell r="N117">
            <v>1.7921397008602775E-3</v>
          </cell>
          <cell r="O117">
            <v>2.9189986611429628E-3</v>
          </cell>
        </row>
        <row r="118">
          <cell r="A118" t="str">
            <v>RHEM-SHLTHCHPWOD</v>
          </cell>
          <cell r="B118" t="str">
            <v>VAR_fout</v>
          </cell>
          <cell r="C118" t="str">
            <v>RHEM-SHLTHC-WOD</v>
          </cell>
          <cell r="D118"/>
          <cell r="E118"/>
          <cell r="F118"/>
          <cell r="G118">
            <v>3.3914526709695062E-3</v>
          </cell>
          <cell r="H118">
            <v>4.6674014666636936E-3</v>
          </cell>
          <cell r="I118">
            <v>3.8996128847010587E-3</v>
          </cell>
          <cell r="J118">
            <v>3.9638544512826251E-3</v>
          </cell>
          <cell r="K118">
            <v>1.0699637284168652E-2</v>
          </cell>
          <cell r="L118">
            <v>1.0806369147347276E-2</v>
          </cell>
          <cell r="M118">
            <v>8.4589666653434956E-3</v>
          </cell>
          <cell r="N118">
            <v>9.3970758702404799E-3</v>
          </cell>
          <cell r="O118">
            <v>2.0551080603619595E-2</v>
          </cell>
        </row>
        <row r="119">
          <cell r="A119" t="str">
            <v>RHEM-SHLTHCHPWOD</v>
          </cell>
          <cell r="B119" t="str">
            <v>VAR_fin</v>
          </cell>
          <cell r="C119" t="str">
            <v>RHEM_LTH_CHPWOD_ON</v>
          </cell>
          <cell r="D119"/>
          <cell r="E119"/>
          <cell r="F119"/>
          <cell r="G119">
            <v>3.4257097686560666E-3</v>
          </cell>
          <cell r="H119">
            <v>4.7145469360239346E-3</v>
          </cell>
          <cell r="I119">
            <v>3.9390029138394551E-3</v>
          </cell>
          <cell r="J119">
            <v>4.0038933851339643E-3</v>
          </cell>
          <cell r="K119">
            <v>1.080771442845318E-2</v>
          </cell>
          <cell r="L119">
            <v>1.0915524391259875E-2</v>
          </cell>
          <cell r="M119">
            <v>8.5444107730742406E-3</v>
          </cell>
          <cell r="N119">
            <v>9.4919958285257389E-3</v>
          </cell>
          <cell r="O119">
            <v>2.0758667276383442E-2</v>
          </cell>
        </row>
        <row r="120">
          <cell r="A120" t="str">
            <v>RHEM-SHLTHCHPWOD</v>
          </cell>
          <cell r="B120" t="str">
            <v>VAR_fin</v>
          </cell>
          <cell r="C120" t="str">
            <v>RHEMLTHCHPC</v>
          </cell>
          <cell r="D120"/>
          <cell r="E120"/>
          <cell r="F120"/>
          <cell r="G120">
            <v>3.3914526709695062E-3</v>
          </cell>
          <cell r="H120">
            <v>4.6674014666636936E-3</v>
          </cell>
          <cell r="I120">
            <v>3.8996128847010587E-3</v>
          </cell>
          <cell r="J120">
            <v>3.9638544512826251E-3</v>
          </cell>
          <cell r="K120">
            <v>1.0699637284168652E-2</v>
          </cell>
          <cell r="L120">
            <v>1.0806369147347276E-2</v>
          </cell>
          <cell r="M120">
            <v>8.4589666653434956E-3</v>
          </cell>
          <cell r="N120">
            <v>9.3970758702404799E-3</v>
          </cell>
          <cell r="O120">
            <v>2.0551080603619595E-2</v>
          </cell>
        </row>
        <row r="121">
          <cell r="A121" t="str">
            <v>RHEM-SHLTHCHPWOD</v>
          </cell>
          <cell r="B121" t="str">
            <v>VAR_ncap</v>
          </cell>
          <cell r="C121" t="str">
            <v>-</v>
          </cell>
          <cell r="D121"/>
          <cell r="E121"/>
          <cell r="F121"/>
          <cell r="G121">
            <v>3.2728745298758299E-4</v>
          </cell>
          <cell r="H121">
            <v>3.6559847185359398E-4</v>
          </cell>
          <cell r="I121">
            <v>3.1960779598598401E-4</v>
          </cell>
          <cell r="J121">
            <v>3.0350380926396801E-4</v>
          </cell>
          <cell r="K121">
            <v>1.00011029570698E-3</v>
          </cell>
          <cell r="L121">
            <v>7.9328510664393101E-4</v>
          </cell>
          <cell r="M121">
            <v>6.1320595161286199E-4</v>
          </cell>
          <cell r="N121">
            <v>6.8258016256912495E-4</v>
          </cell>
          <cell r="O121">
            <v>1.6523684899931799E-3</v>
          </cell>
        </row>
        <row r="122">
          <cell r="A122" t="str">
            <v>RHEM-SHLTHCHPWOD</v>
          </cell>
          <cell r="B122" t="str">
            <v>VAR_cap</v>
          </cell>
          <cell r="C122" t="str">
            <v>-</v>
          </cell>
          <cell r="D122"/>
          <cell r="E122"/>
          <cell r="F122"/>
          <cell r="G122">
            <v>3.2728745298758299E-4</v>
          </cell>
          <cell r="H122">
            <v>4.7200805803464902E-4</v>
          </cell>
          <cell r="I122">
            <v>4.2633062681868901E-4</v>
          </cell>
          <cell r="J122">
            <v>4.516479702402601E-4</v>
          </cell>
          <cell r="K122">
            <v>1.2093547729807928E-3</v>
          </cell>
          <cell r="L122">
            <v>1.161660919135742E-3</v>
          </cell>
          <cell r="M122">
            <v>9.6328803200992018E-4</v>
          </cell>
          <cell r="N122">
            <v>1.00698651146541E-3</v>
          </cell>
          <cell r="O122">
            <v>2.0717380623123949E-3</v>
          </cell>
        </row>
        <row r="123">
          <cell r="A123" t="str">
            <v>D-RHEM_LTH_CHPWOD</v>
          </cell>
          <cell r="B123" t="str">
            <v>VAR_fout</v>
          </cell>
          <cell r="C123" t="str">
            <v>RHEM_LTH_CHPWOD_ON</v>
          </cell>
          <cell r="D123">
            <v>5.1297182574302363E-5</v>
          </cell>
          <cell r="E123">
            <v>7.1184421926858619E-5</v>
          </cell>
          <cell r="F123">
            <v>1.8750201639534556E-5</v>
          </cell>
          <cell r="G123">
            <v>3.6821666962443115E-3</v>
          </cell>
          <cell r="H123">
            <v>5.6815878886382508E-3</v>
          </cell>
          <cell r="I123">
            <v>4.6422014604565881E-3</v>
          </cell>
          <cell r="J123">
            <v>5.2959164550475529E-3</v>
          </cell>
          <cell r="K123">
            <v>1.4845517991352117E-2</v>
          </cell>
          <cell r="L123">
            <v>1.3882613445582576E-2</v>
          </cell>
          <cell r="M123">
            <v>1.1246602037910124E-2</v>
          </cell>
          <cell r="N123">
            <v>1.1403459295497258E-2</v>
          </cell>
          <cell r="O123">
            <v>2.4295510376590775E-2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RHSA_LTH</v>
          </cell>
          <cell r="D124">
            <v>2.5080953848073911E-5</v>
          </cell>
          <cell r="E124">
            <v>8.4370716709844827E-5</v>
          </cell>
          <cell r="F124">
            <v>5.2788436183110718E-5</v>
          </cell>
          <cell r="G124">
            <v>3.6360190230840509E-4</v>
          </cell>
          <cell r="H124">
            <v>9.661463370072012E-5</v>
          </cell>
          <cell r="I124">
            <v>6.6957595103404551E-4</v>
          </cell>
          <cell r="J124">
            <v>1.4143355136509239E-4</v>
          </cell>
          <cell r="K124">
            <v>2.8003112794741203E-4</v>
          </cell>
          <cell r="L124">
            <v>1.1037602944429096E-3</v>
          </cell>
          <cell r="M124">
            <v>2.647682194506197E-4</v>
          </cell>
          <cell r="N124">
            <v>1.0021022937229452E-3</v>
          </cell>
          <cell r="O124">
            <v>6.1055869328305182E-4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LTH</v>
          </cell>
          <cell r="D125"/>
          <cell r="E125">
            <v>2.3262432698261697E-6</v>
          </cell>
          <cell r="F125">
            <v>4.6093404096382643E-6</v>
          </cell>
          <cell r="G125">
            <v>1.4423096789658796E-6</v>
          </cell>
          <cell r="H125">
            <v>5.4537434740544972E-6</v>
          </cell>
          <cell r="I125">
            <v>7.5134831309661738E-6</v>
          </cell>
          <cell r="J125">
            <v>9.4767614732867833E-6</v>
          </cell>
          <cell r="K125">
            <v>2.9210221633428081E-5</v>
          </cell>
          <cell r="L125">
            <v>3.1550820124203027E-5</v>
          </cell>
          <cell r="M125">
            <v>3.009678664382945E-5</v>
          </cell>
          <cell r="N125">
            <v>3.5571047691422272E-5</v>
          </cell>
          <cell r="O125">
            <v>7.8886431198497688E-5</v>
          </cell>
        </row>
        <row r="126">
          <cell r="A126" t="str">
            <v>D-RHEM_LTH_CHPWOD</v>
          </cell>
          <cell r="B126" t="str">
            <v>VAR_fin</v>
          </cell>
          <cell r="C126" t="str">
            <v>RHEM_LTH_CHPWOD</v>
          </cell>
          <cell r="D126">
            <v>7.6378136422376264E-5</v>
          </cell>
          <cell r="E126">
            <v>1.5788138190652972E-4</v>
          </cell>
          <cell r="F126">
            <v>7.6147978232283576E-5</v>
          </cell>
          <cell r="G126">
            <v>4.0485719347739379E-3</v>
          </cell>
          <cell r="H126">
            <v>5.7842747300560085E-3</v>
          </cell>
          <cell r="I126">
            <v>5.3193202687472638E-3</v>
          </cell>
          <cell r="J126">
            <v>5.446826767885932E-3</v>
          </cell>
          <cell r="K126">
            <v>1.5154759340932959E-2</v>
          </cell>
          <cell r="L126">
            <v>1.5017924560149689E-2</v>
          </cell>
          <cell r="M126">
            <v>1.1541467044004579E-2</v>
          </cell>
          <cell r="N126">
            <v>1.2441132636911616E-2</v>
          </cell>
          <cell r="O126">
            <v>2.4984955501072346E-2</v>
          </cell>
        </row>
        <row r="127">
          <cell r="A127" t="str">
            <v>RHES-SHLTHDH</v>
          </cell>
          <cell r="B127" t="str">
            <v>VAR_fout</v>
          </cell>
          <cell r="C127" t="str">
            <v>RHES-SHLTHD</v>
          </cell>
          <cell r="D127">
            <v>1.8724026202793145</v>
          </cell>
          <cell r="E127">
            <v>3.5037983484752342</v>
          </cell>
          <cell r="F127">
            <v>3.5048752792109079</v>
          </cell>
          <cell r="G127">
            <v>2.7457210728245607</v>
          </cell>
          <cell r="H127">
            <v>3.2761487151847843</v>
          </cell>
          <cell r="I127">
            <v>3.1116594048449087</v>
          </cell>
          <cell r="J127">
            <v>2.3457791859110984</v>
          </cell>
          <cell r="K127">
            <v>2.750350276377298</v>
          </cell>
          <cell r="L127">
            <v>2.5660711382836952</v>
          </cell>
          <cell r="M127">
            <v>2.376104376656091</v>
          </cell>
          <cell r="N127">
            <v>2.3277891333648597</v>
          </cell>
          <cell r="O127">
            <v>1.9415205250423277</v>
          </cell>
        </row>
        <row r="128">
          <cell r="A128" t="str">
            <v>RHES-SHLTHDH</v>
          </cell>
          <cell r="B128" t="str">
            <v>VAR_fin</v>
          </cell>
          <cell r="C128" t="str">
            <v>RHESLTHDHC</v>
          </cell>
          <cell r="D128">
            <v>1.8724026202793145</v>
          </cell>
          <cell r="E128">
            <v>3.5037983484752342</v>
          </cell>
          <cell r="F128">
            <v>3.5048752792109079</v>
          </cell>
          <cell r="G128">
            <v>2.7457210728245607</v>
          </cell>
          <cell r="H128">
            <v>3.2761487151847843</v>
          </cell>
          <cell r="I128">
            <v>3.1116594048449087</v>
          </cell>
          <cell r="J128">
            <v>2.3457791859110984</v>
          </cell>
          <cell r="K128">
            <v>2.750350276377298</v>
          </cell>
          <cell r="L128">
            <v>2.5660711382836952</v>
          </cell>
          <cell r="M128">
            <v>2.376104376656091</v>
          </cell>
          <cell r="N128">
            <v>2.3277891333648597</v>
          </cell>
          <cell r="O128">
            <v>1.9415205250423277</v>
          </cell>
        </row>
        <row r="129">
          <cell r="A129" t="str">
            <v>RHES-SHLTHDH</v>
          </cell>
          <cell r="B129" t="str">
            <v>VAR_fin</v>
          </cell>
          <cell r="C129" t="str">
            <v>RHES_LTH_DH</v>
          </cell>
          <cell r="D129">
            <v>1.8913157780599137</v>
          </cell>
          <cell r="E129">
            <v>3.5391902509850879</v>
          </cell>
          <cell r="F129">
            <v>3.5402780598089971</v>
          </cell>
          <cell r="G129">
            <v>2.7734556291157153</v>
          </cell>
          <cell r="H129">
            <v>3.3092411264492725</v>
          </cell>
          <cell r="I129">
            <v>3.1430903079241492</v>
          </cell>
          <cell r="J129">
            <v>2.3694739251627244</v>
          </cell>
          <cell r="K129">
            <v>2.7781315923003054</v>
          </cell>
          <cell r="L129">
            <v>2.5919910487714102</v>
          </cell>
          <cell r="M129">
            <v>2.4001054309657466</v>
          </cell>
          <cell r="N129">
            <v>2.351302154913999</v>
          </cell>
          <cell r="O129">
            <v>1.9611318434770997</v>
          </cell>
          <cell r="P129"/>
          <cell r="Q129"/>
          <cell r="R129"/>
        </row>
        <row r="130">
          <cell r="A130" t="str">
            <v>RHES-SHLTHDH</v>
          </cell>
          <cell r="B130" t="str">
            <v>VAR_ncap</v>
          </cell>
          <cell r="C130" t="str">
            <v>-</v>
          </cell>
          <cell r="D130"/>
          <cell r="E130">
            <v>4.6101628020846499E-8</v>
          </cell>
          <cell r="F130">
            <v>3.0573541929482501E-8</v>
          </cell>
          <cell r="G130">
            <v>3.0361459914746502E-8</v>
          </cell>
          <cell r="H130">
            <v>4.7042405977607197E-8</v>
          </cell>
          <cell r="I130">
            <v>5.47031998142899E-8</v>
          </cell>
          <cell r="J130">
            <v>6.1541934113989599E-8</v>
          </cell>
          <cell r="K130">
            <v>7.4537126833168694E-8</v>
          </cell>
          <cell r="L130">
            <v>7.8928810734850505E-8</v>
          </cell>
          <cell r="M130">
            <v>1.2138244277157701E-7</v>
          </cell>
          <cell r="N130">
            <v>1.59277536373316E-7</v>
          </cell>
          <cell r="O130">
            <v>4.8837920622076602E-7</v>
          </cell>
        </row>
        <row r="131">
          <cell r="A131" t="str">
            <v>RHES-SHLTHDH</v>
          </cell>
          <cell r="B131" t="str">
            <v>VAR_cap</v>
          </cell>
          <cell r="C131" t="str">
            <v>-</v>
          </cell>
          <cell r="D131">
            <v>0.31204626794151202</v>
          </cell>
          <cell r="E131">
            <v>0.31204631404314004</v>
          </cell>
          <cell r="F131">
            <v>0.31204634461668196</v>
          </cell>
          <cell r="G131">
            <v>0.31204637497814192</v>
          </cell>
          <cell r="H131">
            <v>0.31204642202054789</v>
          </cell>
          <cell r="I131">
            <v>0.31204647672374769</v>
          </cell>
          <cell r="J131">
            <v>0.31204653826568179</v>
          </cell>
          <cell r="K131">
            <v>0.31204661280280865</v>
          </cell>
          <cell r="L131">
            <v>0.31204669173161936</v>
          </cell>
          <cell r="M131">
            <v>0.31204681311406213</v>
          </cell>
          <cell r="N131">
            <v>0.31204697239159851</v>
          </cell>
          <cell r="O131">
            <v>0.31204746077080475</v>
          </cell>
        </row>
        <row r="132">
          <cell r="A132" t="str">
            <v>RHEM-SHCONBR3</v>
          </cell>
          <cell r="B132" t="str">
            <v>VAR_fout</v>
          </cell>
          <cell r="C132" t="str">
            <v>RHEM-SHCON</v>
          </cell>
          <cell r="D132">
            <v>0.46901162064103452</v>
          </cell>
          <cell r="E132">
            <v>0.95770873828140357</v>
          </cell>
          <cell r="F132">
            <v>0.95759005791021423</v>
          </cell>
          <cell r="G132">
            <v>0.95758693692305552</v>
          </cell>
          <cell r="H132">
            <v>0.95759983381329683</v>
          </cell>
          <cell r="I132">
            <v>0.9576135297760775</v>
          </cell>
          <cell r="J132">
            <v>0.95757662391472431</v>
          </cell>
          <cell r="K132">
            <v>0.48980735839821427</v>
          </cell>
          <cell r="L132">
            <v>4.0630013527920956E-4</v>
          </cell>
          <cell r="M132">
            <v>4.4101671030733744E-4</v>
          </cell>
          <cell r="N132">
            <v>4.0785245730008495E-4</v>
          </cell>
          <cell r="O132">
            <v>5.1988904323321751E-4</v>
          </cell>
        </row>
        <row r="133">
          <cell r="A133" t="str">
            <v>RHEM-SHCONBR3</v>
          </cell>
          <cell r="B133" t="str">
            <v>VAR_fin</v>
          </cell>
          <cell r="C133" t="str">
            <v>CON</v>
          </cell>
          <cell r="D133">
            <v>0.46901162064103452</v>
          </cell>
          <cell r="E133">
            <v>0.95770873828140357</v>
          </cell>
          <cell r="F133">
            <v>0.95759005791021423</v>
          </cell>
          <cell r="G133">
            <v>0.95758693692305552</v>
          </cell>
          <cell r="H133">
            <v>0.95759983381329683</v>
          </cell>
          <cell r="I133">
            <v>0.9576135297760775</v>
          </cell>
          <cell r="J133">
            <v>0.95757662391472431</v>
          </cell>
          <cell r="K133">
            <v>0.48980735839821427</v>
          </cell>
          <cell r="L133">
            <v>4.0630013527920956E-4</v>
          </cell>
          <cell r="M133">
            <v>4.4101671030733744E-4</v>
          </cell>
          <cell r="N133">
            <v>4.0785245730008495E-4</v>
          </cell>
          <cell r="O133">
            <v>5.1988904323321751E-4</v>
          </cell>
        </row>
        <row r="134">
          <cell r="A134" t="str">
            <v>RHEM-SHCONBR3</v>
          </cell>
          <cell r="B134" t="str">
            <v>VAR_ncap</v>
          </cell>
          <cell r="C134" t="str">
            <v>-</v>
          </cell>
          <cell r="D134">
            <v>3.31378070594869E-2</v>
          </cell>
          <cell r="E134">
            <v>3.4482001637650299E-2</v>
          </cell>
          <cell r="F134">
            <v>1.9844889414218799E-8</v>
          </cell>
          <cell r="G134">
            <v>2.5842888589706001E-8</v>
          </cell>
          <cell r="H134">
            <v>2.79335937628462E-8</v>
          </cell>
          <cell r="I134">
            <v>3.26399692783753E-8</v>
          </cell>
          <cell r="J134">
            <v>2.92673264095603E-8</v>
          </cell>
          <cell r="K134">
            <v>4.8441721399183603E-7</v>
          </cell>
          <cell r="L134">
            <v>2.6072203150024499E-5</v>
          </cell>
          <cell r="M134">
            <v>6.4991889666813994E-8</v>
          </cell>
          <cell r="N134">
            <v>1.7018077737715801E-7</v>
          </cell>
          <cell r="O134">
            <v>6.4073615624194695E-7</v>
          </cell>
        </row>
        <row r="135">
          <cell r="A135" t="str">
            <v>RHEM-SHCONBR3</v>
          </cell>
          <cell r="B135" t="str">
            <v>VAR_cap</v>
          </cell>
          <cell r="C135" t="str">
            <v>-</v>
          </cell>
          <cell r="D135">
            <v>3.31378070594869E-2</v>
          </cell>
          <cell r="E135">
            <v>6.7619808697137199E-2</v>
          </cell>
          <cell r="F135">
            <v>6.7619828542026597E-2</v>
          </cell>
          <cell r="G135">
            <v>6.7619854384915204E-2</v>
          </cell>
          <cell r="H135">
            <v>6.7619882318508906E-2</v>
          </cell>
          <cell r="I135">
            <v>6.7619914958478203E-2</v>
          </cell>
          <cell r="J135">
            <v>6.7619944225804599E-2</v>
          </cell>
          <cell r="K135">
            <v>3.4591024670993398E-2</v>
          </cell>
          <cell r="L135">
            <v>2.6671394535673099E-5</v>
          </cell>
          <cell r="M135">
            <v>2.6711453143133899E-5</v>
          </cell>
          <cell r="N135">
            <v>2.6853538192395701E-5</v>
          </cell>
          <cell r="O135">
            <v>2.7461796513711799E-5</v>
          </cell>
        </row>
        <row r="136">
          <cell r="A136" t="str">
            <v>D-RHSA_ELC</v>
          </cell>
          <cell r="B136" t="str">
            <v>VAR_fout</v>
          </cell>
          <cell r="C136" t="str">
            <v>RHSA_ELC</v>
          </cell>
          <cell r="D136">
            <v>56.75624123611945</v>
          </cell>
          <cell r="E136">
            <v>55.022683585769201</v>
          </cell>
          <cell r="F136">
            <v>55.308183939750322</v>
          </cell>
          <cell r="G136">
            <v>57.652471238126999</v>
          </cell>
          <cell r="H136">
            <v>65.621489211181228</v>
          </cell>
          <cell r="I136">
            <v>67.708936102731386</v>
          </cell>
          <cell r="J136">
            <v>69.713736368884312</v>
          </cell>
          <cell r="K136">
            <v>72.313571608966171</v>
          </cell>
          <cell r="L136">
            <v>76.243195991903519</v>
          </cell>
          <cell r="M136">
            <v>81.263040691262404</v>
          </cell>
          <cell r="N136">
            <v>84.288473081919605</v>
          </cell>
          <cell r="O136">
            <v>91.781813919678214</v>
          </cell>
        </row>
        <row r="137">
          <cell r="A137" t="str">
            <v>D-RHSA_ELC</v>
          </cell>
          <cell r="B137" t="str">
            <v>VAR_fin</v>
          </cell>
          <cell r="C137" t="str">
            <v>RHNS_ELC</v>
          </cell>
          <cell r="D137">
            <v>11.806435308760401</v>
          </cell>
          <cell r="E137">
            <v>15.141942037886128</v>
          </cell>
          <cell r="F137">
            <v>14.54381140141367</v>
          </cell>
          <cell r="G137">
            <v>14.419856266766814</v>
          </cell>
          <cell r="H137">
            <v>16.371677331093434</v>
          </cell>
          <cell r="I137">
            <v>16.575674570548177</v>
          </cell>
          <cell r="J137">
            <v>16.999692449459999</v>
          </cell>
          <cell r="K137">
            <v>17.787857167118066</v>
          </cell>
          <cell r="L137">
            <v>18.207277697533751</v>
          </cell>
          <cell r="M137">
            <v>19.889058767454937</v>
          </cell>
          <cell r="N137">
            <v>19.679622681715525</v>
          </cell>
          <cell r="O137">
            <v>21.192145858507981</v>
          </cell>
        </row>
        <row r="138">
          <cell r="A138" t="str">
            <v>D-RHSA_ELC</v>
          </cell>
          <cell r="B138" t="str">
            <v>VAR_fin</v>
          </cell>
          <cell r="C138" t="str">
            <v>RHES_ELC</v>
          </cell>
          <cell r="D138">
            <v>16.394030119788539</v>
          </cell>
          <cell r="E138">
            <v>13.27285665157209</v>
          </cell>
          <cell r="F138">
            <v>13.201113184430767</v>
          </cell>
          <cell r="G138">
            <v>14.386679036825361</v>
          </cell>
          <cell r="H138">
            <v>16.244297935193103</v>
          </cell>
          <cell r="I138">
            <v>17.440003435478502</v>
          </cell>
          <cell r="J138">
            <v>17.908181309884242</v>
          </cell>
          <cell r="K138">
            <v>18.755324830323005</v>
          </cell>
          <cell r="L138">
            <v>20.058009803298724</v>
          </cell>
          <cell r="M138">
            <v>21.224362132401751</v>
          </cell>
          <cell r="N138">
            <v>23.073332267677021</v>
          </cell>
          <cell r="O138">
            <v>25.329420863383728</v>
          </cell>
        </row>
        <row r="139">
          <cell r="A139" t="str">
            <v>D-RHSA_ELC</v>
          </cell>
          <cell r="B139" t="str">
            <v>VAR_fin</v>
          </cell>
          <cell r="C139" t="str">
            <v>RHNM_ELC</v>
          </cell>
          <cell r="D139">
            <v>12.830388809336895</v>
          </cell>
          <cell r="E139">
            <v>13.751792070710707</v>
          </cell>
          <cell r="F139">
            <v>14.995665071369396</v>
          </cell>
          <cell r="G139">
            <v>15.505453682614981</v>
          </cell>
          <cell r="H139">
            <v>17.658530630299701</v>
          </cell>
          <cell r="I139">
            <v>18.080447949533706</v>
          </cell>
          <cell r="J139">
            <v>18.502846646164301</v>
          </cell>
          <cell r="K139">
            <v>18.93279302624877</v>
          </cell>
          <cell r="L139">
            <v>19.85239694625232</v>
          </cell>
          <cell r="M139">
            <v>20.915916377051829</v>
          </cell>
          <cell r="N139">
            <v>21.619053124343154</v>
          </cell>
          <cell r="O139">
            <v>23.425786962950649</v>
          </cell>
        </row>
        <row r="140">
          <cell r="A140" t="str">
            <v>D-RHSA_ELC</v>
          </cell>
          <cell r="B140" t="str">
            <v>VAR_fin</v>
          </cell>
          <cell r="C140" t="str">
            <v>RHEM_ELC</v>
          </cell>
          <cell r="D140">
            <v>15.725431085142743</v>
          </cell>
          <cell r="E140">
            <v>12.856090522144115</v>
          </cell>
          <cell r="F140">
            <v>12.567607457107814</v>
          </cell>
          <cell r="G140">
            <v>13.340483152682548</v>
          </cell>
          <cell r="H140">
            <v>15.346997443760364</v>
          </cell>
          <cell r="I140">
            <v>15.612866752532515</v>
          </cell>
          <cell r="J140">
            <v>16.303053998501543</v>
          </cell>
          <cell r="K140">
            <v>16.837653061963017</v>
          </cell>
          <cell r="L140">
            <v>18.125568598508554</v>
          </cell>
          <cell r="M140">
            <v>19.233763039269483</v>
          </cell>
          <cell r="N140">
            <v>19.916520913554994</v>
          </cell>
          <cell r="O140">
            <v>21.834589263089235</v>
          </cell>
        </row>
        <row r="141">
          <cell r="A141" t="str">
            <v>SCOM-SHLTHDH</v>
          </cell>
          <cell r="B141" t="str">
            <v>VAR_fout</v>
          </cell>
          <cell r="C141" t="str">
            <v>SCOM-SHLTHD</v>
          </cell>
          <cell r="D141">
            <v>5.5539112059778857</v>
          </cell>
          <cell r="E141">
            <v>6.0159405532928005</v>
          </cell>
          <cell r="F141">
            <v>6.0159409433901008</v>
          </cell>
          <cell r="G141">
            <v>6.0159398285879018</v>
          </cell>
          <cell r="H141">
            <v>6.0159401973443991</v>
          </cell>
          <cell r="I141">
            <v>6.0159421953020988</v>
          </cell>
          <cell r="J141">
            <v>6.0159676438443066</v>
          </cell>
          <cell r="K141">
            <v>8.944357202847657</v>
          </cell>
          <cell r="L141">
            <v>8.9443936277865372</v>
          </cell>
          <cell r="M141">
            <v>8.9444083086847961</v>
          </cell>
          <cell r="N141">
            <v>8.9444305023053641</v>
          </cell>
          <cell r="O141">
            <v>8.9444452530453464</v>
          </cell>
        </row>
        <row r="142">
          <cell r="A142" t="str">
            <v>SCOM-SHLTHDH</v>
          </cell>
          <cell r="B142" t="str">
            <v>VAR_fin</v>
          </cell>
          <cell r="C142" t="str">
            <v>SCOMLTHDHC</v>
          </cell>
          <cell r="D142">
            <v>5.5539112059778857</v>
          </cell>
          <cell r="E142">
            <v>6.0159405532928005</v>
          </cell>
          <cell r="F142">
            <v>6.0159409433901008</v>
          </cell>
          <cell r="G142">
            <v>6.0159398285879018</v>
          </cell>
          <cell r="H142">
            <v>6.0159401973443991</v>
          </cell>
          <cell r="I142">
            <v>6.0159421953020988</v>
          </cell>
          <cell r="J142">
            <v>6.0159676438443066</v>
          </cell>
          <cell r="K142">
            <v>8.944357202847657</v>
          </cell>
          <cell r="L142">
            <v>8.9443936277865372</v>
          </cell>
          <cell r="M142">
            <v>8.9444083086847961</v>
          </cell>
          <cell r="N142">
            <v>8.9444305023053641</v>
          </cell>
          <cell r="O142">
            <v>8.9444452530453464</v>
          </cell>
        </row>
        <row r="143">
          <cell r="A143" t="str">
            <v>SCOM-SHLTHDH</v>
          </cell>
          <cell r="B143" t="str">
            <v>VAR_fin</v>
          </cell>
          <cell r="C143" t="str">
            <v>SCOM_LTH_DH</v>
          </cell>
          <cell r="D143">
            <v>5.610011319169578</v>
          </cell>
          <cell r="E143">
            <v>6.0767076295886868</v>
          </cell>
          <cell r="F143">
            <v>6.0767080236263613</v>
          </cell>
          <cell r="G143">
            <v>6.0767068975635397</v>
          </cell>
          <cell r="H143">
            <v>6.0767072700448495</v>
          </cell>
          <cell r="I143">
            <v>6.0767092881839373</v>
          </cell>
          <cell r="J143">
            <v>6.0767349937821242</v>
          </cell>
          <cell r="K143">
            <v>9.0347042453006576</v>
          </cell>
          <cell r="L143">
            <v>9.0347410381682138</v>
          </cell>
          <cell r="M143">
            <v>9.0347558673583741</v>
          </cell>
          <cell r="N143">
            <v>9.0347782851569303</v>
          </cell>
          <cell r="O143">
            <v>9.0347931848942871</v>
          </cell>
        </row>
        <row r="144">
          <cell r="A144" t="str">
            <v>SCOM-SHLTHDH</v>
          </cell>
          <cell r="B144" t="str">
            <v>VAR_ncap</v>
          </cell>
          <cell r="C144" t="str">
            <v>-</v>
          </cell>
          <cell r="D144">
            <v>2.00421453983524E-8</v>
          </cell>
          <cell r="E144">
            <v>5.5085870231888199E-8</v>
          </cell>
          <cell r="F144">
            <v>1.75406384195833E-7</v>
          </cell>
          <cell r="G144">
            <v>1.5160992702685599E-7</v>
          </cell>
          <cell r="H144">
            <v>0.58602332238304899</v>
          </cell>
          <cell r="I144">
            <v>0.18531255102495001</v>
          </cell>
          <cell r="J144">
            <v>4.6622549509589797E-5</v>
          </cell>
          <cell r="K144">
            <v>0.66433950241884898</v>
          </cell>
          <cell r="L144">
            <v>0.15684587174415099</v>
          </cell>
          <cell r="M144">
            <v>2.85140293676928E-2</v>
          </cell>
          <cell r="N144">
            <v>0.596393982922657</v>
          </cell>
          <cell r="O144">
            <v>0.22479240299154299</v>
          </cell>
        </row>
        <row r="145">
          <cell r="A145" t="str">
            <v>SCOM-SHLTHDH</v>
          </cell>
          <cell r="B145" t="str">
            <v>VAR_cap</v>
          </cell>
          <cell r="C145" t="str">
            <v>-</v>
          </cell>
          <cell r="D145">
            <v>0.8497002729723504</v>
          </cell>
          <cell r="E145">
            <v>0.8497003280582206</v>
          </cell>
          <cell r="F145">
            <v>0.84970050346460479</v>
          </cell>
          <cell r="G145">
            <v>0.84970065507453185</v>
          </cell>
          <cell r="H145">
            <v>0.80638028620223401</v>
          </cell>
          <cell r="I145">
            <v>0.771336033009417</v>
          </cell>
          <cell r="J145">
            <v>0.77138249595750796</v>
          </cell>
          <cell r="K145">
            <v>0.84969867599330895</v>
          </cell>
          <cell r="L145">
            <v>0.84969984858936898</v>
          </cell>
          <cell r="M145">
            <v>0.84969940353069395</v>
          </cell>
          <cell r="N145">
            <v>0.84970068578435898</v>
          </cell>
          <cell r="O145">
            <v>0.849700415281892</v>
          </cell>
        </row>
        <row r="146">
          <cell r="A146" t="str">
            <v>ITOT-SWHSTG-ELC</v>
          </cell>
          <cell r="B146" t="str">
            <v>VAR_fout</v>
          </cell>
          <cell r="C146" t="str">
            <v>ITOT-SWHAELC</v>
          </cell>
          <cell r="D146">
            <v>1.5053379815764092E-4</v>
          </cell>
          <cell r="E146">
            <v>6.370439075418175E-5</v>
          </cell>
          <cell r="F146">
            <v>0.14630567360501304</v>
          </cell>
          <cell r="G146">
            <v>0.27080781992981912</v>
          </cell>
          <cell r="H146">
            <v>0.51334980234913319</v>
          </cell>
          <cell r="I146">
            <v>0.46514475004979122</v>
          </cell>
          <cell r="J146">
            <v>0.48521114425181228</v>
          </cell>
          <cell r="K146">
            <v>1.0260050183689682</v>
          </cell>
          <cell r="L146">
            <v>0.9370041800451645</v>
          </cell>
          <cell r="M146">
            <v>1.077967159288393</v>
          </cell>
          <cell r="N146">
            <v>1.17699617659237</v>
          </cell>
          <cell r="O146">
            <v>1.3216428320461056</v>
          </cell>
        </row>
        <row r="147">
          <cell r="A147" t="str">
            <v>ITOT-SWHSTG-ELC</v>
          </cell>
          <cell r="B147" t="str">
            <v>VAR_fin</v>
          </cell>
          <cell r="C147" t="str">
            <v>ITOT-SWHAELC</v>
          </cell>
          <cell r="D147">
            <v>1.126713902358554E-4</v>
          </cell>
          <cell r="E147">
            <v>5.4958491859514596E-5</v>
          </cell>
          <cell r="F147">
            <v>0.18883834399557831</v>
          </cell>
          <cell r="G147">
            <v>0.33856537127505154</v>
          </cell>
          <cell r="H147">
            <v>0.62231744757797736</v>
          </cell>
          <cell r="I147">
            <v>0.54729934514089418</v>
          </cell>
          <cell r="J147">
            <v>0.55458364561982454</v>
          </cell>
          <cell r="K147">
            <v>1.1400878576975848</v>
          </cell>
          <cell r="L147">
            <v>1.0411860068288719</v>
          </cell>
          <cell r="M147">
            <v>1.1978267698735956</v>
          </cell>
          <cell r="N147">
            <v>1.3078648180786605</v>
          </cell>
          <cell r="O147">
            <v>1.4685873583268776</v>
          </cell>
        </row>
        <row r="148">
          <cell r="A148" t="str">
            <v>ITOT-SWHSTG-ELC</v>
          </cell>
          <cell r="B148" t="str">
            <v>VAR_ncap</v>
          </cell>
          <cell r="C148" t="str">
            <v>-</v>
          </cell>
          <cell r="D148">
            <v>2.0056205483345402E-3</v>
          </cell>
          <cell r="E148">
            <v>0.18053982482272901</v>
          </cell>
          <cell r="F148">
            <v>7.9447882004602302E-5</v>
          </cell>
          <cell r="G148">
            <v>1.2219728026538699E-2</v>
          </cell>
          <cell r="H148">
            <v>0.104653547211512</v>
          </cell>
          <cell r="I148">
            <v>0.114643717160827</v>
          </cell>
          <cell r="J148">
            <v>2.7157738076902499E-2</v>
          </cell>
          <cell r="K148">
            <v>9.5284586596580206E-2</v>
          </cell>
          <cell r="L148">
            <v>9.3999466336845305E-2</v>
          </cell>
          <cell r="M148">
            <v>5.3088732375649102E-2</v>
          </cell>
          <cell r="N148">
            <v>0.10336945513903301</v>
          </cell>
          <cell r="O148">
            <v>8.5316159725852395E-2</v>
          </cell>
        </row>
        <row r="149">
          <cell r="A149" t="str">
            <v>ITOT-SWHSTG-ELC</v>
          </cell>
          <cell r="B149" t="str">
            <v>VAR_cap</v>
          </cell>
          <cell r="C149" t="str">
            <v>-</v>
          </cell>
          <cell r="D149">
            <v>2.0056205483345402E-3</v>
          </cell>
          <cell r="E149">
            <v>0.18254293808071506</v>
          </cell>
          <cell r="F149">
            <v>0.18261884605601464</v>
          </cell>
          <cell r="G149">
            <v>0.19483980646442997</v>
          </cell>
          <cell r="H149">
            <v>0.20996030022601969</v>
          </cell>
          <cell r="I149">
            <v>0.22920210995766188</v>
          </cell>
          <cell r="J149">
            <v>0.24644830875022541</v>
          </cell>
          <cell r="K149">
            <v>0.23706577680084051</v>
          </cell>
          <cell r="L149">
            <v>0.2304280071025662</v>
          </cell>
          <cell r="M149">
            <v>0.2423313006512933</v>
          </cell>
          <cell r="N149">
            <v>0.23748921448694821</v>
          </cell>
          <cell r="O149">
            <v>0.241739110070496</v>
          </cell>
        </row>
        <row r="150">
          <cell r="A150" t="str">
            <v>D-SCOM_SOLELC</v>
          </cell>
          <cell r="B150" t="str">
            <v>VAR_fout</v>
          </cell>
          <cell r="C150" t="str">
            <v>ELC5</v>
          </cell>
          <cell r="D150">
            <v>0.4054557684836505</v>
          </cell>
          <cell r="E150">
            <v>1.7186538681933821</v>
          </cell>
          <cell r="F150">
            <v>2.0725661160638009</v>
          </cell>
          <cell r="G150">
            <v>2.5102266985567772</v>
          </cell>
          <cell r="H150">
            <v>2.3402825283025965</v>
          </cell>
          <cell r="I150">
            <v>2.7701738441860178</v>
          </cell>
          <cell r="J150">
            <v>2.922787440550052</v>
          </cell>
          <cell r="K150">
            <v>2.7262360908745937</v>
          </cell>
          <cell r="L150">
            <v>2.8577185028366432</v>
          </cell>
          <cell r="M150">
            <v>3.0032593217840891</v>
          </cell>
          <cell r="N150">
            <v>3.126024292964678</v>
          </cell>
          <cell r="O150">
            <v>3.3487194644146796</v>
          </cell>
        </row>
        <row r="151">
          <cell r="A151" t="str">
            <v>D-SCOM_SOLELC</v>
          </cell>
          <cell r="B151" t="str">
            <v>VAR_fout</v>
          </cell>
          <cell r="C151" t="str">
            <v>SCOM_ELC</v>
          </cell>
          <cell r="D151">
            <v>2.4341679172883128</v>
          </cell>
          <cell r="E151">
            <v>1.5758012000609427</v>
          </cell>
          <cell r="F151">
            <v>1.8628342253570778</v>
          </cell>
          <cell r="G151">
            <v>1.8985057521192952</v>
          </cell>
          <cell r="H151">
            <v>2.2931906471327612</v>
          </cell>
          <cell r="I151">
            <v>2.0996556023521888</v>
          </cell>
          <cell r="J151">
            <v>2.1954785980173468</v>
          </cell>
          <cell r="K151">
            <v>2.6523209729142621</v>
          </cell>
          <cell r="L151">
            <v>2.7958784078607444</v>
          </cell>
          <cell r="M151">
            <v>2.937711006098414</v>
          </cell>
          <cell r="N151">
            <v>3.117748757156503</v>
          </cell>
          <cell r="O151">
            <v>3.2057847018071759</v>
          </cell>
        </row>
        <row r="152">
          <cell r="A152" t="str">
            <v>D-SCOM_SOLELC</v>
          </cell>
          <cell r="B152" t="str">
            <v>VAR_fin</v>
          </cell>
          <cell r="C152" t="str">
            <v>SCOM_SOL_ELC</v>
          </cell>
          <cell r="D152">
            <v>2.8396236857719668</v>
          </cell>
          <cell r="E152">
            <v>3.2944551386163567</v>
          </cell>
          <cell r="F152">
            <v>3.9354003414208782</v>
          </cell>
          <cell r="G152">
            <v>4.4087324506760703</v>
          </cell>
          <cell r="H152">
            <v>4.6334731754353546</v>
          </cell>
          <cell r="I152">
            <v>4.8698294465382039</v>
          </cell>
          <cell r="J152">
            <v>5.1182660385673957</v>
          </cell>
          <cell r="K152">
            <v>5.3785570637888576</v>
          </cell>
          <cell r="L152">
            <v>5.653596910697388</v>
          </cell>
          <cell r="M152">
            <v>5.9409703278825097</v>
          </cell>
          <cell r="N152">
            <v>6.2437730501211774</v>
          </cell>
          <cell r="O152">
            <v>6.5545041662218564</v>
          </cell>
        </row>
        <row r="153">
          <cell r="A153" t="str">
            <v>D-ILFO</v>
          </cell>
          <cell r="B153" t="str">
            <v>VAR_fout</v>
          </cell>
          <cell r="C153" t="str">
            <v>CO2</v>
          </cell>
          <cell r="D153">
            <v>689.06443498366195</v>
          </cell>
          <cell r="E153">
            <v>659.57550536185499</v>
          </cell>
          <cell r="F153">
            <v>600.61134199692697</v>
          </cell>
          <cell r="G153">
            <v>535.72493102853298</v>
          </cell>
          <cell r="H153">
            <v>419.34628579236801</v>
          </cell>
          <cell r="I153">
            <v>259.106187794275</v>
          </cell>
          <cell r="J153">
            <v>142.00575190212001</v>
          </cell>
          <cell r="K153">
            <v>26.966780108070399</v>
          </cell>
          <cell r="L153">
            <v>27.432299443734099</v>
          </cell>
          <cell r="M153">
            <v>27.386875796795501</v>
          </cell>
          <cell r="N153">
            <v>26.5680273729566</v>
          </cell>
          <cell r="O153">
            <v>26.667507271295001</v>
          </cell>
        </row>
        <row r="154">
          <cell r="A154" t="str">
            <v>D-ILFO</v>
          </cell>
          <cell r="B154" t="str">
            <v>VAR_fout</v>
          </cell>
          <cell r="C154" t="str">
            <v>ILFO</v>
          </cell>
          <cell r="D154">
            <v>9.193436307827735</v>
          </cell>
          <cell r="E154">
            <v>8.7999976357672196</v>
          </cell>
          <cell r="F154">
            <v>8.0134216662549456</v>
          </cell>
          <cell r="G154">
            <v>7.1481858417933033</v>
          </cell>
          <cell r="H154">
            <v>5.5955057737559244</v>
          </cell>
          <cell r="I154">
            <v>3.4575980307194074</v>
          </cell>
          <cell r="J154">
            <v>1.8952550709763174</v>
          </cell>
          <cell r="K154">
            <v>0.3604246007143545</v>
          </cell>
          <cell r="L154">
            <v>0.36663527166018328</v>
          </cell>
          <cell r="M154">
            <v>0.36610327328966447</v>
          </cell>
          <cell r="N154">
            <v>0.35520134779567797</v>
          </cell>
          <cell r="O154">
            <v>0.3574503691604618</v>
          </cell>
        </row>
        <row r="155">
          <cell r="A155" t="str">
            <v>D-ILFO</v>
          </cell>
          <cell r="B155" t="str">
            <v>VAR_fin</v>
          </cell>
          <cell r="C155" t="str">
            <v>LFO</v>
          </cell>
          <cell r="D155">
            <v>9.349585277933004</v>
          </cell>
          <cell r="E155">
            <v>8.9494641161717041</v>
          </cell>
          <cell r="F155">
            <v>8.1494076254671235</v>
          </cell>
          <cell r="G155">
            <v>7.2689949936028775</v>
          </cell>
          <cell r="H155">
            <v>5.6899088981325443</v>
          </cell>
          <cell r="I155">
            <v>3.5156877584026422</v>
          </cell>
          <cell r="J155">
            <v>1.9268080312363571</v>
          </cell>
          <cell r="K155">
            <v>0.36589932304030365</v>
          </cell>
          <cell r="L155">
            <v>0.37221573193669066</v>
          </cell>
          <cell r="M155">
            <v>0.37159940022789045</v>
          </cell>
          <cell r="N155">
            <v>0.36048883816766136</v>
          </cell>
          <cell r="O155">
            <v>0.36183863326044774</v>
          </cell>
        </row>
        <row r="156">
          <cell r="A156" t="str">
            <v>D-ILFO</v>
          </cell>
          <cell r="B156" t="str">
            <v>VAR_fin</v>
          </cell>
          <cell r="C156" t="str">
            <v>BDS</v>
          </cell>
          <cell r="D156"/>
          <cell r="E156"/>
          <cell r="F156">
            <v>1.2066058781348535E-4</v>
          </cell>
          <cell r="G156">
            <v>6.0582724139831906E-4</v>
          </cell>
          <cell r="H156">
            <v>6.3560048473718675E-4</v>
          </cell>
          <cell r="I156">
            <v>6.3699358366609785E-4</v>
          </cell>
          <cell r="J156">
            <v>6.4141598988132849E-4</v>
          </cell>
          <cell r="K156">
            <v>6.4702892327943155E-4</v>
          </cell>
          <cell r="L156">
            <v>6.4914729772159855E-4</v>
          </cell>
          <cell r="M156">
            <v>7.2207561000627463E-4</v>
          </cell>
          <cell r="N156">
            <v>7.4657361927878087E-4</v>
          </cell>
          <cell r="O156">
            <v>1.6878830951846449E-3</v>
          </cell>
        </row>
        <row r="157">
          <cell r="A157" t="str">
            <v>RHEM-SHSTG-NGAHP</v>
          </cell>
          <cell r="B157" t="str">
            <v>VAR_fout</v>
          </cell>
          <cell r="C157" t="str">
            <v>RHEM-SHANGAH</v>
          </cell>
          <cell r="D157"/>
          <cell r="E157"/>
          <cell r="F157">
            <v>1.5016026870694844E-4</v>
          </cell>
          <cell r="G157">
            <v>1.8746302132888356E-4</v>
          </cell>
          <cell r="H157">
            <v>2.6114049409533131E-4</v>
          </cell>
          <cell r="I157">
            <v>1.8685184678384013E-4</v>
          </cell>
          <cell r="J157">
            <v>1.0971344325944672E-4</v>
          </cell>
          <cell r="K157">
            <v>3.0064561887605294E-4</v>
          </cell>
          <cell r="L157">
            <v>2.8735850450670479E-4</v>
          </cell>
          <cell r="M157">
            <v>1.8777224799002183E-4</v>
          </cell>
          <cell r="N157">
            <v>1.7639684185242839E-4</v>
          </cell>
          <cell r="O157">
            <v>6.1132375306325963E-4</v>
          </cell>
        </row>
        <row r="158">
          <cell r="A158" t="str">
            <v>RHEM-SHSTG-NGAHP</v>
          </cell>
          <cell r="B158" t="str">
            <v>VAR_fin</v>
          </cell>
          <cell r="C158" t="str">
            <v>RHEM-SHANGAH</v>
          </cell>
          <cell r="D158"/>
          <cell r="E158"/>
          <cell r="F158">
            <v>1.651127338099216E-4</v>
          </cell>
          <cell r="G158">
            <v>1.8500356652552735E-4</v>
          </cell>
          <cell r="H158">
            <v>2.6942968135159451E-4</v>
          </cell>
          <cell r="I158">
            <v>2.0055564072334129E-4</v>
          </cell>
          <cell r="J158">
            <v>1.5343093053997442E-4</v>
          </cell>
          <cell r="K158">
            <v>3.4437903633480264E-4</v>
          </cell>
          <cell r="L158">
            <v>3.062324850384104E-4</v>
          </cell>
          <cell r="M158">
            <v>2.3391889767350316E-4</v>
          </cell>
          <cell r="N158">
            <v>2.0018402939052699E-4</v>
          </cell>
          <cell r="O158">
            <v>6.5817733920332723E-4</v>
          </cell>
        </row>
        <row r="159">
          <cell r="A159" t="str">
            <v>RHEM-SHSTG-NGAHP</v>
          </cell>
          <cell r="B159" t="str">
            <v>VAR_ncap</v>
          </cell>
          <cell r="C159" t="str">
            <v>-</v>
          </cell>
          <cell r="D159">
            <v>1.2447559856402399E-5</v>
          </cell>
          <cell r="E159">
            <v>1.35127756156424E-5</v>
          </cell>
          <cell r="F159">
            <v>5.1010692222499401E-5</v>
          </cell>
          <cell r="G159">
            <v>2.4428063377941801E-5</v>
          </cell>
          <cell r="H159">
            <v>3.9654042491519299E-5</v>
          </cell>
          <cell r="I159">
            <v>2.76987489901704E-5</v>
          </cell>
          <cell r="J159">
            <v>5.4749462207528003E-5</v>
          </cell>
          <cell r="K159">
            <v>1.01745022034463E-4</v>
          </cell>
          <cell r="L159">
            <v>7.9278851744736802E-5</v>
          </cell>
          <cell r="M159">
            <v>9.3201542695218494E-5</v>
          </cell>
          <cell r="N159">
            <v>5.8289463561455E-5</v>
          </cell>
          <cell r="O159">
            <v>2.17209807682215E-4</v>
          </cell>
        </row>
        <row r="160">
          <cell r="A160" t="str">
            <v>RHEM-SHSTG-NGAHP</v>
          </cell>
          <cell r="B160" t="str">
            <v>VAR_cap</v>
          </cell>
          <cell r="C160" t="str">
            <v>-</v>
          </cell>
          <cell r="D160">
            <v>1.2447559856402399E-5</v>
          </cell>
          <cell r="E160">
            <v>-3.7232827955512024E-6</v>
          </cell>
          <cell r="F160">
            <v>4.6055119540035103E-5</v>
          </cell>
          <cell r="G160">
            <v>5.1205931601425799E-5</v>
          </cell>
          <cell r="H160">
            <v>6.17773036646793E-5</v>
          </cell>
          <cell r="I160">
            <v>4.4652384201036801E-5</v>
          </cell>
          <cell r="J160">
            <v>4.7162703597680207E-5</v>
          </cell>
          <cell r="K160">
            <v>8.4115661028605988E-5</v>
          </cell>
          <cell r="L160">
            <v>7.5904062337037994E-5</v>
          </cell>
          <cell r="M160">
            <v>8.3293641908802985E-5</v>
          </cell>
          <cell r="N160">
            <v>6.5572013358572998E-5</v>
          </cell>
          <cell r="O160">
            <v>2.3619954068985203E-4</v>
          </cell>
        </row>
        <row r="161">
          <cell r="A161" t="str">
            <v>RHEM-SHCONBR4</v>
          </cell>
          <cell r="B161" t="str">
            <v>VAR_fout</v>
          </cell>
          <cell r="C161" t="str">
            <v>RHEM-SHCON</v>
          </cell>
          <cell r="D161">
            <v>1.7049282124255658E-4</v>
          </cell>
          <cell r="E161">
            <v>0.45737408703908877</v>
          </cell>
          <cell r="F161">
            <v>0.45729107215324316</v>
          </cell>
          <cell r="G161">
            <v>0.45726430715032651</v>
          </cell>
          <cell r="H161">
            <v>0.45728536842484074</v>
          </cell>
          <cell r="I161">
            <v>0.45729222373643647</v>
          </cell>
          <cell r="J161">
            <v>0.45726496450470905</v>
          </cell>
          <cell r="K161">
            <v>0.30856612845753667</v>
          </cell>
          <cell r="L161">
            <v>2.3149147393317185E-4</v>
          </cell>
          <cell r="M161">
            <v>2.6652899759763691E-4</v>
          </cell>
          <cell r="N161">
            <v>2.3423753454260838E-4</v>
          </cell>
          <cell r="O161">
            <v>3.4941125249571069E-4</v>
          </cell>
        </row>
        <row r="162">
          <cell r="A162" t="str">
            <v>RHEM-SHCONBR4</v>
          </cell>
          <cell r="B162" t="str">
            <v>VAR_fin</v>
          </cell>
          <cell r="C162" t="str">
            <v>CON</v>
          </cell>
          <cell r="D162">
            <v>1.7049282124255658E-4</v>
          </cell>
          <cell r="E162">
            <v>0.45737408703908877</v>
          </cell>
          <cell r="F162">
            <v>0.45729107215324316</v>
          </cell>
          <cell r="G162">
            <v>0.45726430715032651</v>
          </cell>
          <cell r="H162">
            <v>0.45728536842484074</v>
          </cell>
          <cell r="I162">
            <v>0.45729222373643647</v>
          </cell>
          <cell r="J162">
            <v>0.45726496450470905</v>
          </cell>
          <cell r="K162">
            <v>0.30856612845753667</v>
          </cell>
          <cell r="L162">
            <v>2.3149147393317185E-4</v>
          </cell>
          <cell r="M162">
            <v>2.6652899759763691E-4</v>
          </cell>
          <cell r="N162">
            <v>2.3423753454260838E-4</v>
          </cell>
          <cell r="O162">
            <v>3.4941125249571069E-4</v>
          </cell>
        </row>
        <row r="163">
          <cell r="A163" t="str">
            <v>RHEM-SHCONBR4</v>
          </cell>
          <cell r="B163" t="str">
            <v>VAR_ncap</v>
          </cell>
          <cell r="C163" t="str">
            <v>-</v>
          </cell>
          <cell r="D163">
            <v>2.0768066879778799E-7</v>
          </cell>
          <cell r="E163">
            <v>3.2289194870271203E-2</v>
          </cell>
          <cell r="F163">
            <v>1.52852346269693E-8</v>
          </cell>
          <cell r="G163">
            <v>1.9379349549994E-8</v>
          </cell>
          <cell r="H163">
            <v>2.17638881168206E-8</v>
          </cell>
          <cell r="I163">
            <v>2.5876413479558502E-8</v>
          </cell>
          <cell r="J163">
            <v>2.4889852519759599E-8</v>
          </cell>
          <cell r="K163">
            <v>2.9639530648276902E-7</v>
          </cell>
          <cell r="L163">
            <v>1.39132599489748E-5</v>
          </cell>
          <cell r="M163">
            <v>6.92179755487433E-8</v>
          </cell>
          <cell r="N163">
            <v>2.1196596804489499E-7</v>
          </cell>
          <cell r="O163">
            <v>7.7578429536948598E-7</v>
          </cell>
        </row>
        <row r="164">
          <cell r="A164" t="str">
            <v>RHEM-SHCONBR4</v>
          </cell>
          <cell r="B164" t="str">
            <v>VAR_cap</v>
          </cell>
          <cell r="C164" t="str">
            <v>-</v>
          </cell>
          <cell r="D164">
            <v>2.0768066879778799E-7</v>
          </cell>
          <cell r="E164">
            <v>3.2289402550939997E-2</v>
          </cell>
          <cell r="F164">
            <v>3.2289417836174603E-2</v>
          </cell>
          <cell r="G164">
            <v>3.22894372155242E-2</v>
          </cell>
          <cell r="H164">
            <v>3.2289458979412301E-2</v>
          </cell>
          <cell r="I164">
            <v>3.2289484855825702E-2</v>
          </cell>
          <cell r="J164">
            <v>3.2289509745678298E-2</v>
          </cell>
          <cell r="K164">
            <v>2.17912521207787E-2</v>
          </cell>
          <cell r="L164">
            <v>1.43010052101666E-5</v>
          </cell>
          <cell r="M164">
            <v>1.4351403385122501E-5</v>
          </cell>
          <cell r="N164">
            <v>1.4541409375023801E-5</v>
          </cell>
          <cell r="O164">
            <v>1.52915133469405E-5</v>
          </cell>
        </row>
        <row r="165">
          <cell r="A165" t="str">
            <v>RHNM-SHCONBR</v>
          </cell>
          <cell r="B165" t="str">
            <v>VAR_fout</v>
          </cell>
          <cell r="C165" t="str">
            <v>RHNM-SHCON</v>
          </cell>
          <cell r="D165"/>
          <cell r="E165"/>
          <cell r="F165">
            <v>1.2805279470632904E-4</v>
          </cell>
          <cell r="G165">
            <v>5.3574952944629293E-5</v>
          </cell>
          <cell r="H165">
            <v>1.1347346589905007E-4</v>
          </cell>
          <cell r="I165">
            <v>1.1194959279896882E-4</v>
          </cell>
          <cell r="J165">
            <v>1.1205797796728033E-4</v>
          </cell>
          <cell r="K165">
            <v>3.4429955649271189E-4</v>
          </cell>
          <cell r="L165">
            <v>3.2556463675544902E-4</v>
          </cell>
          <cell r="M165">
            <v>3.6230471812049241E-4</v>
          </cell>
          <cell r="N165">
            <v>3.598053778586576E-4</v>
          </cell>
          <cell r="O165">
            <v>4.2196993567437957E-4</v>
          </cell>
        </row>
        <row r="166">
          <cell r="A166" t="str">
            <v>RHNM-SHCONBR</v>
          </cell>
          <cell r="B166" t="str">
            <v>VAR_fin</v>
          </cell>
          <cell r="C166" t="str">
            <v>CON</v>
          </cell>
          <cell r="D166"/>
          <cell r="E166"/>
          <cell r="F166">
            <v>1.2805279470632904E-4</v>
          </cell>
          <cell r="G166">
            <v>5.3574952944629293E-5</v>
          </cell>
          <cell r="H166">
            <v>1.1347346589905007E-4</v>
          </cell>
          <cell r="I166">
            <v>1.1194959279896882E-4</v>
          </cell>
          <cell r="J166">
            <v>1.1205797796728033E-4</v>
          </cell>
          <cell r="K166">
            <v>3.4429955649271189E-4</v>
          </cell>
          <cell r="L166">
            <v>3.2556463675544902E-4</v>
          </cell>
          <cell r="M166">
            <v>3.6230471812049241E-4</v>
          </cell>
          <cell r="N166">
            <v>3.598053778586576E-4</v>
          </cell>
          <cell r="O166">
            <v>4.2196993567437957E-4</v>
          </cell>
        </row>
        <row r="167">
          <cell r="A167" t="str">
            <v>RHNM-SHCONBR</v>
          </cell>
          <cell r="B167" t="str">
            <v>VAR_ncap</v>
          </cell>
          <cell r="C167" t="str">
            <v>-</v>
          </cell>
          <cell r="D167"/>
          <cell r="E167">
            <v>3.95837330371349E-8</v>
          </cell>
          <cell r="F167">
            <v>1.86736925378539E-6</v>
          </cell>
          <cell r="G167">
            <v>5.6283266961935596E-7</v>
          </cell>
          <cell r="H167">
            <v>1.50258823430037E-7</v>
          </cell>
          <cell r="I167">
            <v>1.2445067531432701E-7</v>
          </cell>
          <cell r="J167">
            <v>1.83726853216917E-7</v>
          </cell>
          <cell r="K167">
            <v>1.5459652481758299E-5</v>
          </cell>
          <cell r="L167">
            <v>1.03050732165985E-6</v>
          </cell>
          <cell r="M167">
            <v>1.6660542308208901E-7</v>
          </cell>
          <cell r="N167">
            <v>2.6688052896751399E-7</v>
          </cell>
          <cell r="O167">
            <v>1.62794101743654E-6</v>
          </cell>
        </row>
        <row r="168">
          <cell r="A168" t="str">
            <v>RHNM-SHCONBR</v>
          </cell>
          <cell r="B168" t="str">
            <v>VAR_cap</v>
          </cell>
          <cell r="C168" t="str">
            <v>-</v>
          </cell>
          <cell r="D168"/>
          <cell r="E168">
            <v>3.95837330371349E-8</v>
          </cell>
          <cell r="F168">
            <v>1.866715374990908E-6</v>
          </cell>
          <cell r="G168">
            <v>2.4262210966497421E-6</v>
          </cell>
          <cell r="H168">
            <v>2.496781804141017E-6</v>
          </cell>
          <cell r="I168">
            <v>2.564000136000291E-6</v>
          </cell>
          <cell r="J168">
            <v>2.7049693141598201E-6</v>
          </cell>
          <cell r="K168">
            <v>1.7918447778345514E-5</v>
          </cell>
          <cell r="L168">
            <v>1.9174744366770821E-5</v>
          </cell>
          <cell r="M168">
            <v>1.8976448834403799E-5</v>
          </cell>
          <cell r="N168">
            <v>1.9287920334278629E-5</v>
          </cell>
          <cell r="O168">
            <v>2.1336643259212074E-5</v>
          </cell>
        </row>
        <row r="169">
          <cell r="A169" t="str">
            <v>RHEM-SHCONBR5</v>
          </cell>
          <cell r="B169" t="str">
            <v>VAR_fout</v>
          </cell>
          <cell r="C169" t="str">
            <v>RHEM-SHCON</v>
          </cell>
          <cell r="D169">
            <v>1.6996549657193985E-4</v>
          </cell>
          <cell r="E169">
            <v>1.7799777170128728E-3</v>
          </cell>
          <cell r="F169">
            <v>1.7735522716271449E-3</v>
          </cell>
          <cell r="G169">
            <v>1.7059238748772894E-3</v>
          </cell>
          <cell r="H169">
            <v>1.7389233317965751E-3</v>
          </cell>
          <cell r="I169">
            <v>1.7341664534285173E-3</v>
          </cell>
          <cell r="J169">
            <v>1.7284040778841412E-3</v>
          </cell>
          <cell r="K169">
            <v>1.1767884004995175E-3</v>
          </cell>
          <cell r="L169">
            <v>2.0350028557558479E-4</v>
          </cell>
          <cell r="M169">
            <v>2.3857783640915633E-4</v>
          </cell>
          <cell r="N169">
            <v>2.0652620455279859E-4</v>
          </cell>
          <cell r="O169">
            <v>3.2214773964741206E-4</v>
          </cell>
        </row>
        <row r="170">
          <cell r="A170" t="str">
            <v>RHEM-SHCONBR5</v>
          </cell>
          <cell r="B170" t="str">
            <v>VAR_fin</v>
          </cell>
          <cell r="C170" t="str">
            <v>CON</v>
          </cell>
          <cell r="D170">
            <v>1.6996549657193985E-4</v>
          </cell>
          <cell r="E170">
            <v>1.7799777170128728E-3</v>
          </cell>
          <cell r="F170">
            <v>1.7735522716271449E-3</v>
          </cell>
          <cell r="G170">
            <v>1.7059238748772894E-3</v>
          </cell>
          <cell r="H170">
            <v>1.7389233317965751E-3</v>
          </cell>
          <cell r="I170">
            <v>1.7341664534285173E-3</v>
          </cell>
          <cell r="J170">
            <v>1.7284040778841412E-3</v>
          </cell>
          <cell r="K170">
            <v>1.1767884004995175E-3</v>
          </cell>
          <cell r="L170">
            <v>2.0350028557558479E-4</v>
          </cell>
          <cell r="M170">
            <v>2.3857783640915633E-4</v>
          </cell>
          <cell r="N170">
            <v>2.0652620455279859E-4</v>
          </cell>
          <cell r="O170">
            <v>3.2214773964741206E-4</v>
          </cell>
        </row>
        <row r="171">
          <cell r="A171" t="str">
            <v>RHEM-SHCONBR5</v>
          </cell>
          <cell r="B171" t="str">
            <v>VAR_ncap</v>
          </cell>
          <cell r="C171" t="str">
            <v>-</v>
          </cell>
          <cell r="D171">
            <v>1.6468965159787001E-7</v>
          </cell>
          <cell r="E171">
            <v>1.1811973978268999E-4</v>
          </cell>
          <cell r="F171">
            <v>1.5185468535454498E-8</v>
          </cell>
          <cell r="G171">
            <v>1.9398824260455399E-8</v>
          </cell>
          <cell r="H171">
            <v>2.2102079766097901E-8</v>
          </cell>
          <cell r="I171">
            <v>2.6699626119039E-8</v>
          </cell>
          <cell r="J171">
            <v>2.6541463736671802E-8</v>
          </cell>
          <cell r="K171">
            <v>3.3530532344008399E-7</v>
          </cell>
          <cell r="L171">
            <v>1.18891858675189E-5</v>
          </cell>
          <cell r="M171">
            <v>7.0366490252400096E-8</v>
          </cell>
          <cell r="N171">
            <v>2.2570674906316199E-7</v>
          </cell>
          <cell r="O171">
            <v>7.9536645515121604E-7</v>
          </cell>
        </row>
        <row r="172">
          <cell r="A172" t="str">
            <v>RHEM-SHCONBR5</v>
          </cell>
          <cell r="B172" t="str">
            <v>VAR_cap</v>
          </cell>
          <cell r="C172" t="str">
            <v>-</v>
          </cell>
          <cell r="D172">
            <v>1.6468965159787001E-7</v>
          </cell>
          <cell r="E172">
            <v>1.18284429434288E-4</v>
          </cell>
          <cell r="F172">
            <v>1.18299614902824E-4</v>
          </cell>
          <cell r="G172">
            <v>1.1831901372708399E-4</v>
          </cell>
          <cell r="H172">
            <v>1.1834111580685E-4</v>
          </cell>
          <cell r="I172">
            <v>1.1836781543296901E-4</v>
          </cell>
          <cell r="J172">
            <v>1.18394356896706E-4</v>
          </cell>
          <cell r="K172">
            <v>8.0216112766205694E-5</v>
          </cell>
          <cell r="L172">
            <v>1.2318638125712E-5</v>
          </cell>
          <cell r="M172">
            <v>1.23702008508332E-5</v>
          </cell>
          <cell r="N172">
            <v>1.2573540457345E-5</v>
          </cell>
          <cell r="O172">
            <v>1.33424723491624E-5</v>
          </cell>
        </row>
        <row r="173">
          <cell r="A173" t="str">
            <v>ITOT-SWHNGABR</v>
          </cell>
          <cell r="B173" t="str">
            <v>VAR_fout</v>
          </cell>
          <cell r="C173" t="str">
            <v>ITOT-SWH</v>
          </cell>
          <cell r="D173">
            <v>28.619778055893814</v>
          </cell>
          <cell r="E173">
            <v>24.222660084453278</v>
          </cell>
          <cell r="F173">
            <v>27.299961545548623</v>
          </cell>
          <cell r="G173">
            <v>23.405824883294375</v>
          </cell>
          <cell r="H173">
            <v>21.269954407657327</v>
          </cell>
          <cell r="I173">
            <v>20.120735136499999</v>
          </cell>
          <cell r="J173">
            <v>17.922087145013844</v>
          </cell>
          <cell r="K173">
            <v>15.978224133118557</v>
          </cell>
          <cell r="L173">
            <v>14.568353192953506</v>
          </cell>
          <cell r="M173">
            <v>11.32831403402975</v>
          </cell>
          <cell r="N173">
            <v>10.176689583824219</v>
          </cell>
          <cell r="O173">
            <v>8.8971083300982254</v>
          </cell>
        </row>
        <row r="174">
          <cell r="A174" t="str">
            <v>ITOT-SWHNGABR</v>
          </cell>
          <cell r="B174" t="str">
            <v>VAR_fout</v>
          </cell>
          <cell r="C174" t="str">
            <v>CO2_I</v>
          </cell>
          <cell r="D174">
            <v>2005.1537925406701</v>
          </cell>
          <cell r="E174">
            <v>1695.5995289289399</v>
          </cell>
          <cell r="F174">
            <v>1908.50872310983</v>
          </cell>
          <cell r="G174">
            <v>1632.70913810446</v>
          </cell>
          <cell r="H174">
            <v>1480.49263281243</v>
          </cell>
          <cell r="I174">
            <v>1397.4632891573101</v>
          </cell>
          <cell r="J174">
            <v>1242.0642573679099</v>
          </cell>
          <cell r="K174">
            <v>1104.95588482327</v>
          </cell>
          <cell r="L174">
            <v>1007.45786632022</v>
          </cell>
          <cell r="M174">
            <v>783.39664988690799</v>
          </cell>
          <cell r="N174">
            <v>703.75737315881304</v>
          </cell>
          <cell r="O174">
            <v>615.26938947334997</v>
          </cell>
        </row>
        <row r="175">
          <cell r="A175" t="str">
            <v>ITOT-SWHNGABR</v>
          </cell>
          <cell r="B175" t="str">
            <v>VAR_fin</v>
          </cell>
          <cell r="C175" t="str">
            <v>INGA</v>
          </cell>
          <cell r="D175">
            <v>35.552372208167895</v>
          </cell>
          <cell r="E175">
            <v>30.06382143491021</v>
          </cell>
          <cell r="F175">
            <v>33.83880714733742</v>
          </cell>
          <cell r="G175">
            <v>28.948743583412401</v>
          </cell>
          <cell r="H175">
            <v>26.24986937610695</v>
          </cell>
          <cell r="I175">
            <v>24.777717892860078</v>
          </cell>
          <cell r="J175">
            <v>22.022415910778612</v>
          </cell>
          <cell r="K175">
            <v>19.591416397575749</v>
          </cell>
          <cell r="L175">
            <v>17.862728126245031</v>
          </cell>
          <cell r="M175">
            <v>13.890011522817524</v>
          </cell>
          <cell r="N175">
            <v>12.477967609198807</v>
          </cell>
          <cell r="O175">
            <v>10.909031728250875</v>
          </cell>
        </row>
        <row r="176">
          <cell r="A176" t="str">
            <v>ITOT-SWHNGABR</v>
          </cell>
          <cell r="B176" t="str">
            <v>VAR_ncap</v>
          </cell>
          <cell r="C176" t="str">
            <v>-</v>
          </cell>
          <cell r="D176"/>
          <cell r="E176">
            <v>2.7113019556286101E-5</v>
          </cell>
          <cell r="F176">
            <v>5.3508648969540599E-5</v>
          </cell>
          <cell r="G176">
            <v>2.0759972292130901E-5</v>
          </cell>
          <cell r="H176">
            <v>0.83410792832948599</v>
          </cell>
          <cell r="I176">
            <v>0.37711579039266202</v>
          </cell>
          <cell r="J176">
            <v>3.90624228427197E-5</v>
          </cell>
          <cell r="K176">
            <v>0.75778864857828598</v>
          </cell>
          <cell r="L176">
            <v>0.15061013365947201</v>
          </cell>
          <cell r="M176">
            <v>2.6165906025734498E-4</v>
          </cell>
          <cell r="N176">
            <v>0.48242146872618402</v>
          </cell>
          <cell r="O176">
            <v>0.21138668090795701</v>
          </cell>
        </row>
        <row r="177">
          <cell r="A177" t="str">
            <v>ITOT-SWHNGABR</v>
          </cell>
          <cell r="B177" t="str">
            <v>VAR_cap</v>
          </cell>
          <cell r="C177" t="str">
            <v>-</v>
          </cell>
          <cell r="D177">
            <v>1.556581895256</v>
          </cell>
          <cell r="E177">
            <v>1.5565865101987408</v>
          </cell>
          <cell r="F177">
            <v>1.5566124229393985</v>
          </cell>
          <cell r="G177">
            <v>1.5565493679588056</v>
          </cell>
          <cell r="H177">
            <v>1.2377973972833973</v>
          </cell>
          <cell r="I177">
            <v>1.2112277368253643</v>
          </cell>
          <cell r="J177">
            <v>1.2111092932750982</v>
          </cell>
          <cell r="K177">
            <v>1.1348949743007759</v>
          </cell>
          <cell r="L177">
            <v>0.9663398266012414</v>
          </cell>
          <cell r="M177">
            <v>0.90860304342108833</v>
          </cell>
          <cell r="N177">
            <v>0.71969636439491325</v>
          </cell>
          <cell r="O177">
            <v>0.6940195545850304</v>
          </cell>
        </row>
        <row r="178">
          <cell r="A178" t="str">
            <v>RHNM-SHSOLBR</v>
          </cell>
          <cell r="B178" t="str">
            <v>VAR_fout</v>
          </cell>
          <cell r="C178" t="str">
            <v>RHNM-SHASOL</v>
          </cell>
          <cell r="D178"/>
          <cell r="E178">
            <v>2.154912613645343E-2</v>
          </cell>
          <cell r="F178">
            <v>2.2019324750404922E-2</v>
          </cell>
          <cell r="G178">
            <v>2.2398542455393269E-2</v>
          </cell>
          <cell r="H178">
            <v>9.7644995083178612E-3</v>
          </cell>
          <cell r="I178">
            <v>1.3012926974126826E-3</v>
          </cell>
          <cell r="J178">
            <v>1.280202835990052E-3</v>
          </cell>
          <cell r="K178">
            <v>3.2039377588146908E-3</v>
          </cell>
          <cell r="L178">
            <v>3.2501269257338124E-3</v>
          </cell>
          <cell r="M178">
            <v>1.5681775782419475E-2</v>
          </cell>
          <cell r="N178">
            <v>3.6141709576780409E-3</v>
          </cell>
          <cell r="O178">
            <v>3.6778324905554884E-3</v>
          </cell>
        </row>
        <row r="179">
          <cell r="A179" t="str">
            <v>RHNM-SHSOLBR</v>
          </cell>
          <cell r="B179" t="str">
            <v>VAR_fin</v>
          </cell>
          <cell r="C179" t="str">
            <v>SOL</v>
          </cell>
          <cell r="D179"/>
          <cell r="E179">
            <v>2.154912613645343E-2</v>
          </cell>
          <cell r="F179">
            <v>2.2019324750404922E-2</v>
          </cell>
          <cell r="G179">
            <v>2.2398542455393269E-2</v>
          </cell>
          <cell r="H179">
            <v>9.7644995083178612E-3</v>
          </cell>
          <cell r="I179">
            <v>1.3012926974126826E-3</v>
          </cell>
          <cell r="J179">
            <v>1.280202835990052E-3</v>
          </cell>
          <cell r="K179">
            <v>3.2039377588146908E-3</v>
          </cell>
          <cell r="L179">
            <v>3.2501269257338124E-3</v>
          </cell>
          <cell r="M179">
            <v>1.5681775782419475E-2</v>
          </cell>
          <cell r="N179">
            <v>3.6141709576780409E-3</v>
          </cell>
          <cell r="O179">
            <v>3.6778324905554884E-3</v>
          </cell>
        </row>
        <row r="180">
          <cell r="A180" t="str">
            <v>RHNM-SHSOLBR</v>
          </cell>
          <cell r="B180" t="str">
            <v>VAR_ncap</v>
          </cell>
          <cell r="C180" t="str">
            <v>-</v>
          </cell>
          <cell r="D180"/>
          <cell r="E180">
            <v>3.1606578926725699E-3</v>
          </cell>
          <cell r="F180">
            <v>1.5024090462110399E-4</v>
          </cell>
          <cell r="G180">
            <v>2.27948441167262E-5</v>
          </cell>
          <cell r="H180">
            <v>2.26517265347365E-5</v>
          </cell>
          <cell r="I180">
            <v>2.24772207300577E-4</v>
          </cell>
          <cell r="J180">
            <v>8.0458575466529305E-6</v>
          </cell>
          <cell r="K180">
            <v>6.9959313241592803E-4</v>
          </cell>
          <cell r="L180">
            <v>1.44789528309473E-5</v>
          </cell>
          <cell r="M180">
            <v>1.6328380995961501E-3</v>
          </cell>
          <cell r="N180">
            <v>2.15170874070784E-6</v>
          </cell>
          <cell r="O180">
            <v>1.8068913961466598E-5</v>
          </cell>
        </row>
        <row r="181">
          <cell r="A181" t="str">
            <v>RHNM-SHSOLBR</v>
          </cell>
          <cell r="B181" t="str">
            <v>VAR_cap</v>
          </cell>
          <cell r="C181" t="str">
            <v>-</v>
          </cell>
          <cell r="D181"/>
          <cell r="E181">
            <v>3.1606578926725699E-3</v>
          </cell>
          <cell r="F181">
            <v>3.3108987972936699E-3</v>
          </cell>
          <cell r="G181">
            <v>3.3336936414104E-3</v>
          </cell>
          <cell r="H181">
            <v>1.8150309468422401E-3</v>
          </cell>
          <cell r="I181">
            <v>2.9743226036127901E-4</v>
          </cell>
          <cell r="J181">
            <v>2.5546979138196699E-4</v>
          </cell>
          <cell r="K181">
            <v>9.3241119726315803E-4</v>
          </cell>
          <cell r="L181">
            <v>7.5558906970108505E-4</v>
          </cell>
          <cell r="M181">
            <v>2.34691018484303E-3</v>
          </cell>
          <cell r="N181">
            <v>1.7687920160122999E-3</v>
          </cell>
          <cell r="O181">
            <v>1.6530587222983301E-3</v>
          </cell>
        </row>
        <row r="182">
          <cell r="A182" t="str">
            <v>RHEM-SHPLTBR</v>
          </cell>
          <cell r="B182" t="str">
            <v>VAR_fout</v>
          </cell>
          <cell r="C182" t="str">
            <v>RHEM-SHPLT</v>
          </cell>
          <cell r="D182">
            <v>1.4011324115976129</v>
          </cell>
          <cell r="E182">
            <v>1.6077985547614102</v>
          </cell>
          <cell r="F182">
            <v>1.6078070536846507</v>
          </cell>
          <cell r="G182">
            <v>1.6077995748979172</v>
          </cell>
          <cell r="H182">
            <v>1.6078018756798338</v>
          </cell>
          <cell r="I182">
            <v>1.607802199155667</v>
          </cell>
          <cell r="J182">
            <v>1.607808045735333</v>
          </cell>
          <cell r="K182">
            <v>1.6078104700054321</v>
          </cell>
          <cell r="L182">
            <v>1.6078065486594086</v>
          </cell>
          <cell r="M182">
            <v>1.6078135450021502</v>
          </cell>
          <cell r="N182">
            <v>1.6078160507526396</v>
          </cell>
          <cell r="O182">
            <v>1.6078361229751013</v>
          </cell>
        </row>
        <row r="183">
          <cell r="A183" t="str">
            <v>RHEM-SHPLTBR</v>
          </cell>
          <cell r="B183" t="str">
            <v>VAR_fin</v>
          </cell>
          <cell r="C183" t="str">
            <v>RHEMPLTBRC</v>
          </cell>
          <cell r="D183">
            <v>1.4011324115976129</v>
          </cell>
          <cell r="E183">
            <v>1.6077985547614102</v>
          </cell>
          <cell r="F183">
            <v>1.6078070536846507</v>
          </cell>
          <cell r="G183">
            <v>1.6077995748979172</v>
          </cell>
          <cell r="H183">
            <v>1.6078018756798338</v>
          </cell>
          <cell r="I183">
            <v>1.607802199155667</v>
          </cell>
          <cell r="J183">
            <v>1.607808045735333</v>
          </cell>
          <cell r="K183">
            <v>1.6078104700054321</v>
          </cell>
          <cell r="L183">
            <v>1.6078065486594086</v>
          </cell>
          <cell r="M183">
            <v>1.6078135450021502</v>
          </cell>
          <cell r="N183">
            <v>1.6078160507526396</v>
          </cell>
          <cell r="O183">
            <v>1.6078361229751013</v>
          </cell>
        </row>
        <row r="184">
          <cell r="A184" t="str">
            <v>RHEM-SHPLTBR</v>
          </cell>
          <cell r="B184" t="str">
            <v>VAR_fin</v>
          </cell>
          <cell r="C184" t="str">
            <v>RPLT</v>
          </cell>
          <cell r="D184">
            <v>1.5568137906640167</v>
          </cell>
          <cell r="E184">
            <v>1.7864428386237898</v>
          </cell>
          <cell r="F184">
            <v>1.7864522818718365</v>
          </cell>
          <cell r="G184">
            <v>1.7864439721087979</v>
          </cell>
          <cell r="H184">
            <v>1.7864465285331479</v>
          </cell>
          <cell r="I184">
            <v>1.7864468879507385</v>
          </cell>
          <cell r="J184">
            <v>1.7864533841503722</v>
          </cell>
          <cell r="K184">
            <v>1.7864560777838128</v>
          </cell>
          <cell r="L184">
            <v>1.7864517207326771</v>
          </cell>
          <cell r="M184">
            <v>1.7864594944468346</v>
          </cell>
          <cell r="N184">
            <v>1.7864622786140421</v>
          </cell>
          <cell r="O184">
            <v>1.7864845810834451</v>
          </cell>
        </row>
        <row r="185">
          <cell r="A185" t="str">
            <v>RHEM-SHPLTBR</v>
          </cell>
          <cell r="B185" t="str">
            <v>VAR_ncap</v>
          </cell>
          <cell r="C185" t="str">
            <v>-</v>
          </cell>
          <cell r="D185">
            <v>8.4054059381235205E-5</v>
          </cell>
          <cell r="E185">
            <v>1.46405463725627E-2</v>
          </cell>
          <cell r="F185">
            <v>1.61341864713879E-6</v>
          </cell>
          <cell r="G185">
            <v>9.3671509125819701E-5</v>
          </cell>
          <cell r="H185">
            <v>8.0979067314029096E-2</v>
          </cell>
          <cell r="I185">
            <v>3.2671330627472801E-2</v>
          </cell>
          <cell r="J185">
            <v>7.7908185417072996E-4</v>
          </cell>
          <cell r="K185">
            <v>8.0633759170428004E-2</v>
          </cell>
          <cell r="L185">
            <v>2.7589670176039902E-2</v>
          </cell>
          <cell r="M185">
            <v>6.1409247393281897E-3</v>
          </cell>
          <cell r="N185">
            <v>7.4541042840449004E-2</v>
          </cell>
          <cell r="O185">
            <v>3.2980695159924502E-2</v>
          </cell>
        </row>
        <row r="186">
          <cell r="A186" t="str">
            <v>RHEM-SHPLTBR</v>
          </cell>
          <cell r="B186" t="str">
            <v>VAR_cap</v>
          </cell>
          <cell r="C186" t="str">
            <v>-</v>
          </cell>
          <cell r="D186">
            <v>9.9783110179661835E-2</v>
          </cell>
          <cell r="E186">
            <v>0.11442358131077658</v>
          </cell>
          <cell r="F186">
            <v>0.11442471934711415</v>
          </cell>
          <cell r="G186">
            <v>0.11451824284741527</v>
          </cell>
          <cell r="H186">
            <v>0.11445160578703271</v>
          </cell>
          <cell r="I186">
            <v>0.11372606985093497</v>
          </cell>
          <cell r="J186">
            <v>0.11442909948200268</v>
          </cell>
          <cell r="K186">
            <v>0.11408359694534984</v>
          </cell>
          <cell r="L186">
            <v>0.11391883340588198</v>
          </cell>
          <cell r="M186">
            <v>0.11436354520769423</v>
          </cell>
          <cell r="N186">
            <v>0.11380651968991543</v>
          </cell>
          <cell r="O186">
            <v>0.11366180165152806</v>
          </cell>
        </row>
        <row r="187">
          <cell r="A187" t="str">
            <v>RHEM-SHCONBR6</v>
          </cell>
          <cell r="B187" t="str">
            <v>VAR_fout</v>
          </cell>
          <cell r="C187" t="str">
            <v>RHEM-SHCON</v>
          </cell>
          <cell r="D187"/>
          <cell r="E187">
            <v>4.0245144749807431E-4</v>
          </cell>
          <cell r="F187">
            <v>3.9711853414345984E-4</v>
          </cell>
          <cell r="G187">
            <v>3.2781997914223656E-4</v>
          </cell>
          <cell r="H187">
            <v>3.6112443975689756E-4</v>
          </cell>
          <cell r="I187">
            <v>3.558878805225881E-4</v>
          </cell>
          <cell r="J187">
            <v>3.5050404355054817E-4</v>
          </cell>
          <cell r="K187">
            <v>2.6653611877376377E-4</v>
          </cell>
          <cell r="L187">
            <v>1.4562833616424536E-4</v>
          </cell>
          <cell r="M187">
            <v>1.8134069181840047E-4</v>
          </cell>
          <cell r="N187">
            <v>1.4988535092404481E-4</v>
          </cell>
          <cell r="O187">
            <v>2.6569162083070821E-4</v>
          </cell>
        </row>
        <row r="188">
          <cell r="A188" t="str">
            <v>RHEM-SHCONBR6</v>
          </cell>
          <cell r="B188" t="str">
            <v>VAR_fin</v>
          </cell>
          <cell r="C188" t="str">
            <v>CON</v>
          </cell>
          <cell r="D188"/>
          <cell r="E188">
            <v>4.0245144749807431E-4</v>
          </cell>
          <cell r="F188">
            <v>3.9711853414345984E-4</v>
          </cell>
          <cell r="G188">
            <v>3.2781997914223656E-4</v>
          </cell>
          <cell r="H188">
            <v>3.6112443975689756E-4</v>
          </cell>
          <cell r="I188">
            <v>3.558878805225881E-4</v>
          </cell>
          <cell r="J188">
            <v>3.5050404355054817E-4</v>
          </cell>
          <cell r="K188">
            <v>2.6653611877376377E-4</v>
          </cell>
          <cell r="L188">
            <v>1.4562833616424536E-4</v>
          </cell>
          <cell r="M188">
            <v>1.8134069181840047E-4</v>
          </cell>
          <cell r="N188">
            <v>1.4988535092404481E-4</v>
          </cell>
          <cell r="O188">
            <v>2.6569162083070821E-4</v>
          </cell>
        </row>
        <row r="189">
          <cell r="A189" t="str">
            <v>RHEM-SHCONBR6</v>
          </cell>
          <cell r="B189" t="str">
            <v>VAR_ncap</v>
          </cell>
          <cell r="C189" t="str">
            <v>-</v>
          </cell>
          <cell r="D189"/>
          <cell r="E189">
            <v>2.0631469551336001E-5</v>
          </cell>
          <cell r="F189">
            <v>1.5836179754945601E-8</v>
          </cell>
          <cell r="G189">
            <v>2.0347683906254202E-8</v>
          </cell>
          <cell r="H189">
            <v>2.32144701720755E-8</v>
          </cell>
          <cell r="I189">
            <v>2.7158914413386199E-8</v>
          </cell>
          <cell r="J189">
            <v>2.64410602649416E-8</v>
          </cell>
          <cell r="K189">
            <v>8.4761951385467297E-7</v>
          </cell>
          <cell r="L189">
            <v>7.3188476812701101E-6</v>
          </cell>
          <cell r="M189">
            <v>7.8472586627701201E-8</v>
          </cell>
          <cell r="N189">
            <v>2.5455875909853701E-7</v>
          </cell>
          <cell r="O189">
            <v>7.7793780114631203E-7</v>
          </cell>
        </row>
        <row r="190">
          <cell r="A190" t="str">
            <v>RHEM-SHCONBR6</v>
          </cell>
          <cell r="B190" t="str">
            <v>VAR_cap</v>
          </cell>
          <cell r="C190" t="str">
            <v>-</v>
          </cell>
          <cell r="D190"/>
          <cell r="E190">
            <v>2.0631469551336001E-5</v>
          </cell>
          <cell r="F190">
            <v>2.06473057310909E-5</v>
          </cell>
          <cell r="G190">
            <v>2.0667653414997199E-5</v>
          </cell>
          <cell r="H190">
            <v>2.0690867885169201E-5</v>
          </cell>
          <cell r="I190">
            <v>2.07180267995826E-5</v>
          </cell>
          <cell r="J190">
            <v>2.0744467859847601E-5</v>
          </cell>
          <cell r="K190">
            <v>1.4884029852446001E-5</v>
          </cell>
          <cell r="L190">
            <v>8.2629772128511998E-6</v>
          </cell>
          <cell r="M190">
            <v>8.3217542266028904E-6</v>
          </cell>
          <cell r="N190">
            <v>8.5529585799036494E-6</v>
          </cell>
          <cell r="O190">
            <v>9.3038774022622803E-6</v>
          </cell>
        </row>
        <row r="191">
          <cell r="A191" t="str">
            <v>RHEM-SHCONBR7</v>
          </cell>
          <cell r="B191" t="str">
            <v>VAR_fout</v>
          </cell>
          <cell r="C191" t="str">
            <v>RHEM-SHCON</v>
          </cell>
          <cell r="D191"/>
          <cell r="E191">
            <v>1.9128623841801177E-4</v>
          </cell>
          <cell r="F191">
            <v>1.86401677112985E-4</v>
          </cell>
          <cell r="G191">
            <v>1.1694454626614772E-4</v>
          </cell>
          <cell r="H191">
            <v>1.5031323714214659E-4</v>
          </cell>
          <cell r="I191">
            <v>1.4501898016306487E-4</v>
          </cell>
          <cell r="J191">
            <v>1.3985475055877205E-4</v>
          </cell>
          <cell r="K191">
            <v>1.5354207714990504E-4</v>
          </cell>
          <cell r="L191">
            <v>9.947459320926905E-5</v>
          </cell>
          <cell r="M191">
            <v>1.3531407232392597E-4</v>
          </cell>
          <cell r="N191">
            <v>1.0425896672281855E-4</v>
          </cell>
          <cell r="O191">
            <v>2.1833877758774888E-4</v>
          </cell>
        </row>
        <row r="192">
          <cell r="A192" t="str">
            <v>RHEM-SHCONBR7</v>
          </cell>
          <cell r="B192" t="str">
            <v>VAR_fin</v>
          </cell>
          <cell r="C192" t="str">
            <v>CON</v>
          </cell>
          <cell r="D192"/>
          <cell r="E192">
            <v>1.9128623841801177E-4</v>
          </cell>
          <cell r="F192">
            <v>1.86401677112985E-4</v>
          </cell>
          <cell r="G192">
            <v>1.1694454626614772E-4</v>
          </cell>
          <cell r="H192">
            <v>1.5031323714214659E-4</v>
          </cell>
          <cell r="I192">
            <v>1.4501898016306487E-4</v>
          </cell>
          <cell r="J192">
            <v>1.3985475055877205E-4</v>
          </cell>
          <cell r="K192">
            <v>1.5354207714990504E-4</v>
          </cell>
          <cell r="L192">
            <v>9.947459320926905E-5</v>
          </cell>
          <cell r="M192">
            <v>1.3531407232392597E-4</v>
          </cell>
          <cell r="N192">
            <v>1.0425896672281855E-4</v>
          </cell>
          <cell r="O192">
            <v>2.1833877758774888E-4</v>
          </cell>
        </row>
        <row r="193">
          <cell r="A193" t="str">
            <v>RHEM-SHCONBR7</v>
          </cell>
          <cell r="B193" t="str">
            <v>VAR_ncap</v>
          </cell>
          <cell r="C193" t="str">
            <v>-</v>
          </cell>
          <cell r="D193"/>
          <cell r="E193">
            <v>5.7200044677557597E-6</v>
          </cell>
          <cell r="F193">
            <v>1.70352860491216E-8</v>
          </cell>
          <cell r="G193">
            <v>2.2426021171363899E-8</v>
          </cell>
          <cell r="H193">
            <v>2.4875579806026202E-8</v>
          </cell>
          <cell r="I193">
            <v>2.7641014991916001E-8</v>
          </cell>
          <cell r="J193">
            <v>2.7309357002318999E-8</v>
          </cell>
          <cell r="K193">
            <v>2.8997724078508498E-6</v>
          </cell>
          <cell r="L193">
            <v>1.9873812122617199E-6</v>
          </cell>
          <cell r="M193">
            <v>8.6606671582597904E-8</v>
          </cell>
          <cell r="N193">
            <v>2.7679686415638901E-7</v>
          </cell>
          <cell r="O193">
            <v>6.3535162171617095E-7</v>
          </cell>
        </row>
        <row r="194">
          <cell r="A194" t="str">
            <v>RHEM-SHCONBR7</v>
          </cell>
          <cell r="B194" t="str">
            <v>VAR_cap</v>
          </cell>
          <cell r="C194" t="str">
            <v>-</v>
          </cell>
          <cell r="D194"/>
          <cell r="E194">
            <v>5.7200044677557597E-6</v>
          </cell>
          <cell r="F194">
            <v>5.7370397538048896E-6</v>
          </cell>
          <cell r="G194">
            <v>5.7594657749762497E-6</v>
          </cell>
          <cell r="H194">
            <v>5.7843413547822804E-6</v>
          </cell>
          <cell r="I194">
            <v>5.8119823697741901E-6</v>
          </cell>
          <cell r="J194">
            <v>5.8392917267765098E-6</v>
          </cell>
          <cell r="K194">
            <v>6.8792780977639E-6</v>
          </cell>
          <cell r="L194">
            <v>4.9885598587241097E-6</v>
          </cell>
          <cell r="M194">
            <v>5.0535862434954299E-6</v>
          </cell>
          <cell r="N194">
            <v>5.3055863383222197E-6</v>
          </cell>
          <cell r="O194">
            <v>5.9132181345700501E-6</v>
          </cell>
        </row>
        <row r="195">
          <cell r="A195" t="str">
            <v>RHEM-SHCONBR8</v>
          </cell>
          <cell r="B195" t="str">
            <v>VAR_fout</v>
          </cell>
          <cell r="C195" t="str">
            <v>RHEM-SHCON</v>
          </cell>
          <cell r="D195"/>
          <cell r="E195">
            <v>1.1084901873309305E-4</v>
          </cell>
          <cell r="F195">
            <v>1.0629585785337423E-4</v>
          </cell>
          <cell r="G195">
            <v>3.7097925583096686E-5</v>
          </cell>
          <cell r="H195">
            <v>7.0342284132869466E-5</v>
          </cell>
          <cell r="I195">
            <v>6.4886124840276139E-5</v>
          </cell>
          <cell r="J195">
            <v>5.9839194704631399E-5</v>
          </cell>
          <cell r="K195">
            <v>7.4017411336263912E-5</v>
          </cell>
          <cell r="L195">
            <v>4.7496670236025561E-5</v>
          </cell>
          <cell r="M195">
            <v>8.3074355300828578E-5</v>
          </cell>
          <cell r="N195">
            <v>5.0623520121520716E-5</v>
          </cell>
          <cell r="O195">
            <v>1.588242097141168E-4</v>
          </cell>
        </row>
        <row r="196">
          <cell r="A196" t="str">
            <v>RHEM-SHCONBR8</v>
          </cell>
          <cell r="B196" t="str">
            <v>VAR_fin</v>
          </cell>
          <cell r="C196" t="str">
            <v>CON</v>
          </cell>
          <cell r="D196"/>
          <cell r="E196">
            <v>1.1084901873309305E-4</v>
          </cell>
          <cell r="F196">
            <v>1.0629585785337423E-4</v>
          </cell>
          <cell r="G196">
            <v>3.7097925583096686E-5</v>
          </cell>
          <cell r="H196">
            <v>7.0342284132869466E-5</v>
          </cell>
          <cell r="I196">
            <v>6.4886124840276139E-5</v>
          </cell>
          <cell r="J196">
            <v>5.9839194704631399E-5</v>
          </cell>
          <cell r="K196">
            <v>7.4017411336263912E-5</v>
          </cell>
          <cell r="L196">
            <v>4.7496670236025561E-5</v>
          </cell>
          <cell r="M196">
            <v>8.3074355300828578E-5</v>
          </cell>
          <cell r="N196">
            <v>5.0623520121520716E-5</v>
          </cell>
          <cell r="O196">
            <v>1.588242097141168E-4</v>
          </cell>
        </row>
        <row r="197">
          <cell r="A197" t="str">
            <v>RHEM-SHCONBR8</v>
          </cell>
          <cell r="B197" t="str">
            <v>VAR_ncap</v>
          </cell>
          <cell r="C197" t="str">
            <v>-</v>
          </cell>
          <cell r="D197"/>
          <cell r="E197">
            <v>3.9385690574945702E-8</v>
          </cell>
          <cell r="F197">
            <v>2.14838729720059E-8</v>
          </cell>
          <cell r="G197">
            <v>4.1133962222344101E-8</v>
          </cell>
          <cell r="H197">
            <v>1.8364314781773799E-8</v>
          </cell>
          <cell r="I197">
            <v>1.8580855832447301E-8</v>
          </cell>
          <cell r="J197">
            <v>2.5145392450521602E-8</v>
          </cell>
          <cell r="K197">
            <v>1.0834048084549E-6</v>
          </cell>
          <cell r="L197">
            <v>1.14673229016468E-7</v>
          </cell>
          <cell r="M197">
            <v>8.1520696757367497E-8</v>
          </cell>
          <cell r="N197">
            <v>1.57286530872661E-7</v>
          </cell>
          <cell r="O197">
            <v>1.84047240936602E-7</v>
          </cell>
        </row>
        <row r="198">
          <cell r="A198" t="str">
            <v>RHEM-SHCONBR8</v>
          </cell>
          <cell r="B198" t="str">
            <v>VAR_cap</v>
          </cell>
          <cell r="C198" t="str">
            <v>-</v>
          </cell>
          <cell r="D198"/>
          <cell r="E198">
            <v>3.9385690574945702E-8</v>
          </cell>
          <cell r="F198">
            <v>6.0869563546951599E-8</v>
          </cell>
          <cell r="G198">
            <v>1.02003525769296E-7</v>
          </cell>
          <cell r="H198">
            <v>1.2036784055107001E-7</v>
          </cell>
          <cell r="I198">
            <v>1.38948696383517E-7</v>
          </cell>
          <cell r="J198">
            <v>1.6409408883403799E-7</v>
          </cell>
          <cell r="K198">
            <v>1.2346931455108699E-6</v>
          </cell>
          <cell r="L198">
            <v>1.29678784237449E-6</v>
          </cell>
          <cell r="M198">
            <v>1.34168929729348E-6</v>
          </cell>
          <cell r="N198">
            <v>1.48095540371925E-6</v>
          </cell>
          <cell r="O198">
            <v>1.64607789848852E-6</v>
          </cell>
          <cell r="P198"/>
          <cell r="Q198"/>
          <cell r="R198"/>
        </row>
        <row r="199">
          <cell r="A199" t="str">
            <v>RHES-SHELCHP</v>
          </cell>
          <cell r="B199" t="str">
            <v>VAR_fout</v>
          </cell>
          <cell r="C199" t="str">
            <v>RHES-SHAELCH</v>
          </cell>
          <cell r="D199">
            <v>9.1578270642844792</v>
          </cell>
          <cell r="E199">
            <v>10.275920980012279</v>
          </cell>
          <cell r="F199">
            <v>10.27590900083479</v>
          </cell>
          <cell r="G199">
            <v>10.275910708252891</v>
          </cell>
          <cell r="H199">
            <v>10.275918289746981</v>
          </cell>
          <cell r="I199">
            <v>10.275926700995209</v>
          </cell>
          <cell r="J199">
            <v>10.275944259938147</v>
          </cell>
          <cell r="K199">
            <v>10.275977670329187</v>
          </cell>
          <cell r="L199">
            <v>10.275961720583364</v>
          </cell>
          <cell r="M199">
            <v>10.27600336123888</v>
          </cell>
          <cell r="N199">
            <v>10.276009847757276</v>
          </cell>
          <cell r="O199">
            <v>10.276088435071399</v>
          </cell>
        </row>
        <row r="200">
          <cell r="A200" t="str">
            <v>RHES-SHELCHP</v>
          </cell>
          <cell r="B200" t="str">
            <v>VAR_fin</v>
          </cell>
          <cell r="C200" t="str">
            <v>RHES_ELC</v>
          </cell>
          <cell r="D200">
            <v>2.8618209092267288</v>
          </cell>
          <cell r="E200">
            <v>3.1585822684463949</v>
          </cell>
          <cell r="F200">
            <v>3.082772700250437</v>
          </cell>
          <cell r="G200">
            <v>2.9642050119960239</v>
          </cell>
          <cell r="H200">
            <v>2.8676981273712472</v>
          </cell>
          <cell r="I200">
            <v>2.7772774867554628</v>
          </cell>
          <cell r="J200">
            <v>2.704195857878462</v>
          </cell>
          <cell r="K200">
            <v>2.6348660693151769</v>
          </cell>
          <cell r="L200">
            <v>2.6348619796367605</v>
          </cell>
          <cell r="M200">
            <v>2.634872656727917</v>
          </cell>
          <cell r="N200">
            <v>2.6348743199377607</v>
          </cell>
          <cell r="O200">
            <v>2.6348944705311288</v>
          </cell>
          <cell r="Q200"/>
        </row>
        <row r="201">
          <cell r="A201" t="str">
            <v>RHES-SHELCHP</v>
          </cell>
          <cell r="B201" t="str">
            <v>VAR_fin</v>
          </cell>
          <cell r="C201" t="str">
            <v>RHESELCHPC</v>
          </cell>
          <cell r="D201">
            <v>9.1578270642844792</v>
          </cell>
          <cell r="E201">
            <v>10.275920980012279</v>
          </cell>
          <cell r="F201">
            <v>10.27590900083479</v>
          </cell>
          <cell r="G201">
            <v>10.275910708252891</v>
          </cell>
          <cell r="H201">
            <v>10.275918289746981</v>
          </cell>
          <cell r="I201">
            <v>10.275926700995209</v>
          </cell>
          <cell r="J201">
            <v>10.275944259938147</v>
          </cell>
          <cell r="K201">
            <v>10.275977670329187</v>
          </cell>
          <cell r="L201">
            <v>10.275961720583364</v>
          </cell>
          <cell r="M201">
            <v>10.27600336123888</v>
          </cell>
          <cell r="N201">
            <v>10.276009847757276</v>
          </cell>
          <cell r="O201">
            <v>10.276088435071399</v>
          </cell>
          <cell r="P201"/>
          <cell r="Q201"/>
          <cell r="R201"/>
          <cell r="S201"/>
        </row>
        <row r="202">
          <cell r="A202" t="str">
            <v>RHES-SHELCHP</v>
          </cell>
          <cell r="B202" t="str">
            <v>VAR_ncap</v>
          </cell>
          <cell r="C202" t="str">
            <v>-</v>
          </cell>
          <cell r="D202">
            <v>1.18953947417389E-7</v>
          </cell>
          <cell r="E202">
            <v>9.0328525676097504E-2</v>
          </cell>
          <cell r="F202">
            <v>1.7080855472023199E-5</v>
          </cell>
          <cell r="G202">
            <v>3.6276256229357001E-6</v>
          </cell>
          <cell r="H202">
            <v>0.59203510899327305</v>
          </cell>
          <cell r="I202">
            <v>0.23814743587907899</v>
          </cell>
          <cell r="J202">
            <v>3.71075209909405E-6</v>
          </cell>
          <cell r="K202">
            <v>0.59206049323329102</v>
          </cell>
          <cell r="L202">
            <v>0.20154305767471301</v>
          </cell>
          <cell r="M202">
            <v>3.6607327860725902E-2</v>
          </cell>
          <cell r="N202">
            <v>0.551089151231415</v>
          </cell>
          <cell r="O202">
            <v>0.24256300505573899</v>
          </cell>
        </row>
        <row r="203">
          <cell r="A203" t="str">
            <v>RHES-SHELCHP</v>
          </cell>
          <cell r="B203" t="str">
            <v>VAR_cap</v>
          </cell>
          <cell r="C203" t="str">
            <v>-</v>
          </cell>
          <cell r="D203">
            <v>0.73983804687931243</v>
          </cell>
          <cell r="E203">
            <v>0.8301665188520001</v>
          </cell>
          <cell r="F203">
            <v>0.83018337446575119</v>
          </cell>
          <cell r="G203">
            <v>0.83018683972860341</v>
          </cell>
          <cell r="H203">
            <v>0.83019998011244378</v>
          </cell>
          <cell r="I203">
            <v>0.83018867496076321</v>
          </cell>
          <cell r="J203">
            <v>0.8301860003139061</v>
          </cell>
          <cell r="K203">
            <v>0.83021121853484414</v>
          </cell>
          <cell r="L203">
            <v>0.83019869262843227</v>
          </cell>
          <cell r="M203">
            <v>0.83021044102376895</v>
          </cell>
          <cell r="N203">
            <v>0.83021403002275851</v>
          </cell>
          <cell r="O203">
            <v>0.83025905184167781</v>
          </cell>
        </row>
        <row r="204">
          <cell r="A204" t="str">
            <v>RHSA-WHELCHP</v>
          </cell>
          <cell r="B204" t="str">
            <v>VAR_fout</v>
          </cell>
          <cell r="C204" t="str">
            <v>RHSA-WHAELCH</v>
          </cell>
          <cell r="D204">
            <v>3.2399142352078472</v>
          </cell>
          <cell r="E204">
            <v>3.6354722234899124</v>
          </cell>
          <cell r="F204">
            <v>4.9379553686363273</v>
          </cell>
          <cell r="G204">
            <v>5.9919627119306629</v>
          </cell>
          <cell r="H204">
            <v>7.7815842351245692</v>
          </cell>
          <cell r="I204">
            <v>8.0425099912653177</v>
          </cell>
          <cell r="J204">
            <v>8.3812704580518655</v>
          </cell>
          <cell r="K204">
            <v>8.383948340631429</v>
          </cell>
          <cell r="L204">
            <v>10.439043627819972</v>
          </cell>
          <cell r="M204">
            <v>10.592436139390781</v>
          </cell>
          <cell r="N204">
            <v>9.0947101456988229</v>
          </cell>
          <cell r="O204">
            <v>10.484219624127457</v>
          </cell>
        </row>
        <row r="205">
          <cell r="A205" t="str">
            <v>RHSA-WHELCHP</v>
          </cell>
          <cell r="B205" t="str">
            <v>VAR_fin</v>
          </cell>
          <cell r="C205" t="str">
            <v>RHSA_ELC</v>
          </cell>
          <cell r="D205">
            <v>1.1489057571659036</v>
          </cell>
          <cell r="E205">
            <v>1.2864374463870876</v>
          </cell>
          <cell r="F205">
            <v>1.7417831988135202</v>
          </cell>
          <cell r="G205">
            <v>2.1024430568177772</v>
          </cell>
          <cell r="H205">
            <v>2.6558307969708412</v>
          </cell>
          <cell r="I205">
            <v>2.671930229656251</v>
          </cell>
          <cell r="J205">
            <v>2.7345091217134976</v>
          </cell>
          <cell r="K205">
            <v>2.6871629296895589</v>
          </cell>
          <cell r="L205">
            <v>3.3458473166089635</v>
          </cell>
          <cell r="M205">
            <v>3.3950115831380709</v>
          </cell>
          <cell r="N205">
            <v>2.914971200544493</v>
          </cell>
          <cell r="O205">
            <v>3.3603268026049551</v>
          </cell>
        </row>
        <row r="206">
          <cell r="A206" t="str">
            <v>RHSA-WHELCHP</v>
          </cell>
          <cell r="B206" t="str">
            <v>VAR_ncap</v>
          </cell>
          <cell r="C206" t="str">
            <v>-</v>
          </cell>
          <cell r="D206">
            <v>2.0717366599986299E-6</v>
          </cell>
          <cell r="E206">
            <v>3.2774074185810798E-2</v>
          </cell>
          <cell r="F206">
            <v>9.1374195519527399E-2</v>
          </cell>
          <cell r="G206">
            <v>7.2054922764053494E-2</v>
          </cell>
          <cell r="H206">
            <v>0.29440507219530299</v>
          </cell>
          <cell r="I206">
            <v>0.17532400132732001</v>
          </cell>
          <cell r="J206">
            <v>9.9147404674745296E-2</v>
          </cell>
          <cell r="K206">
            <v>0.296695453050004</v>
          </cell>
          <cell r="L206">
            <v>0.30252597519083901</v>
          </cell>
          <cell r="M206">
            <v>0.122109986550428</v>
          </cell>
          <cell r="N206">
            <v>0.23948129396202</v>
          </cell>
          <cell r="O206">
            <v>0.34915480944064198</v>
          </cell>
        </row>
        <row r="207">
          <cell r="A207" t="str">
            <v>RHSA-WHELCHP</v>
          </cell>
          <cell r="B207" t="str">
            <v>VAR_cap</v>
          </cell>
          <cell r="C207" t="str">
            <v>-</v>
          </cell>
          <cell r="D207">
            <v>0.213354734155901</v>
          </cell>
          <cell r="E207">
            <v>0.24612865889786453</v>
          </cell>
          <cell r="F207">
            <v>0.33750261071604171</v>
          </cell>
          <cell r="G207">
            <v>0.40955740910451</v>
          </cell>
          <cell r="H207">
            <v>0.52995503925321297</v>
          </cell>
          <cell r="I207">
            <v>0.54726359167975958</v>
          </cell>
          <cell r="J207">
            <v>0.56887615191227126</v>
          </cell>
          <cell r="K207">
            <v>0.57116622848309284</v>
          </cell>
          <cell r="L207">
            <v>0.71217090131164973</v>
          </cell>
          <cell r="M207">
            <v>0.72133068614391349</v>
          </cell>
          <cell r="N207">
            <v>0.62076282419705009</v>
          </cell>
          <cell r="O207">
            <v>0.71074545528554778</v>
          </cell>
        </row>
        <row r="208">
          <cell r="A208" t="str">
            <v>D-ITOT_LTH_CHP</v>
          </cell>
          <cell r="B208" t="str">
            <v>VAR_fout</v>
          </cell>
          <cell r="C208" t="str">
            <v>ITOT_LTH_CHP_ON</v>
          </cell>
          <cell r="D208">
            <v>5.6086646025070923</v>
          </cell>
          <cell r="E208">
            <v>6.0095340130196915</v>
          </cell>
          <cell r="F208">
            <v>6.13010163596193</v>
          </cell>
          <cell r="G208">
            <v>9.251701289744048</v>
          </cell>
          <cell r="H208">
            <v>9.1793044420717766</v>
          </cell>
          <cell r="I208">
            <v>8.1754105716422387</v>
          </cell>
          <cell r="J208">
            <v>9.8560566488221948</v>
          </cell>
          <cell r="K208">
            <v>11.879313090338886</v>
          </cell>
          <cell r="L208">
            <v>12.806414589119568</v>
          </cell>
          <cell r="M208">
            <v>12.794398669439497</v>
          </cell>
          <cell r="N208">
            <v>12.750721396682561</v>
          </cell>
          <cell r="O208">
            <v>12.891292147610679</v>
          </cell>
        </row>
        <row r="209">
          <cell r="A209" t="str">
            <v>D-ITOT_LTH_CHP</v>
          </cell>
          <cell r="B209" t="str">
            <v>VAR_fout</v>
          </cell>
          <cell r="C209" t="str">
            <v>LTH</v>
          </cell>
          <cell r="D209"/>
          <cell r="E209">
            <v>1.2520311044603378E-3</v>
          </cell>
          <cell r="F209">
            <v>3.5477630927492811E-3</v>
          </cell>
          <cell r="G209">
            <v>1.1095635708049743E-2</v>
          </cell>
          <cell r="H209">
            <v>8.8693525549389286E-3</v>
          </cell>
          <cell r="I209">
            <v>1.2231134143680399E-2</v>
          </cell>
          <cell r="J209">
            <v>2.1181527433389698E-2</v>
          </cell>
          <cell r="K209">
            <v>2.8970515874726203E-2</v>
          </cell>
          <cell r="L209">
            <v>2.2485658712629912E-2</v>
          </cell>
          <cell r="M209">
            <v>4.3257813985196368E-2</v>
          </cell>
          <cell r="N209">
            <v>4.7072544501832611E-2</v>
          </cell>
          <cell r="O209">
            <v>3.4913502978093786E-2</v>
          </cell>
        </row>
        <row r="210">
          <cell r="A210" t="str">
            <v>D-ITOT_LTH_CHP</v>
          </cell>
          <cell r="B210" t="str">
            <v>VAR_fin</v>
          </cell>
          <cell r="C210" t="str">
            <v>ITOT_LTH_CHP</v>
          </cell>
          <cell r="D210">
            <v>5.6086646025070923</v>
          </cell>
          <cell r="E210">
            <v>6.0107860441241545</v>
          </cell>
          <cell r="F210">
            <v>6.1336493990546783</v>
          </cell>
          <cell r="G210">
            <v>9.2627969254521059</v>
          </cell>
          <cell r="H210">
            <v>9.1881737946267279</v>
          </cell>
          <cell r="I210">
            <v>8.1876417057859214</v>
          </cell>
          <cell r="J210">
            <v>9.8772381762555863</v>
          </cell>
          <cell r="K210">
            <v>11.908283606213605</v>
          </cell>
          <cell r="L210">
            <v>12.828900247832202</v>
          </cell>
          <cell r="M210">
            <v>12.837656483424695</v>
          </cell>
          <cell r="N210">
            <v>12.797793941184382</v>
          </cell>
          <cell r="O210">
            <v>12.926205650588768</v>
          </cell>
        </row>
        <row r="211">
          <cell r="A211" t="str">
            <v>RHEM-SHCONBR9</v>
          </cell>
          <cell r="B211" t="str">
            <v>VAR_fout</v>
          </cell>
          <cell r="C211" t="str">
            <v>RHEM-SHCON</v>
          </cell>
          <cell r="D211"/>
          <cell r="E211">
            <v>1.1032677128656263E-4</v>
          </cell>
          <cell r="F211">
            <v>1.0546306270889682E-4</v>
          </cell>
          <cell r="G211">
            <v>3.5754290629683666E-5</v>
          </cell>
          <cell r="H211">
            <v>6.8790426734524829E-5</v>
          </cell>
          <cell r="I211">
            <v>6.3148890999774205E-5</v>
          </cell>
          <cell r="J211">
            <v>5.7830091425754649E-5</v>
          </cell>
          <cell r="K211">
            <v>5.6986115585405159E-5</v>
          </cell>
          <cell r="L211">
            <v>2.9706303790480056E-5</v>
          </cell>
          <cell r="M211">
            <v>6.4733441292300734E-5</v>
          </cell>
          <cell r="N211">
            <v>3.0709833417063423E-5</v>
          </cell>
          <cell r="O211">
            <v>1.3716404746761581E-4</v>
          </cell>
        </row>
        <row r="212">
          <cell r="A212" t="str">
            <v>RHEM-SHCONBR9</v>
          </cell>
          <cell r="B212" t="str">
            <v>VAR_fin</v>
          </cell>
          <cell r="C212" t="str">
            <v>CON</v>
          </cell>
          <cell r="D212"/>
          <cell r="E212">
            <v>1.1032677128656263E-4</v>
          </cell>
          <cell r="F212">
            <v>1.0546306270889682E-4</v>
          </cell>
          <cell r="G212">
            <v>3.5754290629683666E-5</v>
          </cell>
          <cell r="H212">
            <v>6.8790426734524829E-5</v>
          </cell>
          <cell r="I212">
            <v>6.3148890999774205E-5</v>
          </cell>
          <cell r="J212">
            <v>5.7830091425754649E-5</v>
          </cell>
          <cell r="K212">
            <v>5.6986115585405159E-5</v>
          </cell>
          <cell r="L212">
            <v>2.9706303790480056E-5</v>
          </cell>
          <cell r="M212">
            <v>6.4733441292300734E-5</v>
          </cell>
          <cell r="N212">
            <v>3.0709833417063423E-5</v>
          </cell>
          <cell r="O212">
            <v>1.3716404746761581E-4</v>
          </cell>
        </row>
        <row r="213">
          <cell r="A213" t="str">
            <v>RHEM-SHCONBR9</v>
          </cell>
          <cell r="B213" t="str">
            <v>VAR_ncap</v>
          </cell>
          <cell r="C213" t="str">
            <v>-</v>
          </cell>
          <cell r="D213"/>
          <cell r="E213"/>
          <cell r="F213"/>
          <cell r="G213"/>
          <cell r="H213"/>
          <cell r="I213"/>
          <cell r="J213"/>
          <cell r="L213">
            <v>1.0037054038264099E-8</v>
          </cell>
          <cell r="M213">
            <v>1.39029937030496E-8</v>
          </cell>
          <cell r="N213">
            <v>2.1952612373589401E-8</v>
          </cell>
          <cell r="O213">
            <v>3.2976189514978397E-8</v>
          </cell>
        </row>
        <row r="214">
          <cell r="A214" t="str">
            <v>RHEM-SHCONBR9</v>
          </cell>
          <cell r="B214" t="str">
            <v>VAR_cap</v>
          </cell>
          <cell r="C214" t="str">
            <v>-</v>
          </cell>
          <cell r="D214"/>
          <cell r="E214"/>
          <cell r="F214"/>
          <cell r="G214"/>
          <cell r="H214"/>
          <cell r="I214"/>
          <cell r="J214"/>
          <cell r="K214"/>
          <cell r="L214">
            <v>1.0037054038264099E-8</v>
          </cell>
          <cell r="M214">
            <v>2.39400477413136E-8</v>
          </cell>
          <cell r="N214">
            <v>4.58926601149031E-8</v>
          </cell>
          <cell r="O214">
            <v>7.8868849629881504E-8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D215">
            <v>4.2612378442644241</v>
          </cell>
          <cell r="E215">
            <v>4.6176640253936831</v>
          </cell>
          <cell r="F215">
            <v>4.8265870501429351</v>
          </cell>
          <cell r="G215">
            <v>5.199858034811605</v>
          </cell>
          <cell r="H215">
            <v>5.5949995337895864</v>
          </cell>
          <cell r="I215">
            <v>6.0231552156228423</v>
          </cell>
          <cell r="J215">
            <v>6.4750335694365573</v>
          </cell>
          <cell r="K215">
            <v>6.9824876509807545</v>
          </cell>
          <cell r="L215">
            <v>7.5306887294977747</v>
          </cell>
          <cell r="M215">
            <v>8.0724264166087316</v>
          </cell>
          <cell r="N215">
            <v>8.7022171672210096</v>
          </cell>
          <cell r="O215">
            <v>9.3291555224225213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D216">
            <v>4.2612378442644241</v>
          </cell>
          <cell r="E216">
            <v>4.6176640253936831</v>
          </cell>
          <cell r="F216">
            <v>4.8265870501429351</v>
          </cell>
          <cell r="G216">
            <v>5.199858034811605</v>
          </cell>
          <cell r="H216">
            <v>5.5949995337895864</v>
          </cell>
          <cell r="I216">
            <v>6.0231552156228423</v>
          </cell>
          <cell r="J216">
            <v>6.4750335694365573</v>
          </cell>
          <cell r="K216">
            <v>6.9824876509807545</v>
          </cell>
          <cell r="L216">
            <v>7.5306887294977747</v>
          </cell>
          <cell r="M216">
            <v>8.0724264166087316</v>
          </cell>
          <cell r="N216">
            <v>8.7022171672210096</v>
          </cell>
          <cell r="O216">
            <v>9.3291555224225213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D217">
            <v>1.3316368263326317</v>
          </cell>
          <cell r="E217">
            <v>1.4252049461091612</v>
          </cell>
          <cell r="F217">
            <v>1.462602136406949</v>
          </cell>
          <cell r="G217">
            <v>1.5293700102387089</v>
          </cell>
          <cell r="H217">
            <v>1.5985712953684519</v>
          </cell>
          <cell r="I217">
            <v>1.6730986710063445</v>
          </cell>
          <cell r="J217">
            <v>1.7500090728206918</v>
          </cell>
          <cell r="K217">
            <v>1.8374967502580923</v>
          </cell>
          <cell r="L217">
            <v>1.9817601919730976</v>
          </cell>
          <cell r="M217">
            <v>2.1243227412128256</v>
          </cell>
          <cell r="N217">
            <v>2.2900571492686899</v>
          </cell>
          <cell r="O217">
            <v>2.4550409269532913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D218">
            <v>9.7445219762524798E-8</v>
          </cell>
          <cell r="E218">
            <v>1.47444933175231E-7</v>
          </cell>
          <cell r="F218">
            <v>2.6419110316598697E-7</v>
          </cell>
          <cell r="G218">
            <v>6.6521141514651299E-7</v>
          </cell>
          <cell r="H218">
            <v>0.32065518827197997</v>
          </cell>
          <cell r="I218">
            <v>0.14496037706277701</v>
          </cell>
          <cell r="J218">
            <v>3.4712296515414597E-2</v>
          </cell>
          <cell r="K218">
            <v>0.35986520368423403</v>
          </cell>
          <cell r="L218">
            <v>0.169646421772122</v>
          </cell>
          <cell r="M218">
            <v>9.4246869099608305E-2</v>
          </cell>
          <cell r="N218">
            <v>0.39857159478981502</v>
          </cell>
          <cell r="O218">
            <v>0.228049060465223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D219">
            <v>0.43061741089900779</v>
          </cell>
          <cell r="E219">
            <v>0.43061508712656116</v>
          </cell>
          <cell r="F219">
            <v>0.43061415680898041</v>
          </cell>
          <cell r="G219">
            <v>0.43061445166560086</v>
          </cell>
          <cell r="H219">
            <v>0.43232860569680215</v>
          </cell>
          <cell r="I219">
            <v>0.46561536126267739</v>
          </cell>
          <cell r="J219">
            <v>0.50032732413432857</v>
          </cell>
          <cell r="K219">
            <v>0.53953678839017638</v>
          </cell>
          <cell r="L219">
            <v>0.58189732103733771</v>
          </cell>
          <cell r="M219">
            <v>0.62375714346663802</v>
          </cell>
          <cell r="N219">
            <v>0.672423027471307</v>
          </cell>
          <cell r="O219">
            <v>0.7208662760379192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D220">
            <v>6.7728479071546693E-2</v>
          </cell>
          <cell r="E220">
            <v>0.16950993856979849</v>
          </cell>
          <cell r="F220">
            <v>1.9282862579715436E-3</v>
          </cell>
          <cell r="G220">
            <v>0.16738344802263755</v>
          </cell>
          <cell r="H220">
            <v>0.1651265062659231</v>
          </cell>
          <cell r="I220">
            <v>1.78349073990841E-2</v>
          </cell>
          <cell r="J220">
            <v>1.9470634494838792E-2</v>
          </cell>
          <cell r="K220">
            <v>2.3468393492163037E-2</v>
          </cell>
          <cell r="L220">
            <v>2.5780431586750363E-2</v>
          </cell>
          <cell r="M220">
            <v>2.4887989305734628E-2</v>
          </cell>
          <cell r="N220">
            <v>2.4452881347038956E-2</v>
          </cell>
          <cell r="O220">
            <v>2.2539473956133503E-2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D221">
            <v>2.7784323214426862E-3</v>
          </cell>
          <cell r="E221">
            <v>1.9554896690815757E-3</v>
          </cell>
          <cell r="F221">
            <v>7.731602905029888E-4</v>
          </cell>
          <cell r="G221">
            <v>1.6557249218803972E-3</v>
          </cell>
          <cell r="H221">
            <v>3.177754696675411E-3</v>
          </cell>
          <cell r="I221">
            <v>1.0762123028473063E-3</v>
          </cell>
          <cell r="J221">
            <v>1.2427942622489142E-3</v>
          </cell>
          <cell r="K221">
            <v>2.1453434322582779E-3</v>
          </cell>
          <cell r="L221">
            <v>1.3432759684264281E-3</v>
          </cell>
          <cell r="M221">
            <v>2.5832509753387542E-3</v>
          </cell>
          <cell r="N221">
            <v>2.675354963560631E-3</v>
          </cell>
          <cell r="O221">
            <v>5.1092519852670272E-3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D222">
            <v>7.0506911392989383E-2</v>
          </cell>
          <cell r="E222">
            <v>0.17146542823888006</v>
          </cell>
          <cell r="F222">
            <v>2.6880629506238138E-3</v>
          </cell>
          <cell r="G222">
            <v>0.16903080360047118</v>
          </cell>
          <cell r="H222">
            <v>0.16828810560129134</v>
          </cell>
          <cell r="I222">
            <v>1.8879212181814875E-2</v>
          </cell>
          <cell r="J222">
            <v>2.068245067641698E-2</v>
          </cell>
          <cell r="K222">
            <v>2.5579829629367144E-2</v>
          </cell>
          <cell r="L222">
            <v>2.7089087380025492E-2</v>
          </cell>
          <cell r="M222">
            <v>2.7431322551345418E-2</v>
          </cell>
          <cell r="N222">
            <v>2.7089419722349014E-2</v>
          </cell>
          <cell r="O222">
            <v>2.7576400747821701E-2</v>
          </cell>
        </row>
        <row r="223">
          <cell r="A223" t="str">
            <v>RHNS-SHELCBR</v>
          </cell>
          <cell r="B223" t="str">
            <v>VAR_fout</v>
          </cell>
          <cell r="C223" t="str">
            <v>RHNS-SHAELCB</v>
          </cell>
          <cell r="D223"/>
          <cell r="E223">
            <v>6.9065102947941936E-2</v>
          </cell>
          <cell r="F223">
            <v>0.14820227786511428</v>
          </cell>
          <cell r="G223">
            <v>6.9760504479544697E-2</v>
          </cell>
          <cell r="H223">
            <v>8.8016453892260926E-2</v>
          </cell>
          <cell r="I223">
            <v>9.1196666167672209E-3</v>
          </cell>
          <cell r="J223">
            <v>0.43376234908851907</v>
          </cell>
          <cell r="K223">
            <v>0.4262340798501229</v>
          </cell>
          <cell r="L223">
            <v>4.6390518255234436E-2</v>
          </cell>
          <cell r="M223">
            <v>3.9394692107489792E-3</v>
          </cell>
          <cell r="N223">
            <v>2.8707574807820802E-3</v>
          </cell>
          <cell r="O223">
            <v>3.4442744653464465E-3</v>
          </cell>
        </row>
        <row r="224">
          <cell r="A224" t="str">
            <v>RHNS-SHELCBR</v>
          </cell>
          <cell r="B224" t="str">
            <v>VAR_fin</v>
          </cell>
          <cell r="C224" t="str">
            <v>RHNS_ELC</v>
          </cell>
          <cell r="D224"/>
          <cell r="E224">
            <v>7.270010836625472E-2</v>
          </cell>
          <cell r="F224">
            <v>0.15600239775275176</v>
          </cell>
          <cell r="G224">
            <v>7.3432109978468163E-2</v>
          </cell>
          <cell r="H224">
            <v>9.2648898833958909E-2</v>
          </cell>
          <cell r="I224">
            <v>9.599649070281286E-3</v>
          </cell>
          <cell r="J224">
            <v>0.4565919464089675</v>
          </cell>
          <cell r="K224">
            <v>0.44866745247381346</v>
          </cell>
          <cell r="L224">
            <v>4.8832124479194106E-2</v>
          </cell>
          <cell r="M224">
            <v>4.146809695525242E-3</v>
          </cell>
          <cell r="N224">
            <v>3.0218499797706098E-3</v>
          </cell>
          <cell r="O224">
            <v>3.6255520687857369E-3</v>
          </cell>
        </row>
        <row r="225">
          <cell r="A225" t="str">
            <v>RHNS-SHELCBR</v>
          </cell>
          <cell r="B225" t="str">
            <v>VAR_ncap</v>
          </cell>
          <cell r="C225" t="str">
            <v>-</v>
          </cell>
          <cell r="D225"/>
          <cell r="E225">
            <v>1.0977288937507001E-2</v>
          </cell>
          <cell r="F225"/>
          <cell r="G225"/>
          <cell r="H225">
            <v>9.0507509541277401E-4</v>
          </cell>
          <cell r="I225"/>
          <cell r="J225">
            <v>3.1102913467134601E-2</v>
          </cell>
          <cell r="L225">
            <v>2.8523762974926499E-6</v>
          </cell>
          <cell r="M225">
            <v>4.08414823951087E-4</v>
          </cell>
          <cell r="N225">
            <v>1.4986785470768701E-6</v>
          </cell>
          <cell r="O225">
            <v>6.1664900230937495E-5</v>
          </cell>
        </row>
        <row r="226">
          <cell r="A226" t="str">
            <v>RHNS-SHELCBR</v>
          </cell>
          <cell r="B226" t="str">
            <v>VAR_cap</v>
          </cell>
          <cell r="C226" t="str">
            <v>-</v>
          </cell>
          <cell r="D226"/>
          <cell r="E226">
            <v>1.0977288937507001E-2</v>
          </cell>
          <cell r="F226">
            <v>1.0976395226407986E-2</v>
          </cell>
          <cell r="G226">
            <v>1.0972803597094972E-2</v>
          </cell>
          <cell r="H226">
            <v>6.5271366564956888E-3</v>
          </cell>
          <cell r="I226">
            <v>9.0477571888328777E-4</v>
          </cell>
          <cell r="J226">
            <v>3.2005648276324655E-2</v>
          </cell>
          <cell r="K226">
            <v>3.1102702576393606E-2</v>
          </cell>
          <cell r="L226">
            <v>6.2203796030844E-3</v>
          </cell>
          <cell r="M226">
            <v>4.1079360274188815E-4</v>
          </cell>
          <cell r="N226">
            <v>3.950586797535713E-4</v>
          </cell>
          <cell r="O226">
            <v>4.5759495459921638E-4</v>
          </cell>
        </row>
        <row r="227">
          <cell r="A227" t="str">
            <v>ITOT-SWHSTG-SOL</v>
          </cell>
          <cell r="B227" t="str">
            <v>VAR_fout</v>
          </cell>
          <cell r="C227" t="str">
            <v>ITOT-SWHASOL</v>
          </cell>
          <cell r="D227">
            <v>4.5860283073098792E-4</v>
          </cell>
          <cell r="E227">
            <v>5.0620986219311744E-4</v>
          </cell>
          <cell r="F227">
            <v>5.1827708972044162E-4</v>
          </cell>
          <cell r="G227">
            <v>5.9503632561064951E-4</v>
          </cell>
          <cell r="H227">
            <v>8.2711768971725763E-4</v>
          </cell>
          <cell r="I227">
            <v>8.1741581385482093E-4</v>
          </cell>
          <cell r="J227">
            <v>1.0312553917811572E-3</v>
          </cell>
          <cell r="K227">
            <v>1.161955904271582E-3</v>
          </cell>
          <cell r="L227">
            <v>1.1848763545181551E-3</v>
          </cell>
          <cell r="M227">
            <v>1.6946970176017582E-3</v>
          </cell>
          <cell r="N227">
            <v>1.6941192987077515E-3</v>
          </cell>
          <cell r="O227">
            <v>3.4375054623186855E-3</v>
          </cell>
        </row>
        <row r="228">
          <cell r="A228" t="str">
            <v>ITOT-SWHSTG-SOL</v>
          </cell>
          <cell r="B228" t="str">
            <v>VAR_fin</v>
          </cell>
          <cell r="C228" t="str">
            <v>ITOT-SWHASOL</v>
          </cell>
          <cell r="D228">
            <v>4.607359239874086E-4</v>
          </cell>
          <cell r="E228">
            <v>4.2946116646887098E-4</v>
          </cell>
          <cell r="F228">
            <v>3.9139800280265188E-4</v>
          </cell>
          <cell r="G228">
            <v>4.8792182328410587E-4</v>
          </cell>
          <cell r="H228">
            <v>8.467762717599297E-4</v>
          </cell>
          <cell r="I228">
            <v>8.1684940227532516E-4</v>
          </cell>
          <cell r="J228">
            <v>9.8814297422804179E-4</v>
          </cell>
          <cell r="K228">
            <v>1.1411306488609129E-3</v>
          </cell>
          <cell r="L228">
            <v>1.2064301994514624E-3</v>
          </cell>
          <cell r="M228">
            <v>1.6645796501310443E-3</v>
          </cell>
          <cell r="N228">
            <v>1.7523254772756377E-3</v>
          </cell>
          <cell r="O228">
            <v>3.4347461368275821E-3</v>
          </cell>
        </row>
        <row r="229">
          <cell r="A229" t="str">
            <v>ITOT-SWHSTG-SOL</v>
          </cell>
          <cell r="B229" t="str">
            <v>VAR_ncap</v>
          </cell>
          <cell r="C229" t="str">
            <v>-</v>
          </cell>
          <cell r="D229">
            <v>9.5546987571646706E-6</v>
          </cell>
          <cell r="E229">
            <v>5.05465312595923E-8</v>
          </cell>
          <cell r="F229">
            <v>9.0945378784795099E-6</v>
          </cell>
          <cell r="G229">
            <v>2.6740444957587799E-5</v>
          </cell>
          <cell r="H229">
            <v>4.6910176969378797E-5</v>
          </cell>
          <cell r="I229">
            <v>2.5863888832836601E-7</v>
          </cell>
          <cell r="J229">
            <v>7.1130845473953997E-6</v>
          </cell>
          <cell r="K229">
            <v>2.3474883251088699E-5</v>
          </cell>
          <cell r="L229">
            <v>4.1415598663805997E-5</v>
          </cell>
          <cell r="M229">
            <v>9.4848367557100397E-8</v>
          </cell>
          <cell r="N229">
            <v>5.0885930530506502E-5</v>
          </cell>
          <cell r="O229">
            <v>5.20122125669404E-7</v>
          </cell>
        </row>
        <row r="230">
          <cell r="A230" t="str">
            <v>ITOT-SWHSTG-SOL</v>
          </cell>
          <cell r="B230" t="str">
            <v>VAR_cap</v>
          </cell>
          <cell r="C230" t="str">
            <v>-</v>
          </cell>
          <cell r="D230">
            <v>9.5546987571646706E-6</v>
          </cell>
          <cell r="E230">
            <v>9.6052452884242601E-6</v>
          </cell>
          <cell r="F230">
            <v>1.86997831669038E-5</v>
          </cell>
          <cell r="G230">
            <v>4.5440228124491599E-5</v>
          </cell>
          <cell r="H230">
            <v>8.5248920179873197E-5</v>
          </cell>
          <cell r="I230">
            <v>7.0731800249300295E-5</v>
          </cell>
          <cell r="J230">
            <v>5.42819004051026E-5</v>
          </cell>
          <cell r="K230">
            <v>3.0846606686812498E-5</v>
          </cell>
          <cell r="L230">
            <v>7.1100856197058897E-5</v>
          </cell>
          <cell r="M230">
            <v>6.4985330282451794E-5</v>
          </cell>
          <cell r="N230">
            <v>8.3424982261402796E-5</v>
          </cell>
          <cell r="O230">
            <v>5.1500901023732999E-5</v>
          </cell>
        </row>
        <row r="231">
          <cell r="A231" t="str">
            <v>RHES-SHLTHCHPNGA</v>
          </cell>
          <cell r="B231" t="str">
            <v>VAR_fout</v>
          </cell>
          <cell r="C231" t="str">
            <v>RHES-SHLTHC-NGA</v>
          </cell>
          <cell r="D231">
            <v>3.022248185863128E-2</v>
          </cell>
          <cell r="E231">
            <v>1.1096786966637206E-3</v>
          </cell>
          <cell r="F231">
            <v>1.6174804794262271E-2</v>
          </cell>
          <cell r="G231">
            <v>1.7422461564811018E-2</v>
          </cell>
          <cell r="H231">
            <v>1.8982691091898086E-2</v>
          </cell>
          <cell r="I231">
            <v>2.2087994997959381E-2</v>
          </cell>
          <cell r="J231">
            <v>2.1397547207633854E-2</v>
          </cell>
          <cell r="K231">
            <v>2.1568118978849863E-2</v>
          </cell>
          <cell r="L231">
            <v>2.0813118960914527E-2</v>
          </cell>
          <cell r="M231">
            <v>1.9917084945560964E-2</v>
          </cell>
          <cell r="N231">
            <v>0.20102012596464111</v>
          </cell>
          <cell r="O231">
            <v>0.22473650563337658</v>
          </cell>
        </row>
        <row r="232">
          <cell r="A232" t="str">
            <v>RHES-SHLTHCHPNGA</v>
          </cell>
          <cell r="B232" t="str">
            <v>VAR_fin</v>
          </cell>
          <cell r="C232" t="str">
            <v>RHESLTHCHPC</v>
          </cell>
          <cell r="D232">
            <v>3.022248185863128E-2</v>
          </cell>
          <cell r="E232">
            <v>1.1096786966637206E-3</v>
          </cell>
          <cell r="F232">
            <v>1.6174804794262271E-2</v>
          </cell>
          <cell r="G232">
            <v>1.7422461564811018E-2</v>
          </cell>
          <cell r="H232">
            <v>1.8982691091898086E-2</v>
          </cell>
          <cell r="I232">
            <v>2.2087994997959381E-2</v>
          </cell>
          <cell r="J232">
            <v>2.1397547207633854E-2</v>
          </cell>
          <cell r="K232">
            <v>2.1568118978849863E-2</v>
          </cell>
          <cell r="L232">
            <v>2.0813118960914527E-2</v>
          </cell>
          <cell r="M232">
            <v>1.9917084945560964E-2</v>
          </cell>
          <cell r="N232">
            <v>0.20102012596464111</v>
          </cell>
          <cell r="O232">
            <v>0.22473650563337658</v>
          </cell>
        </row>
        <row r="233">
          <cell r="A233" t="str">
            <v>RHES-SHLTHCHPNGA</v>
          </cell>
          <cell r="B233" t="str">
            <v>VAR_fin</v>
          </cell>
          <cell r="C233" t="str">
            <v>RHES_LTH_CHPNGA_ON</v>
          </cell>
          <cell r="D233">
            <v>3.0527759453162901E-2</v>
          </cell>
          <cell r="E233">
            <v>1.1208875723875962E-3</v>
          </cell>
          <cell r="F233">
            <v>1.6338186660870991E-2</v>
          </cell>
          <cell r="G233">
            <v>1.759844602506163E-2</v>
          </cell>
          <cell r="H233">
            <v>1.9174435446361694E-2</v>
          </cell>
          <cell r="I233">
            <v>2.2311106058544826E-2</v>
          </cell>
          <cell r="J233">
            <v>2.1613684048114985E-2</v>
          </cell>
          <cell r="K233">
            <v>2.1785978766515009E-2</v>
          </cell>
          <cell r="L233">
            <v>2.1023352485772223E-2</v>
          </cell>
          <cell r="M233">
            <v>2.0118267621778759E-2</v>
          </cell>
          <cell r="N233">
            <v>0.20305063228751602</v>
          </cell>
          <cell r="O233">
            <v>0.22700657134684527</v>
          </cell>
        </row>
        <row r="234">
          <cell r="A234" t="str">
            <v>RHES-SHLTHCHPNGA</v>
          </cell>
          <cell r="B234" t="str">
            <v>VAR_ncap</v>
          </cell>
          <cell r="C234" t="str">
            <v>-</v>
          </cell>
          <cell r="D234"/>
          <cell r="E234">
            <v>9.9876079529416504E-5</v>
          </cell>
          <cell r="F234">
            <v>1.74615284876829E-3</v>
          </cell>
          <cell r="G234">
            <v>1.15906885805796E-3</v>
          </cell>
          <cell r="H234">
            <v>1.3746486327370401E-3</v>
          </cell>
          <cell r="I234">
            <v>1.6197665837050499E-3</v>
          </cell>
          <cell r="J234">
            <v>1.33039517902466E-3</v>
          </cell>
          <cell r="K234">
            <v>1.5681104749782401E-3</v>
          </cell>
          <cell r="L234">
            <v>1.3056087834931399E-3</v>
          </cell>
          <cell r="M234">
            <v>1.3692954750170201E-3</v>
          </cell>
          <cell r="N234">
            <v>1.7393992699582601E-2</v>
          </cell>
          <cell r="O234">
            <v>1.22900594341882E-2</v>
          </cell>
        </row>
        <row r="235">
          <cell r="A235" t="str">
            <v>RHES-SHLTHCHPNGA</v>
          </cell>
          <cell r="B235" t="str">
            <v>VAR_cap</v>
          </cell>
          <cell r="C235" t="str">
            <v>-</v>
          </cell>
          <cell r="D235">
            <v>5.3757649990155603E-3</v>
          </cell>
          <cell r="E235">
            <v>1.5293197700112695E-4</v>
          </cell>
          <cell r="F235">
            <v>1.8462444108273803E-3</v>
          </cell>
          <cell r="G235">
            <v>1.6942627829073104E-3</v>
          </cell>
          <cell r="H235">
            <v>1.84176219310521E-3</v>
          </cell>
          <cell r="I235">
            <v>2.10602640865604E-3</v>
          </cell>
          <cell r="J235">
            <v>2.0145591701742102E-3</v>
          </cell>
          <cell r="K235">
            <v>2.2185321945758503E-3</v>
          </cell>
          <cell r="L235">
            <v>1.9848915379133102E-3</v>
          </cell>
          <cell r="M235">
            <v>2.0429668809896799E-3</v>
          </cell>
          <cell r="N235">
            <v>1.8319005818670853E-2</v>
          </cell>
          <cell r="O235">
            <v>2.0637309633816998E-2</v>
          </cell>
        </row>
        <row r="236">
          <cell r="A236" t="str">
            <v>RHSA-WHSTG-ELC</v>
          </cell>
          <cell r="B236" t="str">
            <v>VAR_fout</v>
          </cell>
          <cell r="C236" t="str">
            <v>RHSA-WHAELCB</v>
          </cell>
          <cell r="D236">
            <v>6.9316441622668801E-7</v>
          </cell>
          <cell r="E236">
            <v>6.4852063973710661E-6</v>
          </cell>
          <cell r="F236">
            <v>1.3621015056491601</v>
          </cell>
          <cell r="G236">
            <v>1.1724066721182014</v>
          </cell>
          <cell r="H236">
            <v>0.67362876238712988</v>
          </cell>
          <cell r="I236">
            <v>0.7110026243129568</v>
          </cell>
          <cell r="J236">
            <v>0.68922911542022247</v>
          </cell>
          <cell r="K236">
            <v>0.36498310986972965</v>
          </cell>
          <cell r="L236">
            <v>0.11391461419662566</v>
          </cell>
          <cell r="M236">
            <v>8.3675487237387672E-2</v>
          </cell>
          <cell r="N236">
            <v>7.6732131481995286E-2</v>
          </cell>
          <cell r="O236">
            <v>6.0492880855170045E-2</v>
          </cell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6.514340532257773E-6</v>
          </cell>
          <cell r="E237">
            <v>1.6727785247111491E-6</v>
          </cell>
          <cell r="F237">
            <v>1.3621437869625681</v>
          </cell>
          <cell r="G237">
            <v>1.1724457874641874</v>
          </cell>
          <cell r="H237">
            <v>0.67365475719908363</v>
          </cell>
          <cell r="I237">
            <v>0.71103309224159195</v>
          </cell>
          <cell r="J237">
            <v>0.68925197740480926</v>
          </cell>
          <cell r="K237">
            <v>0.36499948522045489</v>
          </cell>
          <cell r="L237">
            <v>0.11392515971346175</v>
          </cell>
          <cell r="M237">
            <v>8.3681646871218415E-2</v>
          </cell>
          <cell r="N237">
            <v>7.6739827252014725E-2</v>
          </cell>
          <cell r="O237">
            <v>6.0504358209298323E-2</v>
          </cell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7.1631249738543703E-3</v>
          </cell>
          <cell r="E238">
            <v>0.104122895249484</v>
          </cell>
          <cell r="F238">
            <v>3.4134561929895799E-5</v>
          </cell>
          <cell r="G238">
            <v>4.48107330300432E-5</v>
          </cell>
          <cell r="H238">
            <v>1.08958609170151E-2</v>
          </cell>
          <cell r="I238">
            <v>4.7576924116965E-2</v>
          </cell>
          <cell r="J238">
            <v>1.08178879389574E-4</v>
          </cell>
          <cell r="K238">
            <v>3.7579397513665802E-4</v>
          </cell>
          <cell r="L238">
            <v>5.80000526341017E-3</v>
          </cell>
          <cell r="M238">
            <v>2.4074421846492799E-3</v>
          </cell>
          <cell r="N238">
            <v>1.2850918879351301E-3</v>
          </cell>
          <cell r="O238">
            <v>2.8269915092688498E-3</v>
          </cell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7.1640343427430914E-3</v>
          </cell>
          <cell r="E239">
            <v>0.11126070000414207</v>
          </cell>
          <cell r="F239">
            <v>0.11125345647255641</v>
          </cell>
          <cell r="G239">
            <v>0.11126178960418151</v>
          </cell>
          <cell r="H239">
            <v>6.6036032767958525E-2</v>
          </cell>
          <cell r="I239">
            <v>5.8472758472154038E-2</v>
          </cell>
          <cell r="J239">
            <v>5.8476489708159704E-2</v>
          </cell>
          <cell r="K239">
            <v>3.0465802272990897E-2</v>
          </cell>
          <cell r="L239">
            <v>1.067801754599185E-2</v>
          </cell>
          <cell r="M239">
            <v>8.3205205980875115E-3</v>
          </cell>
          <cell r="N239">
            <v>7.452201719184405E-3</v>
          </cell>
          <cell r="O239">
            <v>6.2394479664407863E-3</v>
          </cell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6.9177145465602878</v>
          </cell>
          <cell r="E240">
            <v>6.3114720062600016</v>
          </cell>
          <cell r="F240">
            <v>6.2459882819691597</v>
          </cell>
          <cell r="G240">
            <v>5.0979829770422844</v>
          </cell>
          <cell r="H240">
            <v>3.8997404392978412</v>
          </cell>
          <cell r="I240">
            <v>2.6745267258825876</v>
          </cell>
          <cell r="J240">
            <v>1.4398623767086745</v>
          </cell>
          <cell r="K240">
            <v>0.20679467544450236</v>
          </cell>
          <cell r="L240">
            <v>0.20676322686331072</v>
          </cell>
          <cell r="M240">
            <v>0.20675586987900302</v>
          </cell>
          <cell r="N240">
            <v>0.19921451470394158</v>
          </cell>
          <cell r="O240">
            <v>0.19748241057939336</v>
          </cell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655.76899624704095</v>
          </cell>
          <cell r="E241">
            <v>597.33351547007101</v>
          </cell>
          <cell r="F241">
            <v>589.70726875654395</v>
          </cell>
          <cell r="G241">
            <v>479.38872638867099</v>
          </cell>
          <cell r="H241">
            <v>365.24665563957302</v>
          </cell>
          <cell r="I241">
            <v>249.49711780999101</v>
          </cell>
          <cell r="J241">
            <v>133.78717989628601</v>
          </cell>
          <cell r="K241">
            <v>19.1387961830617</v>
          </cell>
          <cell r="L241">
            <v>19.135885624632799</v>
          </cell>
          <cell r="M241">
            <v>19.135204737550499</v>
          </cell>
          <cell r="N241">
            <v>18.437254177027899</v>
          </cell>
          <cell r="O241">
            <v>18.2769483677206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8.89781541719187</v>
          </cell>
          <cell r="E242">
            <v>8.1049323673008278</v>
          </cell>
          <cell r="F242">
            <v>8.0014554783791514</v>
          </cell>
          <cell r="G242">
            <v>6.5045960161285015</v>
          </cell>
          <cell r="H242">
            <v>4.9558569286237812</v>
          </cell>
          <cell r="I242">
            <v>3.3853068902305457</v>
          </cell>
          <cell r="J242">
            <v>1.8152941641287113</v>
          </cell>
          <cell r="K242">
            <v>0.25968515852186824</v>
          </cell>
          <cell r="L242">
            <v>0.25964566654861265</v>
          </cell>
          <cell r="M242">
            <v>0.25963642791791763</v>
          </cell>
          <cell r="N242">
            <v>0.25016627105872363</v>
          </cell>
          <cell r="O242">
            <v>0.24799115831371304</v>
          </cell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1.13718051380937E-2</v>
          </cell>
          <cell r="F243">
            <v>1.7959989415378998E-5</v>
          </cell>
          <cell r="G243">
            <v>2.8785534027016699E-5</v>
          </cell>
          <cell r="H243">
            <v>0.163449868148143</v>
          </cell>
          <cell r="I243">
            <v>3.5782991846222399E-3</v>
          </cell>
          <cell r="J243">
            <v>2.6649620302508799E-5</v>
          </cell>
          <cell r="K243">
            <v>1.7410442730747301E-2</v>
          </cell>
          <cell r="L243">
            <v>5.9306218782487099E-4</v>
          </cell>
          <cell r="M243">
            <v>2.6561825460689499E-4</v>
          </cell>
          <cell r="N243">
            <v>1.43496480363993E-2</v>
          </cell>
          <cell r="O243">
            <v>5.7744218639297898E-3</v>
          </cell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0.38770359472047566</v>
          </cell>
          <cell r="F244">
            <v>0.38768138270238078</v>
          </cell>
          <cell r="G244">
            <v>0.38760286022594731</v>
          </cell>
          <cell r="H244">
            <v>0.26682784921729397</v>
          </cell>
          <cell r="I244">
            <v>0.16703618297907938</v>
          </cell>
          <cell r="J244">
            <v>0.14546171132210411</v>
          </cell>
          <cell r="K244">
            <v>2.0954134102985734E-2</v>
          </cell>
          <cell r="L244">
            <v>1.8532714583219773E-2</v>
          </cell>
          <cell r="M244">
            <v>1.820549648661144E-2</v>
          </cell>
          <cell r="N244">
            <v>1.8034726978766017E-2</v>
          </cell>
          <cell r="O244">
            <v>2.033689654745512E-2</v>
          </cell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8.1889796676413876E-6</v>
          </cell>
          <cell r="F245">
            <v>2.3875910719175808E-4</v>
          </cell>
          <cell r="G245">
            <v>3.2421862348792048E-3</v>
          </cell>
          <cell r="H245">
            <v>9.3926844906990613E-3</v>
          </cell>
          <cell r="I245">
            <v>1.3217088225549877E-2</v>
          </cell>
          <cell r="J245">
            <v>1.6706197875301386E-2</v>
          </cell>
          <cell r="K245">
            <v>1.3924500214044741E-2</v>
          </cell>
          <cell r="L245">
            <v>1.6590727604260749E-2</v>
          </cell>
          <cell r="M245">
            <v>1.9298023916056128E-2</v>
          </cell>
          <cell r="N245">
            <v>2.3461177896595724E-2</v>
          </cell>
          <cell r="O245">
            <v>2.694591349504203E-2</v>
          </cell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0.69259138286535782</v>
          </cell>
          <cell r="E246">
            <v>0.75020506173804813</v>
          </cell>
          <cell r="F246">
            <v>0.65261057943858936</v>
          </cell>
          <cell r="G246">
            <v>2.6753051642092922</v>
          </cell>
          <cell r="H246">
            <v>5.0908573299045843</v>
          </cell>
          <cell r="I246">
            <v>5.3318308341918206</v>
          </cell>
          <cell r="J246">
            <v>5.3882554947132677</v>
          </cell>
          <cell r="K246">
            <v>3.8471135283955062</v>
          </cell>
          <cell r="L246">
            <v>3.8505323315195605</v>
          </cell>
          <cell r="M246">
            <v>3.9306803283132239</v>
          </cell>
          <cell r="N246">
            <v>4.2338578644843246</v>
          </cell>
          <cell r="O246">
            <v>4.478533064872682</v>
          </cell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0.69259138286535782</v>
          </cell>
          <cell r="E247">
            <v>0.75021325071771516</v>
          </cell>
          <cell r="F247">
            <v>0.65284933854578131</v>
          </cell>
          <cell r="G247">
            <v>2.6785473504441693</v>
          </cell>
          <cell r="H247">
            <v>5.1002500143952849</v>
          </cell>
          <cell r="I247">
            <v>5.3450479224173755</v>
          </cell>
          <cell r="J247">
            <v>5.4049616925885751</v>
          </cell>
          <cell r="K247">
            <v>3.8610380286095589</v>
          </cell>
          <cell r="L247">
            <v>3.8671230591238226</v>
          </cell>
          <cell r="M247">
            <v>3.9499783522292784</v>
          </cell>
          <cell r="N247">
            <v>4.2573190423809191</v>
          </cell>
          <cell r="O247">
            <v>4.5054789783677247</v>
          </cell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9.8756947864509019</v>
          </cell>
          <cell r="E248">
            <v>12.919858988831717</v>
          </cell>
          <cell r="F248">
            <v>14.392722001078045</v>
          </cell>
          <cell r="G248">
            <v>17.610026721205632</v>
          </cell>
          <cell r="H248">
            <v>19.902273604195354</v>
          </cell>
          <cell r="I248">
            <v>22.035398207311115</v>
          </cell>
          <cell r="J248">
            <v>25.339679265941307</v>
          </cell>
          <cell r="K248">
            <v>29.205830023160733</v>
          </cell>
          <cell r="L248">
            <v>30.300587445928159</v>
          </cell>
          <cell r="M248">
            <v>30.703369496435727</v>
          </cell>
          <cell r="N248">
            <v>28.645384895595278</v>
          </cell>
          <cell r="O248">
            <v>29.769211902688877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9.8756947864509019</v>
          </cell>
          <cell r="E249">
            <v>12.919858988831717</v>
          </cell>
          <cell r="F249">
            <v>14.392722001078045</v>
          </cell>
          <cell r="G249">
            <v>17.610026721205632</v>
          </cell>
          <cell r="H249">
            <v>19.902273604195354</v>
          </cell>
          <cell r="I249">
            <v>22.035398207311115</v>
          </cell>
          <cell r="J249">
            <v>25.339679265941307</v>
          </cell>
          <cell r="K249">
            <v>29.205830023160733</v>
          </cell>
          <cell r="L249">
            <v>30.300587445928159</v>
          </cell>
          <cell r="M249">
            <v>30.703369496435727</v>
          </cell>
          <cell r="N249">
            <v>28.645384895595278</v>
          </cell>
          <cell r="O249">
            <v>29.769211902688877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58.701894525468155</v>
          </cell>
          <cell r="F250">
            <v>51.050702749456477</v>
          </cell>
          <cell r="G250">
            <v>51.729647893780637</v>
          </cell>
          <cell r="H250">
            <v>52.122221718091907</v>
          </cell>
          <cell r="I250">
            <v>52.658014966112546</v>
          </cell>
          <cell r="J250">
            <v>52.050424584030445</v>
          </cell>
          <cell r="K250">
            <v>52.114854649433717</v>
          </cell>
          <cell r="L250">
            <v>53.162690114626052</v>
          </cell>
          <cell r="M250">
            <v>54.017320841363762</v>
          </cell>
          <cell r="N250">
            <v>54.827384573662911</v>
          </cell>
          <cell r="O250">
            <v>55.601008543012185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58.701894525468155</v>
          </cell>
          <cell r="F251">
            <v>51.050702749456477</v>
          </cell>
          <cell r="G251">
            <v>51.729647893780637</v>
          </cell>
          <cell r="H251">
            <v>52.122221718091907</v>
          </cell>
          <cell r="I251">
            <v>52.658014966112546</v>
          </cell>
          <cell r="J251">
            <v>52.050424584030445</v>
          </cell>
          <cell r="K251">
            <v>52.114854649433717</v>
          </cell>
          <cell r="L251">
            <v>53.162690114626052</v>
          </cell>
          <cell r="M251">
            <v>54.017320841363762</v>
          </cell>
          <cell r="N251">
            <v>54.827384573662911</v>
          </cell>
          <cell r="O251">
            <v>55.601008543012185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1.64472359324203E-7</v>
          </cell>
          <cell r="E252">
            <v>1.1936238969564399E-6</v>
          </cell>
          <cell r="F252">
            <v>1.1760274136506101E-6</v>
          </cell>
          <cell r="G252">
            <v>1.41196974512702E-6</v>
          </cell>
          <cell r="H252">
            <v>7.7443595062197705E-6</v>
          </cell>
          <cell r="I252">
            <v>5.6634981140405702E-2</v>
          </cell>
          <cell r="J252">
            <v>3.5172269923527999</v>
          </cell>
          <cell r="K252">
            <v>1.93463880242063</v>
          </cell>
          <cell r="L252">
            <v>0.11075891448627299</v>
          </cell>
          <cell r="M252">
            <v>9.0348173494829903E-2</v>
          </cell>
          <cell r="N252">
            <v>0.69287740307930901</v>
          </cell>
          <cell r="O252">
            <v>3.0483787437602001</v>
          </cell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6.6055314328262194</v>
          </cell>
          <cell r="E253">
            <v>6.2047499356635889</v>
          </cell>
          <cell r="F253">
            <v>5.5092810146423297</v>
          </cell>
          <cell r="G253">
            <v>5.5092787753762948</v>
          </cell>
          <cell r="H253">
            <v>5.5092843995809009</v>
          </cell>
          <cell r="I253">
            <v>5.5659167666716378</v>
          </cell>
          <cell r="J253">
            <v>5.501693563410381</v>
          </cell>
          <cell r="K253">
            <v>5.508504118173029</v>
          </cell>
          <cell r="L253">
            <v>5.6192591318049949</v>
          </cell>
          <cell r="M253">
            <v>5.7095942982726999</v>
          </cell>
          <cell r="N253">
            <v>5.7952167916295778</v>
          </cell>
          <cell r="O253">
            <v>5.8769900897373244</v>
          </cell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1.022568562679781E-3</v>
          </cell>
          <cell r="E254">
            <v>3.6605395339182493E-4</v>
          </cell>
          <cell r="F254">
            <v>6.8098051361871947E-4</v>
          </cell>
          <cell r="G254">
            <v>0.32665269657052409</v>
          </cell>
          <cell r="H254">
            <v>0.32489049812228538</v>
          </cell>
          <cell r="I254">
            <v>0.32384234576895282</v>
          </cell>
          <cell r="J254">
            <v>0.32180094282622279</v>
          </cell>
          <cell r="K254">
            <v>0.31789233043157056</v>
          </cell>
          <cell r="L254">
            <v>0.31882212104259161</v>
          </cell>
          <cell r="M254">
            <v>0.31677305793841148</v>
          </cell>
          <cell r="N254">
            <v>0.31310077677685594</v>
          </cell>
          <cell r="O254">
            <v>0.30640317700413328</v>
          </cell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0.22902862212358308</v>
          </cell>
          <cell r="E255">
            <v>0.2297932347026666</v>
          </cell>
          <cell r="F255">
            <v>0.3360348043799663</v>
          </cell>
          <cell r="G255">
            <v>6.3082901483216842E-3</v>
          </cell>
          <cell r="H255">
            <v>4.3137860205537471E-3</v>
          </cell>
          <cell r="I255">
            <v>3.7116135581332726E-3</v>
          </cell>
          <cell r="J255">
            <v>4.093451947072402E-3</v>
          </cell>
          <cell r="K255">
            <v>6.3494839879333596E-3</v>
          </cell>
          <cell r="L255">
            <v>5.4181821397355006E-3</v>
          </cell>
          <cell r="M255">
            <v>7.4708826797763609E-3</v>
          </cell>
          <cell r="N255">
            <v>1.1137684621134451E-2</v>
          </cell>
          <cell r="O255">
            <v>1.7871108280261776E-2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0.23005119068626309</v>
          </cell>
          <cell r="E256">
            <v>0.2301592886560587</v>
          </cell>
          <cell r="F256">
            <v>0.33670967569808757</v>
          </cell>
          <cell r="G256">
            <v>0.3329465170295568</v>
          </cell>
          <cell r="H256">
            <v>0.32918716858742697</v>
          </cell>
          <cell r="I256">
            <v>0.32752542920464189</v>
          </cell>
          <cell r="J256">
            <v>0.32586380893754929</v>
          </cell>
          <cell r="K256">
            <v>0.32420479636343547</v>
          </cell>
          <cell r="L256">
            <v>0.32420220218308737</v>
          </cell>
          <cell r="M256">
            <v>0.32420461171108023</v>
          </cell>
          <cell r="N256">
            <v>0.32420273208577077</v>
          </cell>
          <cell r="O256">
            <v>0.32420993697084527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1.845040022407979E-5</v>
          </cell>
          <cell r="F257">
            <v>1.6501629617507705</v>
          </cell>
          <cell r="G257">
            <v>4.3388511911448919</v>
          </cell>
          <cell r="H257">
            <v>4.429044804323178</v>
          </cell>
          <cell r="I257">
            <v>4.4619314230861722</v>
          </cell>
          <cell r="J257">
            <v>5.1037022406861352</v>
          </cell>
          <cell r="K257">
            <v>5.3746083907381994</v>
          </cell>
          <cell r="L257">
            <v>5.4904677803328239</v>
          </cell>
          <cell r="M257">
            <v>5.8305722968684606</v>
          </cell>
          <cell r="N257">
            <v>5.5379514156611966</v>
          </cell>
          <cell r="O257">
            <v>5.7454179213349335</v>
          </cell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1.845598780754653E-5</v>
          </cell>
          <cell r="F258">
            <v>1.2316097264241008</v>
          </cell>
          <cell r="G258">
            <v>2.3534527015073854</v>
          </cell>
          <cell r="H258">
            <v>2.6045049618911489</v>
          </cell>
          <cell r="I258">
            <v>2.9304062354062017</v>
          </cell>
          <cell r="J258">
            <v>2.6657487372377449</v>
          </cell>
          <cell r="K258">
            <v>2.7904891676954517</v>
          </cell>
          <cell r="L258">
            <v>3.0917088900520806</v>
          </cell>
          <cell r="M258">
            <v>3.1884222440448489</v>
          </cell>
          <cell r="N258">
            <v>3.940815513445981</v>
          </cell>
          <cell r="O258">
            <v>4.2090126669917458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3.6212607604498492E-5</v>
          </cell>
          <cell r="F259">
            <v>2.8817726881748729</v>
          </cell>
          <cell r="G259">
            <v>6.6923038926522773</v>
          </cell>
          <cell r="H259">
            <v>7.0335497662143256</v>
          </cell>
          <cell r="I259">
            <v>7.3923376584923721</v>
          </cell>
          <cell r="J259">
            <v>7.7694509779238796</v>
          </cell>
          <cell r="K259">
            <v>8.1650975584336507</v>
          </cell>
          <cell r="L259">
            <v>8.5821766703849018</v>
          </cell>
          <cell r="M259">
            <v>9.0189945409133099</v>
          </cell>
          <cell r="N259">
            <v>9.478766929107179</v>
          </cell>
          <cell r="O259">
            <v>9.9544305883266802</v>
          </cell>
        </row>
        <row r="260">
          <cell r="A260" t="str">
            <v>RHNM-SHSTG-ELCHP</v>
          </cell>
          <cell r="B260" t="str">
            <v>VAR_fout</v>
          </cell>
          <cell r="C260" t="str">
            <v>RHNM-SHAELCH</v>
          </cell>
          <cell r="D260"/>
          <cell r="E260">
            <v>7.7166428678800192E-2</v>
          </cell>
          <cell r="F260">
            <v>0.33299926846950523</v>
          </cell>
          <cell r="G260">
            <v>0.62875170839230543</v>
          </cell>
          <cell r="H260">
            <v>0.55587536272347349</v>
          </cell>
          <cell r="I260">
            <v>0.5851914192515032</v>
          </cell>
          <cell r="J260">
            <v>0.55897212092941251</v>
          </cell>
          <cell r="K260">
            <v>0.60254979226953065</v>
          </cell>
          <cell r="L260">
            <v>0.64462436039838611</v>
          </cell>
          <cell r="M260">
            <v>0.59291110724661522</v>
          </cell>
          <cell r="N260">
            <v>0.6133046949443608</v>
          </cell>
          <cell r="O260">
            <v>0.57210490336952124</v>
          </cell>
        </row>
        <row r="261">
          <cell r="A261" t="str">
            <v>RHNM-SHSTG-ELCHP</v>
          </cell>
          <cell r="B261" t="str">
            <v>VAR_fin</v>
          </cell>
          <cell r="C261" t="str">
            <v>RHNM-SHAELCH</v>
          </cell>
          <cell r="D261"/>
          <cell r="E261">
            <v>7.7178969787061485E-2</v>
          </cell>
          <cell r="F261">
            <v>0.33301104437971357</v>
          </cell>
          <cell r="G261">
            <v>0.62877036952641163</v>
          </cell>
          <cell r="H261">
            <v>0.55590322319034602</v>
          </cell>
          <cell r="I261">
            <v>0.58522990871380287</v>
          </cell>
          <cell r="J261">
            <v>0.55901529537234518</v>
          </cell>
          <cell r="K261">
            <v>0.60261647397455198</v>
          </cell>
          <cell r="L261">
            <v>0.64468141488214237</v>
          </cell>
          <cell r="M261">
            <v>0.59297995095071776</v>
          </cell>
          <cell r="N261">
            <v>0.61335290453638791</v>
          </cell>
          <cell r="O261">
            <v>0.57217457631124657</v>
          </cell>
        </row>
        <row r="262">
          <cell r="A262" t="str">
            <v>RHNM-SHSTG-ELCHP</v>
          </cell>
          <cell r="B262" t="str">
            <v>VAR_ncap</v>
          </cell>
          <cell r="C262" t="str">
            <v>-</v>
          </cell>
          <cell r="D262">
            <v>7.9804361367069498E-5</v>
          </cell>
          <cell r="E262">
            <v>9.5864853055604993E-3</v>
          </cell>
          <cell r="F262">
            <v>2.7298561586030199E-2</v>
          </cell>
          <cell r="G262">
            <v>2.5370800214884401E-2</v>
          </cell>
          <cell r="H262">
            <v>4.5691036635767297E-3</v>
          </cell>
          <cell r="I262">
            <v>3.0969721435239302E-2</v>
          </cell>
          <cell r="J262">
            <v>2.62447200952294E-2</v>
          </cell>
          <cell r="K262">
            <v>4.75700891756866E-3</v>
          </cell>
          <cell r="L262">
            <v>2.9757274380835301E-2</v>
          </cell>
          <cell r="M262">
            <v>2.7525698088420501E-2</v>
          </cell>
          <cell r="N262">
            <v>1.3436184938101999E-2</v>
          </cell>
          <cell r="O262">
            <v>2.1135471919047001E-2</v>
          </cell>
        </row>
        <row r="263">
          <cell r="A263" t="str">
            <v>RHNM-SHSTG-ELCHP</v>
          </cell>
          <cell r="B263" t="str">
            <v>VAR_cap</v>
          </cell>
          <cell r="C263" t="str">
            <v>-</v>
          </cell>
          <cell r="D263">
            <v>7.9804361367069498E-5</v>
          </cell>
          <cell r="E263">
            <v>9.6547862944811637E-3</v>
          </cell>
          <cell r="F263">
            <v>3.6941101613319059E-2</v>
          </cell>
          <cell r="G263">
            <v>6.229270057944164E-2</v>
          </cell>
          <cell r="H263">
            <v>6.2054615475916668E-2</v>
          </cell>
          <cell r="I263">
            <v>6.1710950477037403E-2</v>
          </cell>
          <cell r="J263">
            <v>6.1715480376101042E-2</v>
          </cell>
          <cell r="K263">
            <v>6.1734802851371742E-2</v>
          </cell>
          <cell r="L263">
            <v>6.1727012727855815E-2</v>
          </cell>
          <cell r="M263">
            <v>6.1736685003805108E-2</v>
          </cell>
          <cell r="N263">
            <v>6.1727132935239397E-2</v>
          </cell>
          <cell r="O263">
            <v>6.1740319479249961E-2</v>
          </cell>
        </row>
        <row r="264">
          <cell r="A264" t="str">
            <v>D-SCOM_LTH</v>
          </cell>
          <cell r="B264" t="str">
            <v>VAR_fout</v>
          </cell>
          <cell r="C264" t="str">
            <v>SCOM_LTH_DH</v>
          </cell>
          <cell r="D264">
            <v>5.610011319169578</v>
          </cell>
          <cell r="E264">
            <v>6.0767076295886868</v>
          </cell>
          <cell r="F264">
            <v>6.0767080236263613</v>
          </cell>
          <cell r="G264">
            <v>6.0767068975635397</v>
          </cell>
          <cell r="H264">
            <v>6.0767072700448495</v>
          </cell>
          <cell r="I264">
            <v>6.0767092881839373</v>
          </cell>
          <cell r="J264">
            <v>6.0767349937821242</v>
          </cell>
          <cell r="K264">
            <v>9.0347042453006576</v>
          </cell>
          <cell r="L264">
            <v>9.0347410381682138</v>
          </cell>
          <cell r="M264">
            <v>9.0347558673583741</v>
          </cell>
          <cell r="N264">
            <v>9.0347782851569303</v>
          </cell>
          <cell r="O264">
            <v>9.0347931848942871</v>
          </cell>
        </row>
        <row r="265">
          <cell r="A265" t="str">
            <v>D-SCOM_LTH</v>
          </cell>
          <cell r="B265" t="str">
            <v>VAR_fin</v>
          </cell>
          <cell r="C265" t="str">
            <v>LTH</v>
          </cell>
          <cell r="D265">
            <v>6.0987880390614011</v>
          </cell>
          <cell r="E265">
            <v>6.6044094635872606</v>
          </cell>
          <cell r="F265">
            <v>6.6018073396725052</v>
          </cell>
          <cell r="G265">
            <v>6.5974730852489634</v>
          </cell>
          <cell r="H265">
            <v>6.5931461424852191</v>
          </cell>
          <cell r="I265">
            <v>6.5888266565150397</v>
          </cell>
          <cell r="J265">
            <v>6.5845384964132956</v>
          </cell>
          <cell r="K265">
            <v>9.7832824612820541</v>
          </cell>
          <cell r="L265">
            <v>9.7833223026543941</v>
          </cell>
          <cell r="M265">
            <v>9.7833383605299051</v>
          </cell>
          <cell r="N265">
            <v>9.7833626357744912</v>
          </cell>
          <cell r="O265">
            <v>9.7833787700424519</v>
          </cell>
        </row>
        <row r="266">
          <cell r="A266" t="str">
            <v>D-SCOM_LTH</v>
          </cell>
          <cell r="B266" t="str">
            <v>VAR_ncap</v>
          </cell>
          <cell r="C266" t="str">
            <v>-</v>
          </cell>
          <cell r="D266">
            <v>0.84970000147062497</v>
          </cell>
          <cell r="E266">
            <v>9.1590030563182497E-8</v>
          </cell>
          <cell r="F266">
            <v>6.9406740575731898E-8</v>
          </cell>
          <cell r="G266">
            <v>6.9779236802082803E-8</v>
          </cell>
          <cell r="H266">
            <v>7.8525745033852002E-8</v>
          </cell>
          <cell r="I266">
            <v>9.5795764217970202E-8</v>
          </cell>
          <cell r="J266">
            <v>1.2571819264336101E-7</v>
          </cell>
          <cell r="K266">
            <v>1.8841959334900301E-7</v>
          </cell>
          <cell r="L266">
            <v>1.84642854796168E-7</v>
          </cell>
          <cell r="M266">
            <v>3.9289622101298298E-7</v>
          </cell>
          <cell r="N266">
            <v>4.47011527437293E-7</v>
          </cell>
          <cell r="O266">
            <v>2.1590563598018001E-6</v>
          </cell>
        </row>
        <row r="267">
          <cell r="A267" t="str">
            <v>D-SCOM_LTH</v>
          </cell>
          <cell r="B267" t="str">
            <v>VAR_cap</v>
          </cell>
          <cell r="C267" t="str">
            <v>-</v>
          </cell>
          <cell r="D267">
            <v>0.84970000147062497</v>
          </cell>
          <cell r="E267">
            <v>0.84970009306065497</v>
          </cell>
          <cell r="F267">
            <v>0.84970016246739599</v>
          </cell>
          <cell r="G267">
            <v>0.84970023224663205</v>
          </cell>
          <cell r="H267">
            <v>0.84970031077237795</v>
          </cell>
          <cell r="I267">
            <v>0.84970040656814205</v>
          </cell>
          <cell r="J267">
            <v>0.84970053228633402</v>
          </cell>
          <cell r="K267">
            <v>0.84970072070592795</v>
          </cell>
          <cell r="L267">
            <v>0.84970090534878295</v>
          </cell>
          <cell r="M267">
            <v>0.84970129824500396</v>
          </cell>
          <cell r="N267">
            <v>0.84970174525653097</v>
          </cell>
          <cell r="O267">
            <v>0.849703904312891</v>
          </cell>
        </row>
        <row r="268">
          <cell r="A268" t="str">
            <v>ITOT-SWHBIOBR</v>
          </cell>
          <cell r="B268" t="str">
            <v>VAR_fout</v>
          </cell>
          <cell r="C268" t="str">
            <v>ITOT-SWH</v>
          </cell>
          <cell r="D268">
            <v>0.31051692857725255</v>
          </cell>
          <cell r="E268">
            <v>0.39251953670381068</v>
          </cell>
          <cell r="F268">
            <v>0.67767758755954677</v>
          </cell>
          <cell r="G268">
            <v>1.5762080307847337</v>
          </cell>
          <cell r="H268">
            <v>2.6082051409114073</v>
          </cell>
          <cell r="I268">
            <v>4.0604975933558656</v>
          </cell>
          <cell r="J268">
            <v>4.1320336123326253</v>
          </cell>
          <cell r="K268">
            <v>4.1583178079438445</v>
          </cell>
          <cell r="L268">
            <v>4.1758437850153651</v>
          </cell>
          <cell r="M268">
            <v>4.4037203668322036</v>
          </cell>
          <cell r="N268">
            <v>4.4037644675291219</v>
          </cell>
          <cell r="O268">
            <v>4.4067016256630493</v>
          </cell>
        </row>
        <row r="269">
          <cell r="A269" t="str">
            <v>ITOT-SWHBIOBR</v>
          </cell>
          <cell r="B269" t="str">
            <v>VAR_fin</v>
          </cell>
          <cell r="C269" t="str">
            <v>IBIO</v>
          </cell>
          <cell r="D269">
            <v>0.43673267029149393</v>
          </cell>
          <cell r="E269">
            <v>0.55206685893644225</v>
          </cell>
          <cell r="F269">
            <v>0.95313303454226073</v>
          </cell>
          <cell r="G269">
            <v>2.2168889321866887</v>
          </cell>
          <cell r="H269">
            <v>3.6683616609161849</v>
          </cell>
          <cell r="I269">
            <v>5.7109670792628267</v>
          </cell>
          <cell r="J269">
            <v>5.7750295071035982</v>
          </cell>
          <cell r="K269">
            <v>5.7754413999220064</v>
          </cell>
          <cell r="L269">
            <v>5.7997830347435615</v>
          </cell>
          <cell r="M269">
            <v>6.1162782872669474</v>
          </cell>
          <cell r="N269">
            <v>6.1163395382348913</v>
          </cell>
          <cell r="O269">
            <v>6.1204189245320197</v>
          </cell>
        </row>
        <row r="270">
          <cell r="A270" t="str">
            <v>ITOT-SWHBIOBR</v>
          </cell>
          <cell r="B270" t="str">
            <v>VAR_ncap</v>
          </cell>
          <cell r="C270" t="str">
            <v>-</v>
          </cell>
          <cell r="D270"/>
          <cell r="E270">
            <v>1.35354962375528E-2</v>
          </cell>
          <cell r="F270">
            <v>1.1149049931613199E-2</v>
          </cell>
          <cell r="G270">
            <v>5.2100688100978801E-2</v>
          </cell>
          <cell r="H270">
            <v>9.3768600671747998E-2</v>
          </cell>
          <cell r="I270">
            <v>0.21590916942490301</v>
          </cell>
          <cell r="J270">
            <v>2.9854294548486E-4</v>
          </cell>
          <cell r="K270">
            <v>0.126880648754334</v>
          </cell>
          <cell r="L270">
            <v>0.14926355871000899</v>
          </cell>
          <cell r="M270">
            <v>2.7044112844680699E-2</v>
          </cell>
          <cell r="N270">
            <v>0.17218634977480499</v>
          </cell>
          <cell r="O270">
            <v>0.16191029139405799</v>
          </cell>
        </row>
        <row r="271">
          <cell r="A271" t="str">
            <v>ITOT-SWHBIOBR</v>
          </cell>
          <cell r="B271" t="str">
            <v>VAR_cap</v>
          </cell>
          <cell r="C271" t="str">
            <v>-</v>
          </cell>
          <cell r="D271">
            <v>1.7013611085743299E-2</v>
          </cell>
          <cell r="E271">
            <v>3.054506383018063E-2</v>
          </cell>
          <cell r="F271">
            <v>4.1687789958284559E-2</v>
          </cell>
          <cell r="G271">
            <v>9.3777778185407487E-2</v>
          </cell>
          <cell r="H271">
            <v>0.16831648158817372</v>
          </cell>
          <cell r="I271">
            <v>0.35417260840897546</v>
          </cell>
          <cell r="J271">
            <v>0.30994571496812889</v>
          </cell>
          <cell r="K271">
            <v>0.34304886186313382</v>
          </cell>
          <cell r="L271">
            <v>0.30953423939099667</v>
          </cell>
          <cell r="M271">
            <v>0.30314046145371676</v>
          </cell>
          <cell r="N271">
            <v>0.32358107895081573</v>
          </cell>
          <cell r="O271">
            <v>0.36108174110042457</v>
          </cell>
        </row>
        <row r="272">
          <cell r="A272" t="str">
            <v>RHNS-SHPLTBR</v>
          </cell>
          <cell r="B272" t="str">
            <v>VAR_fout</v>
          </cell>
          <cell r="C272" t="str">
            <v>RHNS-SHPLT</v>
          </cell>
          <cell r="D272"/>
          <cell r="E272"/>
          <cell r="F272">
            <v>3.259111656155906E-4</v>
          </cell>
          <cell r="G272">
            <v>2.1501140199989667E-3</v>
          </cell>
          <cell r="H272">
            <v>2.1947688234656647E-3</v>
          </cell>
          <cell r="I272">
            <v>2.2719744206903076E-3</v>
          </cell>
          <cell r="J272">
            <v>2.2809133308409287E-3</v>
          </cell>
          <cell r="K272">
            <v>3.6910836623137806E-3</v>
          </cell>
          <cell r="L272">
            <v>3.6904569112638599E-3</v>
          </cell>
          <cell r="M272">
            <v>3.7064382038048617E-3</v>
          </cell>
          <cell r="N272">
            <v>3.7152061386325859E-3</v>
          </cell>
          <cell r="O272">
            <v>3.9023134143338686E-3</v>
          </cell>
        </row>
        <row r="273">
          <cell r="A273" t="str">
            <v>RHNS-SHPLTBR</v>
          </cell>
          <cell r="B273" t="str">
            <v>VAR_fin</v>
          </cell>
          <cell r="C273" t="str">
            <v>RPLT</v>
          </cell>
          <cell r="D273"/>
          <cell r="E273"/>
          <cell r="F273">
            <v>3.6212351735065646E-4</v>
          </cell>
          <cell r="G273">
            <v>2.3890155777766282E-3</v>
          </cell>
          <cell r="H273">
            <v>2.4386320260729607E-3</v>
          </cell>
          <cell r="I273">
            <v>2.5244160229892327E-3</v>
          </cell>
          <cell r="J273">
            <v>2.5343481453788098E-3</v>
          </cell>
          <cell r="K273">
            <v>4.1012040692375339E-3</v>
          </cell>
          <cell r="L273">
            <v>4.1005076791820697E-3</v>
          </cell>
          <cell r="M273">
            <v>4.1182646708942932E-3</v>
          </cell>
          <cell r="N273">
            <v>4.1280068207028755E-3</v>
          </cell>
          <cell r="O273">
            <v>4.3359037937043005E-3</v>
          </cell>
        </row>
        <row r="274">
          <cell r="A274" t="str">
            <v>RHNS-SHPLTBR</v>
          </cell>
          <cell r="B274" t="str">
            <v>VAR_ncap</v>
          </cell>
          <cell r="C274" t="str">
            <v>-</v>
          </cell>
          <cell r="D274"/>
          <cell r="E274">
            <v>7.91839322831186E-8</v>
          </cell>
          <cell r="F274">
            <v>3.54892853899216E-5</v>
          </cell>
          <cell r="G274">
            <v>1.6063015256529399E-4</v>
          </cell>
          <cell r="H274">
            <v>1.7454792418846E-6</v>
          </cell>
          <cell r="I274">
            <v>4.3521427291078902E-5</v>
          </cell>
          <cell r="J274">
            <v>1.3533441830874501E-4</v>
          </cell>
          <cell r="K274">
            <v>1.2342818006371399E-4</v>
          </cell>
          <cell r="L274">
            <v>3.9466166993274201E-5</v>
          </cell>
          <cell r="M274">
            <v>1.40345046598919E-4</v>
          </cell>
          <cell r="N274">
            <v>1.0748740056888899E-4</v>
          </cell>
          <cell r="O274">
            <v>8.8714516791526895E-5</v>
          </cell>
        </row>
        <row r="275">
          <cell r="A275" t="str">
            <v>RHNS-SHPLTBR</v>
          </cell>
          <cell r="B275" t="str">
            <v>VAR_cap</v>
          </cell>
          <cell r="C275" t="str">
            <v>-</v>
          </cell>
          <cell r="D275"/>
          <cell r="E275">
            <v>7.91839322831186E-8</v>
          </cell>
          <cell r="F275">
            <v>3.5409239431317396E-5</v>
          </cell>
          <cell r="G275">
            <v>1.9575085500211689E-4</v>
          </cell>
          <cell r="H275">
            <v>1.9726089294309343E-4</v>
          </cell>
          <cell r="I275">
            <v>1.8233822831754124E-4</v>
          </cell>
          <cell r="J275">
            <v>1.8031167185013339E-4</v>
          </cell>
          <cell r="K275">
            <v>3.0187252164474786E-4</v>
          </cell>
          <cell r="L275">
            <v>2.865841211360987E-4</v>
          </cell>
          <cell r="M275">
            <v>3.0280278106648099E-4</v>
          </cell>
          <cell r="N275">
            <v>2.9603136669770653E-4</v>
          </cell>
          <cell r="O275">
            <v>3.3610624164254476E-4</v>
          </cell>
        </row>
        <row r="276">
          <cell r="A276" t="str">
            <v>D-RHNM_KEV_WOD_ELC_CHP</v>
          </cell>
          <cell r="B276" t="str">
            <v>VAR_fout</v>
          </cell>
          <cell r="C276" t="str">
            <v>ELC5</v>
          </cell>
          <cell r="D276"/>
          <cell r="E276"/>
          <cell r="F276"/>
          <cell r="G276">
            <v>1.7909553899170764E-3</v>
          </cell>
          <cell r="H276">
            <v>1.246126476596236E-3</v>
          </cell>
          <cell r="I276">
            <v>1.1148984620733551E-3</v>
          </cell>
          <cell r="J276">
            <v>1.1292962152870836E-3</v>
          </cell>
          <cell r="K276">
            <v>3.187948948314204E-3</v>
          </cell>
          <cell r="L276">
            <v>3.0241020769092844E-3</v>
          </cell>
          <cell r="M276">
            <v>2.7402192596584544E-3</v>
          </cell>
          <cell r="N276">
            <v>2.3530450330893223E-3</v>
          </cell>
          <cell r="O276">
            <v>4.1118224397988373E-3</v>
          </cell>
        </row>
        <row r="277">
          <cell r="A277" t="str">
            <v>D-RHNM_KEV_WOD_ELC_CHP</v>
          </cell>
          <cell r="B277" t="str">
            <v>VAR_fout</v>
          </cell>
          <cell r="C277" t="str">
            <v>RHNM_ELC</v>
          </cell>
          <cell r="D277"/>
          <cell r="E277"/>
          <cell r="F277"/>
          <cell r="G277">
            <v>3.0646900747629998E-4</v>
          </cell>
          <cell r="H277">
            <v>1.2437970092693854E-3</v>
          </cell>
          <cell r="I277">
            <v>1.1134447226072838E-3</v>
          </cell>
          <cell r="J277">
            <v>1.1267233347949037E-3</v>
          </cell>
          <cell r="K277">
            <v>3.1763009812064637E-3</v>
          </cell>
          <cell r="L277">
            <v>3.0125318793192911E-3</v>
          </cell>
          <cell r="M277">
            <v>2.7333324762488457E-3</v>
          </cell>
          <cell r="N277">
            <v>2.3499901696968487E-3</v>
          </cell>
          <cell r="O277">
            <v>4.1044775604194908E-3</v>
          </cell>
        </row>
        <row r="278">
          <cell r="A278" t="str">
            <v>D-RHNM_KEV_WOD_ELC_CHP</v>
          </cell>
          <cell r="B278" t="str">
            <v>VAR_fin</v>
          </cell>
          <cell r="C278" t="str">
            <v>RHNM_KEV_WOD_ELC_CHP</v>
          </cell>
          <cell r="D278"/>
          <cell r="E278"/>
          <cell r="F278"/>
          <cell r="G278">
            <v>2.0931700376970097E-3</v>
          </cell>
          <cell r="H278">
            <v>2.4835351397445734E-3</v>
          </cell>
          <cell r="I278">
            <v>2.2159445800671211E-3</v>
          </cell>
          <cell r="J278">
            <v>2.2436209454684687E-3</v>
          </cell>
          <cell r="K278">
            <v>6.3394527202936327E-3</v>
          </cell>
          <cell r="L278">
            <v>6.0242353516150732E-3</v>
          </cell>
          <cell r="M278">
            <v>5.4487545266802629E-3</v>
          </cell>
          <cell r="N278">
            <v>4.690281082628177E-3</v>
          </cell>
          <cell r="O278">
            <v>8.192213822080234E-3</v>
          </cell>
        </row>
        <row r="279">
          <cell r="A279" t="str">
            <v>SCOM-SHLTHCHPNGA</v>
          </cell>
          <cell r="B279" t="str">
            <v>VAR_fout</v>
          </cell>
          <cell r="C279" t="str">
            <v>SCOM-SHLTHC-NGA</v>
          </cell>
          <cell r="D279">
            <v>0.68566546903670444</v>
          </cell>
          <cell r="E279">
            <v>0.74270301112066661</v>
          </cell>
          <cell r="F279">
            <v>0.64608447364420385</v>
          </cell>
          <cell r="G279">
            <v>2.6485521125671969</v>
          </cell>
          <cell r="H279">
            <v>5.0399487566055328</v>
          </cell>
          <cell r="I279">
            <v>5.2785125258499042</v>
          </cell>
          <cell r="J279">
            <v>5.334372939766137</v>
          </cell>
          <cell r="K279">
            <v>3.8086423931115538</v>
          </cell>
          <cell r="L279">
            <v>3.8120270082043675</v>
          </cell>
          <cell r="M279">
            <v>3.8913735250300894</v>
          </cell>
          <cell r="N279">
            <v>4.1915192858394805</v>
          </cell>
          <cell r="O279">
            <v>4.4337477342239575</v>
          </cell>
        </row>
        <row r="280">
          <cell r="A280" t="str">
            <v>SCOM-SHLTHCHPNGA</v>
          </cell>
          <cell r="B280" t="str">
            <v>VAR_fin</v>
          </cell>
          <cell r="C280" t="str">
            <v>SCOMLTHCHPC</v>
          </cell>
          <cell r="D280">
            <v>0.68566546903670444</v>
          </cell>
          <cell r="E280">
            <v>0.74270301112066661</v>
          </cell>
          <cell r="F280">
            <v>0.64608447364420385</v>
          </cell>
          <cell r="G280">
            <v>2.6485521125671969</v>
          </cell>
          <cell r="H280">
            <v>5.0399487566055328</v>
          </cell>
          <cell r="I280">
            <v>5.2785125258499042</v>
          </cell>
          <cell r="J280">
            <v>5.334372939766137</v>
          </cell>
          <cell r="K280">
            <v>3.8086423931115538</v>
          </cell>
          <cell r="L280">
            <v>3.8120270082043675</v>
          </cell>
          <cell r="M280">
            <v>3.8913735250300894</v>
          </cell>
          <cell r="N280">
            <v>4.1915192858394805</v>
          </cell>
          <cell r="O280">
            <v>4.4337477342239575</v>
          </cell>
        </row>
        <row r="281">
          <cell r="A281" t="str">
            <v>SCOM-SHLTHCHPNGA</v>
          </cell>
          <cell r="B281" t="str">
            <v>VAR_fin</v>
          </cell>
          <cell r="C281" t="str">
            <v>SCOM_LTH_CHPNGA_ON</v>
          </cell>
          <cell r="D281">
            <v>0.69259138286535782</v>
          </cell>
          <cell r="E281">
            <v>0.75020506173804813</v>
          </cell>
          <cell r="F281">
            <v>0.65261057943858936</v>
          </cell>
          <cell r="G281">
            <v>2.6753051642092922</v>
          </cell>
          <cell r="H281">
            <v>5.0908573299045843</v>
          </cell>
          <cell r="I281">
            <v>5.3318308341918206</v>
          </cell>
          <cell r="J281">
            <v>5.3882554947132677</v>
          </cell>
          <cell r="K281">
            <v>3.8471135283955062</v>
          </cell>
          <cell r="L281">
            <v>3.8505323315195605</v>
          </cell>
          <cell r="M281">
            <v>3.9306803283132239</v>
          </cell>
          <cell r="N281">
            <v>4.2338578644843246</v>
          </cell>
          <cell r="O281">
            <v>4.478533064872682</v>
          </cell>
        </row>
        <row r="282">
          <cell r="A282" t="str">
            <v>SCOM-SHLTHCHPNGA</v>
          </cell>
          <cell r="B282" t="str">
            <v>VAR_ncap</v>
          </cell>
          <cell r="C282" t="str">
            <v>-</v>
          </cell>
          <cell r="D282">
            <v>1.78207894556428E-7</v>
          </cell>
          <cell r="E282">
            <v>2.2358653451572001E-2</v>
          </cell>
          <cell r="F282">
            <v>2.4060024639216401E-2</v>
          </cell>
          <cell r="G282">
            <v>0.16647950127800301</v>
          </cell>
          <cell r="H282">
            <v>0.21985831183468499</v>
          </cell>
          <cell r="I282">
            <v>0.135916082580503</v>
          </cell>
          <cell r="J282">
            <v>0.123374828087626</v>
          </cell>
          <cell r="K282">
            <v>0.12656579585511099</v>
          </cell>
          <cell r="L282">
            <v>0.121048968656485</v>
          </cell>
          <cell r="M282">
            <v>0.13035734440932001</v>
          </cell>
          <cell r="N282">
            <v>0.166021372323755</v>
          </cell>
          <cell r="O282">
            <v>0.133928831691151</v>
          </cell>
        </row>
        <row r="283">
          <cell r="A283" t="str">
            <v>SCOM-SHLTHCHPNGA</v>
          </cell>
          <cell r="B283" t="str">
            <v>VAR_cap</v>
          </cell>
          <cell r="C283" t="str">
            <v>-</v>
          </cell>
          <cell r="D283">
            <v>7.5969447166421455E-2</v>
          </cell>
          <cell r="E283">
            <v>5.7388510972221106E-2</v>
          </cell>
          <cell r="F283">
            <v>4.9923407331155606E-2</v>
          </cell>
          <cell r="G283">
            <v>0.20465473468590492</v>
          </cell>
          <cell r="H283">
            <v>0.38943978527479428</v>
          </cell>
          <cell r="I283">
            <v>0.40787405372230945</v>
          </cell>
          <cell r="J283">
            <v>0.41218918126396559</v>
          </cell>
          <cell r="K283">
            <v>0.29429803615094691</v>
          </cell>
          <cell r="L283">
            <v>0.29455812637381229</v>
          </cell>
          <cell r="M283">
            <v>0.30069050386156426</v>
          </cell>
          <cell r="N283">
            <v>0.32388248978982437</v>
          </cell>
          <cell r="O283">
            <v>0.34260242823939757</v>
          </cell>
        </row>
        <row r="284">
          <cell r="A284" t="str">
            <v>ITOT-PROCESSCO2</v>
          </cell>
          <cell r="B284" t="str">
            <v>VAR_fout</v>
          </cell>
          <cell r="C284" t="str">
            <v>CO2</v>
          </cell>
          <cell r="D284">
            <v>2089.34680048464</v>
          </cell>
          <cell r="E284">
            <v>2111.0131698740802</v>
          </cell>
          <cell r="F284">
            <v>2102.26947106126</v>
          </cell>
          <cell r="G284">
            <v>2093.6570624126398</v>
          </cell>
          <cell r="H284">
            <v>2085.53495476948</v>
          </cell>
          <cell r="I284">
            <v>2077.4128471263102</v>
          </cell>
          <cell r="J284">
            <v>2070.5807016906501</v>
          </cell>
          <cell r="K284">
            <v>2063.74855625499</v>
          </cell>
          <cell r="L284">
            <v>2063.74855625499</v>
          </cell>
          <cell r="M284">
            <v>2063.74855625499</v>
          </cell>
          <cell r="N284">
            <v>2063.74855625499</v>
          </cell>
          <cell r="O284">
            <v>2063.74855625499</v>
          </cell>
        </row>
        <row r="285">
          <cell r="A285" t="str">
            <v>ITOT-PROCESSCO2</v>
          </cell>
          <cell r="B285" t="str">
            <v>VAR_fout</v>
          </cell>
          <cell r="C285" t="str">
            <v>CO2P</v>
          </cell>
          <cell r="D285">
            <v>2089.34680048464</v>
          </cell>
          <cell r="E285">
            <v>2111.0131698740802</v>
          </cell>
          <cell r="F285">
            <v>2102.26947106126</v>
          </cell>
          <cell r="G285">
            <v>2093.6570624126398</v>
          </cell>
          <cell r="H285">
            <v>2085.53495476948</v>
          </cell>
          <cell r="I285">
            <v>2077.4128471263102</v>
          </cell>
          <cell r="J285">
            <v>2070.5807016906501</v>
          </cell>
          <cell r="K285">
            <v>2063.74855625499</v>
          </cell>
          <cell r="L285">
            <v>2063.74855625499</v>
          </cell>
          <cell r="M285">
            <v>2063.74855625499</v>
          </cell>
          <cell r="N285">
            <v>2063.74855625499</v>
          </cell>
          <cell r="O285">
            <v>2063.74855625499</v>
          </cell>
        </row>
        <row r="286">
          <cell r="A286" t="str">
            <v>RHNM-SHWODBR</v>
          </cell>
          <cell r="B286" t="str">
            <v>VAR_fout</v>
          </cell>
          <cell r="C286" t="str">
            <v>RHNM-SHWOD</v>
          </cell>
          <cell r="D286"/>
          <cell r="E286">
            <v>8.1141447865702196E-2</v>
          </cell>
          <cell r="F286">
            <v>8.1141274810904329E-2</v>
          </cell>
          <cell r="G286">
            <v>8.1139484346272328E-2</v>
          </cell>
          <cell r="H286">
            <v>8.1140559103316634E-2</v>
          </cell>
          <cell r="I286">
            <v>8.1139734261924085E-2</v>
          </cell>
          <cell r="J286">
            <v>8.1139815629460793E-2</v>
          </cell>
          <cell r="K286">
            <v>8.1141846344822133E-2</v>
          </cell>
          <cell r="L286">
            <v>8.1139067171892579E-2</v>
          </cell>
          <cell r="M286">
            <v>8.114079130703114E-2</v>
          </cell>
          <cell r="N286">
            <v>6.8043833289546524E-2</v>
          </cell>
          <cell r="O286">
            <v>4.1464113108247762E-2</v>
          </cell>
        </row>
        <row r="287">
          <cell r="A287" t="str">
            <v>RHNM-SHWODBR</v>
          </cell>
          <cell r="B287" t="str">
            <v>VAR_fin</v>
          </cell>
          <cell r="C287" t="str">
            <v>RHNMWODBRC</v>
          </cell>
          <cell r="D287"/>
          <cell r="E287">
            <v>8.1141447865702196E-2</v>
          </cell>
          <cell r="F287">
            <v>8.1141274810904329E-2</v>
          </cell>
          <cell r="G287">
            <v>8.1139484346272328E-2</v>
          </cell>
          <cell r="H287">
            <v>8.1140559103316634E-2</v>
          </cell>
          <cell r="I287">
            <v>8.1139734261924085E-2</v>
          </cell>
          <cell r="J287">
            <v>8.1139815629460793E-2</v>
          </cell>
          <cell r="K287">
            <v>8.1141846344822133E-2</v>
          </cell>
          <cell r="L287">
            <v>8.1139067171892579E-2</v>
          </cell>
          <cell r="M287">
            <v>8.114079130703114E-2</v>
          </cell>
          <cell r="N287">
            <v>6.8043833289546524E-2</v>
          </cell>
          <cell r="O287">
            <v>4.1464113108247762E-2</v>
          </cell>
        </row>
        <row r="288">
          <cell r="A288" t="str">
            <v>RHNM-SHWODBR</v>
          </cell>
          <cell r="B288" t="str">
            <v>VAR_fin</v>
          </cell>
          <cell r="C288" t="str">
            <v>RWOD</v>
          </cell>
          <cell r="D288"/>
          <cell r="E288">
            <v>0.11269645536903083</v>
          </cell>
          <cell r="F288">
            <v>0.11269621501514489</v>
          </cell>
          <cell r="G288">
            <v>0.11269372825871166</v>
          </cell>
          <cell r="H288">
            <v>0.1126952209768286</v>
          </cell>
          <cell r="I288">
            <v>0.11269407536378344</v>
          </cell>
          <cell r="J288">
            <v>0.11269418837425126</v>
          </cell>
          <cell r="K288">
            <v>0.11269700881225297</v>
          </cell>
          <cell r="L288">
            <v>0.11269314884985075</v>
          </cell>
          <cell r="M288">
            <v>0.11269554348198783</v>
          </cell>
          <cell r="N288">
            <v>9.4505324013259132E-2</v>
          </cell>
          <cell r="O288">
            <v>5.7589045983677423E-2</v>
          </cell>
        </row>
        <row r="289">
          <cell r="A289" t="str">
            <v>RHNM-SHWODBR</v>
          </cell>
          <cell r="B289" t="str">
            <v>VAR_ncap</v>
          </cell>
          <cell r="C289" t="str">
            <v>-</v>
          </cell>
          <cell r="D289"/>
          <cell r="E289">
            <v>6.34065933673909E-3</v>
          </cell>
          <cell r="F289">
            <v>1.34002152006471E-4</v>
          </cell>
          <cell r="G289"/>
          <cell r="H289">
            <v>6.2860946295065596E-3</v>
          </cell>
          <cell r="I289"/>
          <cell r="J289">
            <v>6.3191560743801898E-3</v>
          </cell>
          <cell r="K289"/>
          <cell r="L289">
            <v>1.3026914140462601E-3</v>
          </cell>
          <cell r="M289">
            <v>5.0353117677667102E-3</v>
          </cell>
          <cell r="N289">
            <v>1.86956312897301E-6</v>
          </cell>
          <cell r="O289">
            <v>3.5216932843022801E-6</v>
          </cell>
        </row>
        <row r="290">
          <cell r="A290" t="str">
            <v>RHNM-SHWODBR</v>
          </cell>
          <cell r="B290" t="str">
            <v>VAR_cap</v>
          </cell>
          <cell r="C290" t="str">
            <v>-</v>
          </cell>
          <cell r="D290"/>
          <cell r="E290">
            <v>6.34065933673909E-3</v>
          </cell>
          <cell r="F290">
            <v>6.4743402069876643E-3</v>
          </cell>
          <cell r="G290">
            <v>6.4740185999322504E-3</v>
          </cell>
          <cell r="H290">
            <v>8.6854878816189935E-3</v>
          </cell>
          <cell r="I290">
            <v>6.3139907410255987E-3</v>
          </cell>
          <cell r="J290">
            <v>8.5037076696193193E-3</v>
          </cell>
          <cell r="K290">
            <v>6.319038599896706E-3</v>
          </cell>
          <cell r="L290">
            <v>6.7841651457291119E-3</v>
          </cell>
          <cell r="M290">
            <v>6.3377601940779989E-3</v>
          </cell>
          <cell r="N290">
            <v>5.9212472842785357E-3</v>
          </cell>
          <cell r="O290">
            <v>5.0386489323258361E-3</v>
          </cell>
        </row>
        <row r="291">
          <cell r="A291" t="str">
            <v>RHNS-SHDEM</v>
          </cell>
          <cell r="B291" t="str">
            <v>VAR_fout</v>
          </cell>
          <cell r="C291" t="str">
            <v>RHNS-SHD</v>
          </cell>
          <cell r="D291"/>
          <cell r="E291">
            <v>0.40468474157116097</v>
          </cell>
          <cell r="F291">
            <v>0.97896184894018168</v>
          </cell>
          <cell r="G291">
            <v>1.8213001332059027</v>
          </cell>
          <cell r="H291">
            <v>2.5492379365481295</v>
          </cell>
          <cell r="I291">
            <v>3.2448537498998999</v>
          </cell>
          <cell r="J291">
            <v>3.9476923331595399</v>
          </cell>
          <cell r="K291">
            <v>4.640940441924938</v>
          </cell>
          <cell r="L291">
            <v>4.5132691916419718</v>
          </cell>
          <cell r="M291">
            <v>4.3780871033880588</v>
          </cell>
          <cell r="N291">
            <v>4.2942157029400096</v>
          </cell>
          <cell r="O291">
            <v>3.996216882388933</v>
          </cell>
        </row>
        <row r="292">
          <cell r="A292" t="str">
            <v>RHNS-SHDEM</v>
          </cell>
          <cell r="B292" t="str">
            <v>VAR_fin</v>
          </cell>
          <cell r="C292" t="str">
            <v>RHNS-SHLTHC-WOD</v>
          </cell>
          <cell r="D292"/>
          <cell r="E292"/>
          <cell r="F292">
            <v>2.4934603046102255E-4</v>
          </cell>
          <cell r="G292">
            <v>1.9617782266141168E-3</v>
          </cell>
          <cell r="H292">
            <v>3.7748039576589558E-3</v>
          </cell>
          <cell r="I292">
            <v>3.7397215837762718E-3</v>
          </cell>
          <cell r="J292">
            <v>3.5511998982822538E-3</v>
          </cell>
          <cell r="K292">
            <v>9.5560759070788155E-3</v>
          </cell>
          <cell r="L292">
            <v>9.7571192101138012E-3</v>
          </cell>
          <cell r="M292">
            <v>1.2061450617252518E-2</v>
          </cell>
          <cell r="N292">
            <v>6.7191721337105407E-3</v>
          </cell>
          <cell r="O292">
            <v>5.8152802490879174E-2</v>
          </cell>
        </row>
        <row r="293">
          <cell r="A293" t="str">
            <v>RHNS-SHDEM</v>
          </cell>
          <cell r="B293" t="str">
            <v>VAR_fin</v>
          </cell>
          <cell r="C293" t="str">
            <v>RHNS-SHLFO</v>
          </cell>
          <cell r="D293"/>
          <cell r="E293">
            <v>3.3348664931511644E-6</v>
          </cell>
          <cell r="F293"/>
          <cell r="G293">
            <v>1.8950725092146912E-5</v>
          </cell>
          <cell r="H293">
            <v>7.9772457552962893E-5</v>
          </cell>
          <cell r="I293">
            <v>2.1969755854216112E-4</v>
          </cell>
          <cell r="J293">
            <v>1.1834770619310743E-4</v>
          </cell>
          <cell r="K293">
            <v>9.8177755541073124E-5</v>
          </cell>
          <cell r="L293">
            <v>2.4680218770946431E-5</v>
          </cell>
          <cell r="N293">
            <v>3.3020238229576626E-4</v>
          </cell>
        </row>
        <row r="294">
          <cell r="A294" t="str">
            <v>RHNS-SHDEM</v>
          </cell>
          <cell r="B294" t="str">
            <v>VAR_fin</v>
          </cell>
          <cell r="C294" t="str">
            <v>RHNS-SHNGAH</v>
          </cell>
          <cell r="D294"/>
          <cell r="E294"/>
          <cell r="F294">
            <v>2.5466378621160054E-3</v>
          </cell>
          <cell r="G294">
            <v>2.5607957051813554E-3</v>
          </cell>
          <cell r="H294">
            <v>0.52699788114430468</v>
          </cell>
          <cell r="I294">
            <v>1.3032652613740257</v>
          </cell>
          <cell r="J294">
            <v>1.3035518400791817</v>
          </cell>
          <cell r="K294">
            <v>1.5806964646579984</v>
          </cell>
          <cell r="L294">
            <v>1.5809405039930844</v>
          </cell>
          <cell r="M294">
            <v>1.579695893367389</v>
          </cell>
          <cell r="N294">
            <v>1.5736797433974412</v>
          </cell>
          <cell r="O294">
            <v>1.3598773424365693</v>
          </cell>
        </row>
        <row r="295">
          <cell r="A295" t="str">
            <v>RHNS-SHDEM</v>
          </cell>
          <cell r="B295" t="str">
            <v>VAR_fin</v>
          </cell>
          <cell r="C295" t="str">
            <v>RHNS-SHCON</v>
          </cell>
          <cell r="D295"/>
          <cell r="E295"/>
          <cell r="F295">
            <v>1.0907927043210323E-4</v>
          </cell>
          <cell r="G295">
            <v>5.5420452281290275E-5</v>
          </cell>
          <cell r="H295">
            <v>9.1408020597759937E-5</v>
          </cell>
          <cell r="I295">
            <v>9.4066850150418356E-5</v>
          </cell>
          <cell r="J295">
            <v>9.6538935206492694E-5</v>
          </cell>
          <cell r="K295">
            <v>2.8405982772426009E-4</v>
          </cell>
          <cell r="L295">
            <v>2.2273978348379936E-4</v>
          </cell>
          <cell r="M295">
            <v>2.99212098688066E-4</v>
          </cell>
          <cell r="N295">
            <v>2.2624022583937981E-4</v>
          </cell>
          <cell r="O295">
            <v>3.7112894277691131E-4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RHNS-SHWOD</v>
          </cell>
          <cell r="D296"/>
          <cell r="E296">
            <v>2.6433714441098689E-2</v>
          </cell>
          <cell r="F296">
            <v>9.2129206983133954E-2</v>
          </cell>
          <cell r="G296">
            <v>0.10468655381611226</v>
          </cell>
          <cell r="H296">
            <v>0.2167253850458753</v>
          </cell>
          <cell r="I296">
            <v>0.14640564229303449</v>
          </cell>
          <cell r="J296">
            <v>0.26538880135211762</v>
          </cell>
          <cell r="K296">
            <v>0.14801734822222654</v>
          </cell>
          <cell r="L296">
            <v>0.34246110807805341</v>
          </cell>
          <cell r="M296">
            <v>0.21265490100816484</v>
          </cell>
          <cell r="N296">
            <v>0.1328714320725021</v>
          </cell>
          <cell r="O296">
            <v>0.10566464320934042</v>
          </cell>
        </row>
        <row r="297">
          <cell r="A297" t="str">
            <v>RHNS-SHDEM</v>
          </cell>
          <cell r="B297" t="str">
            <v>VAR_fin</v>
          </cell>
          <cell r="C297" t="str">
            <v>RHNS-SHNST</v>
          </cell>
          <cell r="D297"/>
          <cell r="E297">
            <v>6.4532053935678533E-6</v>
          </cell>
          <cell r="F297"/>
          <cell r="G297">
            <v>6.5646887146794404E-4</v>
          </cell>
          <cell r="H297">
            <v>5.3441711825601439E-4</v>
          </cell>
          <cell r="I297"/>
          <cell r="J297">
            <v>3.6168674951439793E-4</v>
          </cell>
          <cell r="K297">
            <v>1.1280752909480958E-3</v>
          </cell>
          <cell r="L297">
            <v>1.0135892638911497E-3</v>
          </cell>
          <cell r="M297">
            <v>1.5180888513295844E-3</v>
          </cell>
          <cell r="N297">
            <v>8.647594143166874E-4</v>
          </cell>
          <cell r="O297">
            <v>3.5608087662343225E-2</v>
          </cell>
        </row>
        <row r="298">
          <cell r="A298" t="str">
            <v>RHNS-SHDEM</v>
          </cell>
          <cell r="B298" t="str">
            <v>VAR_fin</v>
          </cell>
          <cell r="C298" t="str">
            <v>RHNS-SHPLT</v>
          </cell>
          <cell r="D298"/>
          <cell r="E298">
            <v>1.9139457289060846E-4</v>
          </cell>
          <cell r="F298">
            <v>1.2365561013706794E-3</v>
          </cell>
          <cell r="G298">
            <v>2.5069941782267292E-3</v>
          </cell>
          <cell r="H298">
            <v>2.6794267069937812E-3</v>
          </cell>
          <cell r="I298">
            <v>2.7388838133043164E-3</v>
          </cell>
          <cell r="J298">
            <v>2.7564381531138271E-3</v>
          </cell>
          <cell r="K298">
            <v>4.564991802717959E-3</v>
          </cell>
          <cell r="L298">
            <v>4.3217193530283382E-3</v>
          </cell>
          <cell r="M298">
            <v>4.7227552332800285E-3</v>
          </cell>
          <cell r="N298">
            <v>5.9640356269566952E-3</v>
          </cell>
          <cell r="O298">
            <v>5.5796679624694728E-2</v>
          </cell>
        </row>
        <row r="299">
          <cell r="A299" t="str">
            <v>RHNS-SHDEM</v>
          </cell>
          <cell r="B299" t="str">
            <v>VAR_fin</v>
          </cell>
          <cell r="C299" t="str">
            <v>RHNS-SHLTHD</v>
          </cell>
          <cell r="D299"/>
          <cell r="E299">
            <v>5.3727093451335882E-2</v>
          </cell>
          <cell r="F299">
            <v>7.0903313468311246E-2</v>
          </cell>
          <cell r="G299">
            <v>0.10992506385564881</v>
          </cell>
          <cell r="H299">
            <v>0.17159619736813905</v>
          </cell>
          <cell r="I299">
            <v>0.24322827069681438</v>
          </cell>
          <cell r="J299">
            <v>0.39223559288287246</v>
          </cell>
          <cell r="K299">
            <v>0.63143032735914173</v>
          </cell>
          <cell r="L299">
            <v>0.69124515663901576</v>
          </cell>
          <cell r="M299">
            <v>0.72538185604516681</v>
          </cell>
          <cell r="N299">
            <v>0.75698585894836012</v>
          </cell>
          <cell r="O299">
            <v>0.64909685917802873</v>
          </cell>
        </row>
        <row r="300">
          <cell r="A300" t="str">
            <v>RHNS-SHDEM</v>
          </cell>
          <cell r="B300" t="str">
            <v>VAR_fin</v>
          </cell>
          <cell r="C300" t="str">
            <v>RHNS-SHELCB</v>
          </cell>
          <cell r="D300"/>
          <cell r="E300">
            <v>6.8817322994955119E-2</v>
          </cell>
          <cell r="F300">
            <v>0.14703582953244687</v>
          </cell>
          <cell r="G300">
            <v>6.8853096047493428E-2</v>
          </cell>
          <cell r="H300">
            <v>8.7171532581565014E-2</v>
          </cell>
          <cell r="I300">
            <v>8.7302996401976696E-3</v>
          </cell>
          <cell r="J300">
            <v>0.43273232607874551</v>
          </cell>
          <cell r="K300">
            <v>0.42479037472079828</v>
          </cell>
          <cell r="L300">
            <v>4.5617388057199657E-2</v>
          </cell>
          <cell r="M300">
            <v>4.5312011431102341E-3</v>
          </cell>
          <cell r="N300">
            <v>5.1389554154962084E-3</v>
          </cell>
          <cell r="O300">
            <v>5.5578412836833894E-2</v>
          </cell>
        </row>
        <row r="301">
          <cell r="A301" t="str">
            <v>RHNS-SHDEM</v>
          </cell>
          <cell r="B301" t="str">
            <v>VAR_fin</v>
          </cell>
          <cell r="C301" t="str">
            <v>RHNS-SHELCH</v>
          </cell>
          <cell r="D301"/>
          <cell r="E301">
            <v>0.24134022087980114</v>
          </cell>
          <cell r="F301">
            <v>0.6473377988571497</v>
          </cell>
          <cell r="G301">
            <v>1.5146869986600127</v>
          </cell>
          <cell r="H301">
            <v>1.5154932145575744</v>
          </cell>
          <cell r="I301">
            <v>1.5154775966200087</v>
          </cell>
          <cell r="J301">
            <v>1.5158040449071357</v>
          </cell>
          <cell r="K301">
            <v>1.7987849600529471</v>
          </cell>
          <cell r="L301">
            <v>1.7990576548872581</v>
          </cell>
          <cell r="M301">
            <v>1.7977695565363774</v>
          </cell>
          <cell r="N301">
            <v>1.7916155668166371</v>
          </cell>
          <cell r="O301">
            <v>1.5585095912546618</v>
          </cell>
        </row>
        <row r="302">
          <cell r="A302" t="str">
            <v>RHNS-SHDEM</v>
          </cell>
          <cell r="B302" t="str">
            <v>VAR_fin</v>
          </cell>
          <cell r="C302" t="str">
            <v>RHNS-SHSOL</v>
          </cell>
          <cell r="D302"/>
          <cell r="E302">
            <v>1.329762051984161E-2</v>
          </cell>
          <cell r="F302">
            <v>1.4858117141675049E-2</v>
          </cell>
          <cell r="G302">
            <v>1.305565994174462E-2</v>
          </cell>
          <cell r="H302">
            <v>1.5879897154944426E-2</v>
          </cell>
          <cell r="I302">
            <v>1.2534406727581094E-2</v>
          </cell>
          <cell r="J302">
            <v>1.3627037837463683E-2</v>
          </cell>
          <cell r="K302">
            <v>1.7329862536559597E-2</v>
          </cell>
          <cell r="L302">
            <v>1.7438487705211943E-2</v>
          </cell>
          <cell r="M302">
            <v>1.7085358108942624E-2</v>
          </cell>
          <cell r="N302">
            <v>7.0669682383451447E-3</v>
          </cell>
          <cell r="O302">
            <v>5.6789039369973371E-2</v>
          </cell>
        </row>
        <row r="303">
          <cell r="A303" t="str">
            <v>RHNS-SHDEM</v>
          </cell>
          <cell r="B303" t="str">
            <v>VAR_fin</v>
          </cell>
          <cell r="C303" t="str">
            <v>RHNS-SHLTHC-NGA</v>
          </cell>
          <cell r="D303"/>
          <cell r="E303">
            <v>1.0976990174928346E-3</v>
          </cell>
          <cell r="F303">
            <v>2.6692254389367076E-3</v>
          </cell>
          <cell r="G303">
            <v>2.7745987452433489E-3</v>
          </cell>
          <cell r="H303">
            <v>8.6290256363912108E-3</v>
          </cell>
          <cell r="I303">
            <v>8.3924904276743133E-3</v>
          </cell>
          <cell r="J303">
            <v>1.7734155529626757E-2</v>
          </cell>
          <cell r="K303">
            <v>2.4841540625727472E-2</v>
          </cell>
          <cell r="L303">
            <v>2.1555288987934261E-2</v>
          </cell>
          <cell r="M303">
            <v>2.3005176496025539E-2</v>
          </cell>
          <cell r="N303">
            <v>1.1835370913802989E-2</v>
          </cell>
          <cell r="O303">
            <v>6.1402136768443812E-2</v>
          </cell>
        </row>
        <row r="304">
          <cell r="A304" t="str">
            <v>RHNS-SHDEM</v>
          </cell>
          <cell r="B304" t="str">
            <v>VAR_fin</v>
          </cell>
          <cell r="C304" t="str">
            <v>RHNS-SHNGA</v>
          </cell>
          <cell r="D304"/>
          <cell r="E304">
            <v>8.2732867014167868E-6</v>
          </cell>
          <cell r="F304">
            <v>4.5342300452523685E-4</v>
          </cell>
          <cell r="G304">
            <v>1.520312145137984E-5</v>
          </cell>
          <cell r="H304">
            <v>1.2509943817848285E-4</v>
          </cell>
          <cell r="I304">
            <v>5.1892222040701393E-4</v>
          </cell>
          <cell r="J304">
            <v>2.766056724622786E-4</v>
          </cell>
          <cell r="K304">
            <v>6.0612536166742354E-5</v>
          </cell>
          <cell r="L304">
            <v>3.52560234397928E-5</v>
          </cell>
          <cell r="N304">
            <v>1.2980994123670125E-3</v>
          </cell>
        </row>
        <row r="305">
          <cell r="A305" t="str">
            <v>RES-ELCSPEC</v>
          </cell>
          <cell r="B305" t="str">
            <v>VAR_fout</v>
          </cell>
          <cell r="C305" t="str">
            <v>RHSA-ELS</v>
          </cell>
          <cell r="D305">
            <v>44.576905509555033</v>
          </cell>
          <cell r="E305">
            <v>44.861180258619314</v>
          </cell>
          <cell r="F305">
            <v>44.662714331096282</v>
          </cell>
          <cell r="G305">
            <v>45.065504070762152</v>
          </cell>
          <cell r="H305">
            <v>45.567975420253603</v>
          </cell>
          <cell r="I305">
            <v>46.187070162259261</v>
          </cell>
          <cell r="J305">
            <v>47.27922866908289</v>
          </cell>
          <cell r="K305">
            <v>48.814109038216067</v>
          </cell>
          <cell r="L305">
            <v>51.401574565362914</v>
          </cell>
          <cell r="M305">
            <v>54.870587070221092</v>
          </cell>
          <cell r="N305">
            <v>58.002973322722418</v>
          </cell>
          <cell r="O305">
            <v>65.381294498169979</v>
          </cell>
        </row>
        <row r="306">
          <cell r="A306" t="str">
            <v>RES-ELCSPEC</v>
          </cell>
          <cell r="B306" t="str">
            <v>VAR_fin</v>
          </cell>
          <cell r="C306" t="str">
            <v>RHSA_ELC</v>
          </cell>
          <cell r="D306">
            <v>44.576905509555033</v>
          </cell>
          <cell r="E306">
            <v>44.861180258619314</v>
          </cell>
          <cell r="F306">
            <v>44.662714331096282</v>
          </cell>
          <cell r="G306">
            <v>45.065504070762152</v>
          </cell>
          <cell r="H306">
            <v>45.567975420253603</v>
          </cell>
          <cell r="I306">
            <v>46.187070162259261</v>
          </cell>
          <cell r="J306">
            <v>47.27922866908289</v>
          </cell>
          <cell r="K306">
            <v>48.814109038216067</v>
          </cell>
          <cell r="L306">
            <v>51.401574565362914</v>
          </cell>
          <cell r="M306">
            <v>54.870587070221092</v>
          </cell>
          <cell r="N306">
            <v>58.002973322722418</v>
          </cell>
          <cell r="O306">
            <v>65.381294498169979</v>
          </cell>
        </row>
        <row r="307">
          <cell r="A307" t="str">
            <v>RES-ELCSPEC</v>
          </cell>
          <cell r="B307" t="str">
            <v>VAR_ncap</v>
          </cell>
          <cell r="C307" t="str">
            <v>-</v>
          </cell>
          <cell r="D307">
            <v>0.193211764570004</v>
          </cell>
          <cell r="E307">
            <v>2.7462385703143898E-6</v>
          </cell>
          <cell r="F307">
            <v>3.95199065150001E-6</v>
          </cell>
          <cell r="G307">
            <v>5.1397850003620698E-3</v>
          </cell>
          <cell r="H307">
            <v>5.3115087386679298E-2</v>
          </cell>
          <cell r="I307">
            <v>6.5443156152962895E-2</v>
          </cell>
          <cell r="J307">
            <v>3.1931806158079099</v>
          </cell>
          <cell r="K307">
            <v>1.84275360969158</v>
          </cell>
          <cell r="L307">
            <v>0.27863021773166902</v>
          </cell>
          <cell r="M307">
            <v>0.41979498155865203</v>
          </cell>
          <cell r="N307">
            <v>0.89642373406379305</v>
          </cell>
          <cell r="O307">
            <v>3.4731761982816201</v>
          </cell>
        </row>
        <row r="308">
          <cell r="A308" t="str">
            <v>RES-ELCSPEC</v>
          </cell>
          <cell r="B308" t="str">
            <v>VAR_cap</v>
          </cell>
          <cell r="C308" t="str">
            <v>-</v>
          </cell>
          <cell r="D308">
            <v>4.7117484487004742</v>
          </cell>
          <cell r="E308">
            <v>4.7423675678535364</v>
          </cell>
          <cell r="F308">
            <v>4.7582549975431698</v>
          </cell>
          <cell r="G308">
            <v>4.7633930957629964</v>
          </cell>
          <cell r="H308">
            <v>4.8165040896038036</v>
          </cell>
          <cell r="I308">
            <v>4.8819419964965673</v>
          </cell>
          <cell r="J308">
            <v>4.99738133905156</v>
          </cell>
          <cell r="K308">
            <v>5.1596184459617014</v>
          </cell>
          <cell r="L308">
            <v>5.4331109047478936</v>
          </cell>
          <cell r="M308">
            <v>5.7997851186485185</v>
          </cell>
          <cell r="N308">
            <v>6.1308751309725116</v>
          </cell>
          <cell r="O308">
            <v>6.9107622417526606</v>
          </cell>
        </row>
        <row r="309">
          <cell r="A309" t="str">
            <v>SCOM-SHCONBR1</v>
          </cell>
          <cell r="B309" t="str">
            <v>VAR_fout</v>
          </cell>
          <cell r="C309" t="str">
            <v>SCOM-SHCON</v>
          </cell>
          <cell r="D309"/>
          <cell r="E309">
            <v>1.5198443348156654</v>
          </cell>
          <cell r="F309">
            <v>1.5196127085092652</v>
          </cell>
          <cell r="G309">
            <v>1.5196621324829196</v>
          </cell>
          <cell r="H309">
            <v>1.5195777771498828</v>
          </cell>
          <cell r="I309">
            <v>1.5195980898376948</v>
          </cell>
          <cell r="J309">
            <v>1.5195793141637506</v>
          </cell>
          <cell r="K309">
            <v>2.6177529439165923</v>
          </cell>
          <cell r="L309">
            <v>2.6177940371586752</v>
          </cell>
          <cell r="M309">
            <v>2.6177972370396296</v>
          </cell>
          <cell r="N309">
            <v>2.6177954599898507</v>
          </cell>
          <cell r="O309">
            <v>2.6178227078930605</v>
          </cell>
        </row>
        <row r="310">
          <cell r="A310" t="str">
            <v>SCOM-SHCONBR1</v>
          </cell>
          <cell r="B310" t="str">
            <v>VAR_fin</v>
          </cell>
          <cell r="C310" t="str">
            <v>CON</v>
          </cell>
          <cell r="D310"/>
          <cell r="E310">
            <v>1.5198443348156654</v>
          </cell>
          <cell r="F310">
            <v>1.5196127085092652</v>
          </cell>
          <cell r="G310">
            <v>1.5196621324829196</v>
          </cell>
          <cell r="H310">
            <v>1.5195777771498828</v>
          </cell>
          <cell r="I310">
            <v>1.5195980898376948</v>
          </cell>
          <cell r="J310">
            <v>1.5195793141637506</v>
          </cell>
          <cell r="K310">
            <v>2.6177529439165923</v>
          </cell>
          <cell r="L310">
            <v>2.6177940371586752</v>
          </cell>
          <cell r="M310">
            <v>2.6177972370396296</v>
          </cell>
          <cell r="N310">
            <v>2.6177954599898507</v>
          </cell>
          <cell r="O310">
            <v>2.6178227078930605</v>
          </cell>
        </row>
        <row r="311">
          <cell r="A311" t="str">
            <v>SCOM-SHCONBR1</v>
          </cell>
          <cell r="B311" t="str">
            <v>VAR_ncap</v>
          </cell>
          <cell r="C311" t="str">
            <v>-</v>
          </cell>
          <cell r="D311"/>
          <cell r="E311">
            <v>0.117431990449339</v>
          </cell>
          <cell r="F311">
            <v>2.1774437417014301E-7</v>
          </cell>
          <cell r="G311">
            <v>3.49157896092645E-7</v>
          </cell>
          <cell r="H311">
            <v>1.00500085372522E-7</v>
          </cell>
          <cell r="I311">
            <v>9.4549142981180501E-8</v>
          </cell>
          <cell r="J311">
            <v>1.29798331461013E-7</v>
          </cell>
          <cell r="K311">
            <v>0.123046278298457</v>
          </cell>
          <cell r="L311">
            <v>7.9308431297947193E-2</v>
          </cell>
          <cell r="M311">
            <v>3.83271848221019E-7</v>
          </cell>
          <cell r="N311">
            <v>8.4931546572331505E-7</v>
          </cell>
          <cell r="O311">
            <v>8.8790906338563404E-7</v>
          </cell>
        </row>
        <row r="312">
          <cell r="A312" t="str">
            <v>SCOM-SHCONBR1</v>
          </cell>
          <cell r="B312" t="str">
            <v>VAR_cap</v>
          </cell>
          <cell r="C312" t="str">
            <v>-</v>
          </cell>
          <cell r="D312"/>
          <cell r="E312">
            <v>0.117431990449339</v>
          </cell>
          <cell r="F312">
            <v>0.11743201899942129</v>
          </cell>
          <cell r="G312">
            <v>0.1174322978474711</v>
          </cell>
          <cell r="H312">
            <v>0.11742998643921232</v>
          </cell>
          <cell r="I312">
            <v>0.1174295304293673</v>
          </cell>
          <cell r="J312">
            <v>0.11742824162432546</v>
          </cell>
          <cell r="K312">
            <v>0.20229620332529485</v>
          </cell>
          <cell r="L312">
            <v>0.20235484795834197</v>
          </cell>
          <cell r="M312">
            <v>0.20235020732734152</v>
          </cell>
          <cell r="N312">
            <v>0.20235509105562813</v>
          </cell>
          <cell r="O312">
            <v>0.20235553291170283</v>
          </cell>
        </row>
        <row r="313">
          <cell r="A313" t="str">
            <v>RHSA-WHSTG-SOL</v>
          </cell>
          <cell r="B313" t="str">
            <v>VAR_fout</v>
          </cell>
          <cell r="C313" t="str">
            <v>RHSA-WHASOL</v>
          </cell>
          <cell r="D313">
            <v>5.9179165221205854E-5</v>
          </cell>
          <cell r="E313">
            <v>6.9629791093789171E-5</v>
          </cell>
          <cell r="F313">
            <v>0.49863506834508586</v>
          </cell>
          <cell r="G313">
            <v>0.52099011637828041</v>
          </cell>
          <cell r="H313">
            <v>0.27391006368964271</v>
          </cell>
          <cell r="I313">
            <v>0.24068452762678813</v>
          </cell>
          <cell r="J313">
            <v>0.24045684310196722</v>
          </cell>
          <cell r="K313">
            <v>0.23019376310570008</v>
          </cell>
          <cell r="L313">
            <v>0.2322968802809717</v>
          </cell>
          <cell r="M313">
            <v>0.21323551622557466</v>
          </cell>
          <cell r="N313">
            <v>0.21612053663692157</v>
          </cell>
          <cell r="O313">
            <v>0.17052526055716752</v>
          </cell>
        </row>
        <row r="314">
          <cell r="A314" t="str">
            <v>RHSA-WHSTG-SOL</v>
          </cell>
          <cell r="B314" t="str">
            <v>VAR_fin</v>
          </cell>
          <cell r="C314" t="str">
            <v>RHSA-WHASOL</v>
          </cell>
          <cell r="D314">
            <v>2.0879985381820131E-6</v>
          </cell>
          <cell r="E314">
            <v>5.7318132587140068E-6</v>
          </cell>
          <cell r="F314">
            <v>0.49859384790786598</v>
          </cell>
          <cell r="G314">
            <v>0.5209265720678441</v>
          </cell>
          <cell r="H314">
            <v>0.2738463554362861</v>
          </cell>
          <cell r="I314">
            <v>0.24064831196449443</v>
          </cell>
          <cell r="J314">
            <v>0.2403739898931791</v>
          </cell>
          <cell r="K314">
            <v>0.23011520469060742</v>
          </cell>
          <cell r="L314">
            <v>0.23225783872904265</v>
          </cell>
          <cell r="M314">
            <v>0.21308908410900851</v>
          </cell>
          <cell r="N314">
            <v>0.21608317380300068</v>
          </cell>
          <cell r="O314">
            <v>0.17039519863136654</v>
          </cell>
        </row>
        <row r="315">
          <cell r="A315" t="str">
            <v>RHSA-WHSTG-SOL</v>
          </cell>
          <cell r="B315" t="str">
            <v>VAR_ncap</v>
          </cell>
          <cell r="C315" t="str">
            <v>-</v>
          </cell>
          <cell r="D315">
            <v>6.0260045017335997E-3</v>
          </cell>
          <cell r="E315">
            <v>7.2235916930658603E-2</v>
          </cell>
          <cell r="F315">
            <v>2.3084282304711298E-6</v>
          </cell>
          <cell r="G315">
            <v>2.0583719849823E-6</v>
          </cell>
          <cell r="H315">
            <v>3.4426715884202999E-3</v>
          </cell>
          <cell r="I315">
            <v>3.3936353108068099E-2</v>
          </cell>
          <cell r="J315">
            <v>1.5233538504499699E-6</v>
          </cell>
          <cell r="K315">
            <v>1.3666247081561701E-3</v>
          </cell>
          <cell r="L315">
            <v>2.8789866421377201E-2</v>
          </cell>
          <cell r="M315">
            <v>2.2386756881749401E-3</v>
          </cell>
          <cell r="N315">
            <v>1.07181868186517E-2</v>
          </cell>
          <cell r="O315">
            <v>1.34208632519346E-2</v>
          </cell>
        </row>
        <row r="316">
          <cell r="A316" t="str">
            <v>RHSA-WHSTG-SOL</v>
          </cell>
          <cell r="B316" t="str">
            <v>VAR_cap</v>
          </cell>
          <cell r="C316" t="str">
            <v>-</v>
          </cell>
          <cell r="D316">
            <v>6.0270670546971961E-3</v>
          </cell>
          <cell r="E316">
            <v>7.8262983985355805E-2</v>
          </cell>
          <cell r="F316">
            <v>7.8265292413586207E-2</v>
          </cell>
          <cell r="G316">
            <v>7.8267350785571205E-2</v>
          </cell>
          <cell r="H316">
            <v>4.2019688995967773E-2</v>
          </cell>
          <cell r="I316">
            <v>3.7381176232527499E-2</v>
          </cell>
          <cell r="J316">
            <v>3.7380548050338899E-2</v>
          </cell>
          <cell r="K316">
            <v>3.5304501170074797E-2</v>
          </cell>
          <cell r="L316">
            <v>3.5372271690163E-2</v>
          </cell>
          <cell r="M316">
            <v>3.23951668177083E-2</v>
          </cell>
          <cell r="N316">
            <v>3.2862006326130302E-2</v>
          </cell>
          <cell r="O316">
            <v>2.6377725758761201E-2</v>
          </cell>
        </row>
        <row r="317">
          <cell r="A317" t="str">
            <v>SCOM-SHCONBR2</v>
          </cell>
          <cell r="B317" t="str">
            <v>VAR_fout</v>
          </cell>
          <cell r="C317" t="str">
            <v>SCOM-SHCON</v>
          </cell>
          <cell r="D317"/>
          <cell r="E317">
            <v>2.3671348490487767</v>
          </cell>
          <cell r="F317">
            <v>2.3668682491111053</v>
          </cell>
          <cell r="G317">
            <v>2.3669331660531525</v>
          </cell>
          <cell r="H317">
            <v>2.3668379992389252</v>
          </cell>
          <cell r="I317">
            <v>2.3668655740128437</v>
          </cell>
          <cell r="J317">
            <v>2.3668393751153021</v>
          </cell>
          <cell r="K317">
            <v>2.2681182390684151</v>
          </cell>
          <cell r="L317">
            <v>4.0772698583132616</v>
          </cell>
          <cell r="M317">
            <v>4.0772722154470591</v>
          </cell>
          <cell r="N317">
            <v>4.0772694423078821</v>
          </cell>
          <cell r="O317">
            <v>4.0772947910299484</v>
          </cell>
        </row>
        <row r="318">
          <cell r="A318" t="str">
            <v>SCOM-SHCONBR2</v>
          </cell>
          <cell r="B318" t="str">
            <v>VAR_fin</v>
          </cell>
          <cell r="C318" t="str">
            <v>CON</v>
          </cell>
          <cell r="D318"/>
          <cell r="E318">
            <v>2.3671348490487767</v>
          </cell>
          <cell r="F318">
            <v>2.3668682491111053</v>
          </cell>
          <cell r="G318">
            <v>2.3669331660531525</v>
          </cell>
          <cell r="H318">
            <v>2.3668379992389252</v>
          </cell>
          <cell r="I318">
            <v>2.3668655740128437</v>
          </cell>
          <cell r="J318">
            <v>2.3668393751153021</v>
          </cell>
          <cell r="K318">
            <v>2.2681182390684151</v>
          </cell>
          <cell r="L318">
            <v>4.0772698583132616</v>
          </cell>
          <cell r="M318">
            <v>4.0772722154470591</v>
          </cell>
          <cell r="N318">
            <v>4.0772694423078821</v>
          </cell>
          <cell r="O318">
            <v>4.0772947910299484</v>
          </cell>
        </row>
        <row r="319">
          <cell r="A319" t="str">
            <v>SCOM-SHCONBR2</v>
          </cell>
          <cell r="B319" t="str">
            <v>VAR_ncap</v>
          </cell>
          <cell r="C319" t="str">
            <v>-</v>
          </cell>
          <cell r="D319"/>
          <cell r="E319">
            <v>0.18290253077155899</v>
          </cell>
          <cell r="F319">
            <v>1.92934885257815E-7</v>
          </cell>
          <cell r="G319">
            <v>3.0506977398550599E-7</v>
          </cell>
          <cell r="H319">
            <v>1.0398158822155299E-7</v>
          </cell>
          <cell r="I319">
            <v>9.2901508358004797E-8</v>
          </cell>
          <cell r="J319">
            <v>1.2495128845211101E-7</v>
          </cell>
          <cell r="K319">
            <v>5.1843489732175403E-2</v>
          </cell>
          <cell r="L319">
            <v>0.26330154598964201</v>
          </cell>
          <cell r="M319">
            <v>3.79399862597174E-7</v>
          </cell>
          <cell r="N319">
            <v>6.4249981508054601E-7</v>
          </cell>
          <cell r="O319">
            <v>9.1313541950898299E-7</v>
          </cell>
        </row>
        <row r="320">
          <cell r="A320" t="str">
            <v>SCOM-SHCONBR2</v>
          </cell>
          <cell r="B320" t="str">
            <v>VAR_cap</v>
          </cell>
          <cell r="C320" t="str">
            <v>-</v>
          </cell>
          <cell r="E320">
            <v>0.18290253077155899</v>
          </cell>
          <cell r="F320">
            <v>0.18290253205036697</v>
          </cell>
          <cell r="G320">
            <v>0.18290276556150217</v>
          </cell>
          <cell r="H320">
            <v>0.18290045789933668</v>
          </cell>
          <cell r="I320">
            <v>0.18289999271437085</v>
          </cell>
          <cell r="J320">
            <v>0.18289846225717524</v>
          </cell>
          <cell r="K320">
            <v>0.17527689777477384</v>
          </cell>
          <cell r="L320">
            <v>0.31514515145375499</v>
          </cell>
          <cell r="M320">
            <v>0.31514091505247332</v>
          </cell>
          <cell r="N320">
            <v>0.31514519289704535</v>
          </cell>
          <cell r="O320">
            <v>0.31514584127989709</v>
          </cell>
        </row>
        <row r="321">
          <cell r="A321" t="str">
            <v>SCOM-SHCONBR3</v>
          </cell>
          <cell r="B321" t="str">
            <v>VAR_fout</v>
          </cell>
          <cell r="C321" t="str">
            <v>SCOM-SHCON</v>
          </cell>
          <cell r="D321"/>
          <cell r="E321">
            <v>1.9020982913444777</v>
          </cell>
          <cell r="F321">
            <v>1.9018484191579865</v>
          </cell>
          <cell r="G321">
            <v>1.9019025871882453</v>
          </cell>
          <cell r="H321">
            <v>1.9018134532025448</v>
          </cell>
          <cell r="I321">
            <v>1.9018373349872797</v>
          </cell>
          <cell r="J321">
            <v>1.9018162190690397</v>
          </cell>
          <cell r="K321">
            <v>1.2834288088021384</v>
          </cell>
          <cell r="L321">
            <v>0.26351590690259424</v>
          </cell>
          <cell r="M321">
            <v>0.26353008995286986</v>
          </cell>
          <cell r="N321">
            <v>0.26351260937488913</v>
          </cell>
          <cell r="O321">
            <v>0.26355864217662012</v>
          </cell>
        </row>
        <row r="322">
          <cell r="A322" t="str">
            <v>SCOM-SHCONBR3</v>
          </cell>
          <cell r="B322" t="str">
            <v>VAR_fin</v>
          </cell>
          <cell r="C322" t="str">
            <v>CON</v>
          </cell>
          <cell r="D322"/>
          <cell r="E322">
            <v>1.9020982913444777</v>
          </cell>
          <cell r="F322">
            <v>1.9018484191579865</v>
          </cell>
          <cell r="G322">
            <v>1.9019025871882453</v>
          </cell>
          <cell r="H322">
            <v>1.9018134532025448</v>
          </cell>
          <cell r="I322">
            <v>1.9018373349872797</v>
          </cell>
          <cell r="J322">
            <v>1.9018162190690397</v>
          </cell>
          <cell r="K322">
            <v>1.2834288088021384</v>
          </cell>
          <cell r="L322">
            <v>0.26351590690259424</v>
          </cell>
          <cell r="M322">
            <v>0.26353008995286986</v>
          </cell>
          <cell r="N322">
            <v>0.26351260937488913</v>
          </cell>
          <cell r="O322">
            <v>0.26355864217662012</v>
          </cell>
        </row>
        <row r="323">
          <cell r="A323" t="str">
            <v>SCOM-SHCONBR3</v>
          </cell>
          <cell r="B323" t="str">
            <v>VAR_ncap</v>
          </cell>
          <cell r="C323" t="str">
            <v>-</v>
          </cell>
          <cell r="D323"/>
          <cell r="E323">
            <v>0.14696898179469001</v>
          </cell>
          <cell r="F323">
            <v>7.5480639821492906E-8</v>
          </cell>
          <cell r="G323">
            <v>1.01223820383073E-7</v>
          </cell>
          <cell r="H323">
            <v>6.9871368661799205E-8</v>
          </cell>
          <cell r="I323">
            <v>6.3694208732043104E-8</v>
          </cell>
          <cell r="J323">
            <v>8.1618558127064705E-8</v>
          </cell>
          <cell r="K323">
            <v>8.4028887367038804E-7</v>
          </cell>
          <cell r="L323">
            <v>2.0365420332099999E-2</v>
          </cell>
          <cell r="M323">
            <v>4.4396210377433297E-7</v>
          </cell>
          <cell r="N323">
            <v>6.6481566675515205E-7</v>
          </cell>
          <cell r="O323">
            <v>1.3166417446361201E-6</v>
          </cell>
        </row>
        <row r="324">
          <cell r="A324" t="str">
            <v>SCOM-SHCONBR3</v>
          </cell>
          <cell r="B324" t="str">
            <v>VAR_cap</v>
          </cell>
          <cell r="C324" t="str">
            <v>-</v>
          </cell>
          <cell r="D324"/>
          <cell r="E324">
            <v>0.14696898179469001</v>
          </cell>
          <cell r="F324">
            <v>0.14696887409836124</v>
          </cell>
          <cell r="G324">
            <v>0.14696891690110625</v>
          </cell>
          <cell r="H324">
            <v>0.14696664350548841</v>
          </cell>
          <cell r="I324">
            <v>0.14696618014916038</v>
          </cell>
          <cell r="J324">
            <v>0.14696488659422954</v>
          </cell>
          <cell r="K324">
            <v>9.9183775998860663E-2</v>
          </cell>
          <cell r="L324">
            <v>2.0366184634931922E-2</v>
          </cell>
          <cell r="M324">
            <v>2.0365301463180562E-2</v>
          </cell>
          <cell r="N324">
            <v>2.0366787348461798E-2</v>
          </cell>
          <cell r="O324">
            <v>2.0368157846635933E-2</v>
          </cell>
        </row>
        <row r="325">
          <cell r="A325" t="str">
            <v>SCOM-SHCONBR4</v>
          </cell>
          <cell r="B325" t="str">
            <v>VAR_fout</v>
          </cell>
          <cell r="C325" t="str">
            <v>SCOM-SHCON</v>
          </cell>
          <cell r="D325"/>
          <cell r="E325">
            <v>0.52296197100453212</v>
          </cell>
          <cell r="F325">
            <v>0.52281111703699323</v>
          </cell>
          <cell r="G325">
            <v>0.52281931219005595</v>
          </cell>
          <cell r="H325">
            <v>0.5227577596849089</v>
          </cell>
          <cell r="I325">
            <v>0.52276260283816134</v>
          </cell>
          <cell r="J325">
            <v>0.52275540330810732</v>
          </cell>
          <cell r="K325">
            <v>0.35283021082610982</v>
          </cell>
          <cell r="L325">
            <v>1.303598611138842E-3</v>
          </cell>
          <cell r="M325">
            <v>1.3472646222111248E-3</v>
          </cell>
          <cell r="N325">
            <v>1.3183469349633274E-3</v>
          </cell>
          <cell r="O325">
            <v>1.4026063217644292E-3</v>
          </cell>
        </row>
        <row r="326">
          <cell r="A326" t="str">
            <v>SCOM-SHCONBR4</v>
          </cell>
          <cell r="B326" t="str">
            <v>VAR_fin</v>
          </cell>
          <cell r="C326" t="str">
            <v>CON</v>
          </cell>
          <cell r="D326"/>
          <cell r="E326">
            <v>0.52296197100453212</v>
          </cell>
          <cell r="F326">
            <v>0.52281111703699323</v>
          </cell>
          <cell r="G326">
            <v>0.52281931219005595</v>
          </cell>
          <cell r="H326">
            <v>0.5227577596849089</v>
          </cell>
          <cell r="I326">
            <v>0.52276260283816134</v>
          </cell>
          <cell r="J326">
            <v>0.52275540330810732</v>
          </cell>
          <cell r="K326">
            <v>0.35283021082610982</v>
          </cell>
          <cell r="L326">
            <v>1.303598611138842E-3</v>
          </cell>
          <cell r="M326">
            <v>1.3472646222111248E-3</v>
          </cell>
          <cell r="N326">
            <v>1.3183469349633274E-3</v>
          </cell>
          <cell r="O326">
            <v>1.4026063217644292E-3</v>
          </cell>
        </row>
        <row r="327">
          <cell r="A327" t="str">
            <v>SCOM-SHCONBR4</v>
          </cell>
          <cell r="B327" t="str">
            <v>VAR_ncap</v>
          </cell>
          <cell r="C327" t="str">
            <v>-</v>
          </cell>
          <cell r="D327"/>
          <cell r="E327">
            <v>4.0402485315638899E-2</v>
          </cell>
          <cell r="F327">
            <v>5.9472707694253497E-8</v>
          </cell>
          <cell r="G327">
            <v>7.6848515185404795E-8</v>
          </cell>
          <cell r="H327">
            <v>6.1998280760288098E-8</v>
          </cell>
          <cell r="I327">
            <v>5.6753110361683102E-8</v>
          </cell>
          <cell r="J327">
            <v>6.8969065897095504E-8</v>
          </cell>
          <cell r="K327">
            <v>9.2410757781933003E-7</v>
          </cell>
          <cell r="L327">
            <v>9.8866097690191506E-5</v>
          </cell>
          <cell r="M327">
            <v>5.3851194115648597E-7</v>
          </cell>
          <cell r="N327">
            <v>7.8521162256882501E-7</v>
          </cell>
          <cell r="O327">
            <v>2.1008062956419001E-6</v>
          </cell>
        </row>
        <row r="328">
          <cell r="A328" t="str">
            <v>SCOM-SHCONBR4</v>
          </cell>
          <cell r="B328" t="str">
            <v>VAR_cap</v>
          </cell>
          <cell r="C328" t="str">
            <v>-</v>
          </cell>
          <cell r="D328"/>
          <cell r="E328">
            <v>4.0402485315638899E-2</v>
          </cell>
          <cell r="F328">
            <v>4.0402379596329627E-2</v>
          </cell>
          <cell r="G328">
            <v>4.040239921246426E-2</v>
          </cell>
          <cell r="H328">
            <v>4.0400188501954079E-2</v>
          </cell>
          <cell r="I328">
            <v>4.0399723698916548E-2</v>
          </cell>
          <cell r="J328">
            <v>4.0398511163479631E-2</v>
          </cell>
          <cell r="K328">
            <v>2.7265982422474879E-2</v>
          </cell>
          <cell r="L328">
            <v>9.9694326438022716E-5</v>
          </cell>
          <cell r="M328">
            <v>9.948182644839532E-5</v>
          </cell>
          <cell r="N328">
            <v>1.0063800665386142E-4</v>
          </cell>
          <cell r="O328">
            <v>1.0282898474032914E-4</v>
          </cell>
        </row>
        <row r="329">
          <cell r="A329" t="str">
            <v>RHEM-SHNGABR</v>
          </cell>
          <cell r="B329" t="str">
            <v>VAR_fout</v>
          </cell>
          <cell r="C329" t="str">
            <v>CO2_R</v>
          </cell>
          <cell r="D329">
            <v>1127.96413709898</v>
          </cell>
          <cell r="E329">
            <v>1120.1043067542801</v>
          </cell>
          <cell r="F329">
            <v>1127.0273109976299</v>
          </cell>
          <cell r="G329">
            <v>1119.55854801895</v>
          </cell>
          <cell r="H329">
            <v>1096.39375478385</v>
          </cell>
          <cell r="I329">
            <v>1060.6880719451101</v>
          </cell>
          <cell r="J329">
            <v>1026.4720139692599</v>
          </cell>
          <cell r="K329">
            <v>993.40806469616803</v>
          </cell>
          <cell r="L329">
            <v>947.82250799489304</v>
          </cell>
          <cell r="M329">
            <v>888.78623906374696</v>
          </cell>
          <cell r="N329">
            <v>870.63776755253195</v>
          </cell>
          <cell r="O329">
            <v>693.849179717737</v>
          </cell>
        </row>
        <row r="330">
          <cell r="A330" t="str">
            <v>RHEM-SHNGABR</v>
          </cell>
          <cell r="B330" t="str">
            <v>VAR_fout</v>
          </cell>
          <cell r="C330" t="str">
            <v>RHEM-SHNGA</v>
          </cell>
          <cell r="D330">
            <v>18.999395926312623</v>
          </cell>
          <cell r="E330">
            <v>18.867005166960361</v>
          </cell>
          <cell r="F330">
            <v>18.983616054038038</v>
          </cell>
          <cell r="G330">
            <v>18.857812422305042</v>
          </cell>
          <cell r="H330">
            <v>18.467625302210159</v>
          </cell>
          <cell r="I330">
            <v>17.866199793401723</v>
          </cell>
          <cell r="J330">
            <v>17.289865483524835</v>
          </cell>
          <cell r="K330">
            <v>16.732937259953175</v>
          </cell>
          <cell r="L330">
            <v>15.965095436084187</v>
          </cell>
          <cell r="M330">
            <v>14.970690196995733</v>
          </cell>
          <cell r="N330">
            <v>14.664997857711096</v>
          </cell>
          <cell r="O330">
            <v>11.687175899500897</v>
          </cell>
        </row>
        <row r="331">
          <cell r="A331" t="str">
            <v>RHEM-SHNGABR</v>
          </cell>
          <cell r="B331" t="str">
            <v>VAR_fin</v>
          </cell>
          <cell r="C331" t="str">
            <v>RNGA</v>
          </cell>
          <cell r="D331">
            <v>19.999364132960675</v>
          </cell>
          <cell r="E331">
            <v>19.860005438905642</v>
          </cell>
          <cell r="F331">
            <v>19.982753741092665</v>
          </cell>
          <cell r="G331">
            <v>19.850328865584267</v>
          </cell>
          <cell r="H331">
            <v>19.43960558127386</v>
          </cell>
          <cell r="I331">
            <v>18.806526098317608</v>
          </cell>
          <cell r="J331">
            <v>18.199858403710362</v>
          </cell>
          <cell r="K331">
            <v>17.613618168371755</v>
          </cell>
          <cell r="L331">
            <v>16.805363616930716</v>
          </cell>
          <cell r="M331">
            <v>15.758621259995513</v>
          </cell>
          <cell r="N331">
            <v>15.436839850222224</v>
          </cell>
          <cell r="O331">
            <v>12.302290420527267</v>
          </cell>
        </row>
        <row r="332">
          <cell r="A332" t="str">
            <v>RHEM-SHNGABR</v>
          </cell>
          <cell r="B332" t="str">
            <v>VAR_ncap</v>
          </cell>
          <cell r="C332" t="str">
            <v>-</v>
          </cell>
          <cell r="D332"/>
          <cell r="E332">
            <v>1.6343667698712501E-6</v>
          </cell>
          <cell r="F332">
            <v>4.1915200039004403E-6</v>
          </cell>
          <cell r="G332">
            <v>6.5373448136752998E-2</v>
          </cell>
          <cell r="H332">
            <v>0.94924979821681799</v>
          </cell>
          <cell r="I332">
            <v>0.273976047612073</v>
          </cell>
          <cell r="J332">
            <v>2.4314189427726802E-5</v>
          </cell>
          <cell r="K332">
            <v>0.91916198493189205</v>
          </cell>
          <cell r="L332">
            <v>0.184736706503597</v>
          </cell>
          <cell r="M332">
            <v>5.46301721800605E-6</v>
          </cell>
          <cell r="N332">
            <v>0.75750170801792005</v>
          </cell>
          <cell r="O332">
            <v>6.9498918775679902E-2</v>
          </cell>
        </row>
        <row r="333">
          <cell r="A333" t="str">
            <v>RHEM-SHNGABR</v>
          </cell>
          <cell r="B333" t="str">
            <v>VAR_cap</v>
          </cell>
          <cell r="C333" t="str">
            <v>-</v>
          </cell>
          <cell r="D333">
            <v>1.34683498965227</v>
          </cell>
          <cell r="E333">
            <v>1.3468361928870958</v>
          </cell>
          <cell r="F333">
            <v>1.3468398539616984</v>
          </cell>
          <cell r="G333">
            <v>1.4122121591111245</v>
          </cell>
          <cell r="H333">
            <v>1.3639065830770081</v>
          </cell>
          <cell r="I333">
            <v>1.2761615582469754</v>
          </cell>
          <cell r="J333">
            <v>1.2232473603791538</v>
          </cell>
          <cell r="K333">
            <v>1.1931599091715139</v>
          </cell>
          <cell r="L333">
            <v>1.1460153677900216</v>
          </cell>
          <cell r="M333">
            <v>1.1038935062909023</v>
          </cell>
          <cell r="N333">
            <v>1.0464786283053933</v>
          </cell>
          <cell r="O333">
            <v>0.82700268446531755</v>
          </cell>
        </row>
        <row r="334">
          <cell r="A334" t="str">
            <v>SCOM-SHCONBR5</v>
          </cell>
          <cell r="B334" t="str">
            <v>VAR_fout</v>
          </cell>
          <cell r="C334" t="str">
            <v>SCOM-SHCON</v>
          </cell>
          <cell r="D334"/>
          <cell r="E334">
            <v>0.65269017355933612</v>
          </cell>
          <cell r="F334">
            <v>0.65252575345983699</v>
          </cell>
          <cell r="G334">
            <v>0.65253866808413918</v>
          </cell>
          <cell r="H334">
            <v>0.65247303593948425</v>
          </cell>
          <cell r="I334">
            <v>0.65248050876867691</v>
          </cell>
          <cell r="J334">
            <v>0.65247103912003068</v>
          </cell>
          <cell r="K334">
            <v>0.44035801520291484</v>
          </cell>
          <cell r="L334">
            <v>1.0144523191202661E-3</v>
          </cell>
          <cell r="M334">
            <v>1.0602589355097184E-3</v>
          </cell>
          <cell r="N334">
            <v>1.0305207152917517E-3</v>
          </cell>
          <cell r="O334">
            <v>1.1202827922635213E-3</v>
          </cell>
        </row>
        <row r="335">
          <cell r="A335" t="str">
            <v>SCOM-SHCONBR5</v>
          </cell>
          <cell r="B335" t="str">
            <v>VAR_fin</v>
          </cell>
          <cell r="C335" t="str">
            <v>CON</v>
          </cell>
          <cell r="D335"/>
          <cell r="E335">
            <v>0.65269017355933612</v>
          </cell>
          <cell r="F335">
            <v>0.65252575345983699</v>
          </cell>
          <cell r="G335">
            <v>0.65253866808413918</v>
          </cell>
          <cell r="H335">
            <v>0.65247303593948425</v>
          </cell>
          <cell r="I335">
            <v>0.65248050876867691</v>
          </cell>
          <cell r="J335">
            <v>0.65247103912003068</v>
          </cell>
          <cell r="K335">
            <v>0.44035801520291484</v>
          </cell>
          <cell r="L335">
            <v>1.0144523191202661E-3</v>
          </cell>
          <cell r="M335">
            <v>1.0602589355097184E-3</v>
          </cell>
          <cell r="N335">
            <v>1.0305207152917517E-3</v>
          </cell>
          <cell r="O335">
            <v>1.1202827922635213E-3</v>
          </cell>
        </row>
        <row r="336">
          <cell r="A336" t="str">
            <v>SCOM-SHCONBR5</v>
          </cell>
          <cell r="B336" t="str">
            <v>VAR_ncap</v>
          </cell>
          <cell r="C336" t="str">
            <v>-</v>
          </cell>
          <cell r="D336"/>
          <cell r="E336">
            <v>5.0426652958414003E-2</v>
          </cell>
          <cell r="F336">
            <v>5.2640634618994298E-8</v>
          </cell>
          <cell r="G336">
            <v>6.7936090550964494E-8</v>
          </cell>
          <cell r="H336">
            <v>5.50603827401674E-8</v>
          </cell>
          <cell r="I336">
            <v>5.4559154393658002E-8</v>
          </cell>
          <cell r="J336">
            <v>6.7240714743281001E-8</v>
          </cell>
          <cell r="K336">
            <v>7.3235773324144702E-7</v>
          </cell>
          <cell r="L336">
            <v>7.6710928398401494E-5</v>
          </cell>
          <cell r="M336">
            <v>5.6473561730249304E-7</v>
          </cell>
          <cell r="N336">
            <v>8.2220628346784601E-7</v>
          </cell>
          <cell r="O336">
            <v>2.4613704040155999E-6</v>
          </cell>
        </row>
        <row r="337">
          <cell r="A337" t="str">
            <v>SCOM-SHCONBR5</v>
          </cell>
          <cell r="B337" t="str">
            <v>VAR_cap</v>
          </cell>
          <cell r="C337" t="str">
            <v>-</v>
          </cell>
          <cell r="D337"/>
          <cell r="E337">
            <v>5.0426652958414003E-2</v>
          </cell>
          <cell r="F337">
            <v>5.0426538406390456E-2</v>
          </cell>
          <cell r="G337">
            <v>5.0426549733572301E-2</v>
          </cell>
          <cell r="H337">
            <v>5.0424310043827754E-2</v>
          </cell>
          <cell r="I337">
            <v>5.0423848803710085E-2</v>
          </cell>
          <cell r="J337">
            <v>5.0422614998871844E-2</v>
          </cell>
          <cell r="K337">
            <v>3.4030683418320627E-2</v>
          </cell>
          <cell r="L337">
            <v>7.7333571486617604E-5</v>
          </cell>
          <cell r="M337">
            <v>7.7240912146460224E-5</v>
          </cell>
          <cell r="N337">
            <v>7.8377605472194136E-5</v>
          </cell>
          <cell r="O337">
            <v>8.0928114121367922E-5</v>
          </cell>
        </row>
        <row r="338">
          <cell r="A338" t="str">
            <v>RHES-SHSTG-ELCHP</v>
          </cell>
          <cell r="B338" t="str">
            <v>VAR_fout</v>
          </cell>
          <cell r="C338" t="str">
            <v>RHES-SHAELCH</v>
          </cell>
          <cell r="D338">
            <v>7.1223216541638396E-7</v>
          </cell>
          <cell r="E338">
            <v>3.1797416024750332E-6</v>
          </cell>
          <cell r="F338">
            <v>1.4828047544896619</v>
          </cell>
          <cell r="G338">
            <v>1.767440219231412</v>
          </cell>
          <cell r="H338">
            <v>1.4315002791432265</v>
          </cell>
          <cell r="I338">
            <v>1.4859744342123402</v>
          </cell>
          <cell r="J338">
            <v>1.5037573323253268</v>
          </cell>
          <cell r="K338">
            <v>1.63706998553272</v>
          </cell>
          <cell r="L338">
            <v>1.7107794260907183</v>
          </cell>
          <cell r="M338">
            <v>1.6116292730346495</v>
          </cell>
          <cell r="N338">
            <v>1.6767194214214205</v>
          </cell>
          <cell r="O338">
            <v>1.6112372773936259</v>
          </cell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1.199036670131628E-5</v>
          </cell>
          <cell r="E339">
            <v>1.030631565695329E-5</v>
          </cell>
          <cell r="F339">
            <v>1.4828668115911432</v>
          </cell>
          <cell r="G339">
            <v>1.7674970849025393</v>
          </cell>
          <cell r="H339">
            <v>1.4315628046581659</v>
          </cell>
          <cell r="I339">
            <v>1.4860436918096989</v>
          </cell>
          <cell r="J339">
            <v>1.503842594760892</v>
          </cell>
          <cell r="K339">
            <v>1.6371727085053922</v>
          </cell>
          <cell r="L339">
            <v>1.7108660810197043</v>
          </cell>
          <cell r="M339">
            <v>1.6117350467574623</v>
          </cell>
          <cell r="N339">
            <v>1.6768005846707132</v>
          </cell>
          <cell r="O339">
            <v>1.6113408206003785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5.2716700354161197E-3</v>
          </cell>
          <cell r="E340">
            <v>0.141244246124621</v>
          </cell>
          <cell r="F340">
            <v>2.6702276860233801E-5</v>
          </cell>
          <cell r="G340">
            <v>3.1182458462130998E-5</v>
          </cell>
          <cell r="H340">
            <v>7.2805876564738706E-2</v>
          </cell>
          <cell r="I340">
            <v>7.3694398679254897E-2</v>
          </cell>
          <cell r="J340">
            <v>8.2587993403483105E-5</v>
          </cell>
          <cell r="K340">
            <v>7.2847713303183098E-2</v>
          </cell>
          <cell r="L340">
            <v>6.2416410040998099E-2</v>
          </cell>
          <cell r="M340">
            <v>1.1481427078320399E-2</v>
          </cell>
          <cell r="N340">
            <v>7.9787724753465294E-2</v>
          </cell>
          <cell r="O340">
            <v>5.5466719629131397E-2</v>
          </cell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5.2716700354161197E-3</v>
          </cell>
          <cell r="E341">
            <v>0.14649853377327191</v>
          </cell>
          <cell r="F341">
            <v>0.14650208633616466</v>
          </cell>
          <cell r="G341">
            <v>0.14650431886979542</v>
          </cell>
          <cell r="H341">
            <v>0.14650345705078341</v>
          </cell>
          <cell r="I341">
            <v>0.146501451929136</v>
          </cell>
          <cell r="J341">
            <v>0.14650320185063148</v>
          </cell>
          <cell r="K341">
            <v>0.14650376876467019</v>
          </cell>
          <cell r="L341">
            <v>0.14650691450260639</v>
          </cell>
          <cell r="M341">
            <v>0.14650504922044516</v>
          </cell>
          <cell r="N341">
            <v>0.14650770769146254</v>
          </cell>
          <cell r="O341">
            <v>0.14651633895666272</v>
          </cell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1.689885835656184E-4</v>
          </cell>
          <cell r="I342">
            <v>1.6407656329142463E-4</v>
          </cell>
          <cell r="J342">
            <v>1.8853619037955066E-4</v>
          </cell>
          <cell r="K342">
            <v>5.0236000171691695E-4</v>
          </cell>
          <cell r="L342">
            <v>6.3814737158083992E-4</v>
          </cell>
          <cell r="M342">
            <v>6.8795774931184705E-4</v>
          </cell>
          <cell r="N342">
            <v>5.7379530611945746E-4</v>
          </cell>
          <cell r="O342">
            <v>6.7356749751041841E-4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1.689885835656184E-4</v>
          </cell>
          <cell r="I343">
            <v>1.6407656329142463E-4</v>
          </cell>
          <cell r="J343">
            <v>1.8853619037955066E-4</v>
          </cell>
          <cell r="K343">
            <v>5.0236000171691695E-4</v>
          </cell>
          <cell r="L343">
            <v>6.3814737158083992E-4</v>
          </cell>
          <cell r="M343">
            <v>6.8795774931184705E-4</v>
          </cell>
          <cell r="N343">
            <v>5.7379530611945746E-4</v>
          </cell>
          <cell r="O343">
            <v>6.7356749751041841E-4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1.0820915468138199E-5</v>
          </cell>
          <cell r="I344">
            <v>2.2253156938449001E-7</v>
          </cell>
          <cell r="J344">
            <v>1.45594177999147E-7</v>
          </cell>
          <cell r="K344">
            <v>2.2294454577583698E-5</v>
          </cell>
          <cell r="L344">
            <v>1.50210092120857E-5</v>
          </cell>
          <cell r="M344">
            <v>6.1333792561773896E-7</v>
          </cell>
          <cell r="N344">
            <v>3.3534689610045101E-6</v>
          </cell>
          <cell r="O344">
            <v>5.05366547410926E-6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1.0820915468138199E-5</v>
          </cell>
          <cell r="I345">
            <v>1.0991538585897421E-5</v>
          </cell>
          <cell r="J345">
            <v>1.1039683846597669E-5</v>
          </cell>
          <cell r="K345">
            <v>3.3130782465766581E-5</v>
          </cell>
          <cell r="L345">
            <v>4.8284479487197228E-5</v>
          </cell>
          <cell r="M345">
            <v>4.8315711005985852E-5</v>
          </cell>
          <cell r="N345">
            <v>4.3033015244854959E-5</v>
          </cell>
          <cell r="O345">
            <v>4.6130593207201419E-5</v>
          </cell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2.7603383105286285</v>
          </cell>
          <cell r="G346">
            <v>5.0358672123103272</v>
          </cell>
          <cell r="H346">
            <v>7.0750130436174796</v>
          </cell>
          <cell r="I346">
            <v>8.5977884391016222</v>
          </cell>
          <cell r="J346">
            <v>9.8116222202238905</v>
          </cell>
          <cell r="K346">
            <v>10.750442556447998</v>
          </cell>
          <cell r="L346">
            <v>11.502579704975306</v>
          </cell>
          <cell r="M346">
            <v>12.171029673294798</v>
          </cell>
          <cell r="N346">
            <v>11.937868185300704</v>
          </cell>
          <cell r="O346">
            <v>11.465619695604303</v>
          </cell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2.2451380695617656E-6</v>
          </cell>
          <cell r="G347">
            <v>1.5329048902918521E-5</v>
          </cell>
          <cell r="H347">
            <v>6.7167084143347186E-5</v>
          </cell>
          <cell r="I347"/>
          <cell r="J347">
            <v>3.1035600814384115E-4</v>
          </cell>
          <cell r="K347">
            <v>1.841684850763612E-5</v>
          </cell>
          <cell r="L347">
            <v>5.3020870580794475E-4</v>
          </cell>
          <cell r="N347">
            <v>7.5269935251434379E-4</v>
          </cell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0.34649231221061483</v>
          </cell>
          <cell r="F348">
            <v>0.37782577697922215</v>
          </cell>
          <cell r="G348">
            <v>0.43827405014628124</v>
          </cell>
          <cell r="H348">
            <v>0.50821720269845017</v>
          </cell>
          <cell r="I348">
            <v>0.58893982915027454</v>
          </cell>
          <cell r="J348">
            <v>0.68295314349449254</v>
          </cell>
          <cell r="K348">
            <v>0.78991416244832768</v>
          </cell>
          <cell r="L348">
            <v>0.91573332007076058</v>
          </cell>
          <cell r="M348">
            <v>1.0645314528539456</v>
          </cell>
          <cell r="N348">
            <v>1.2193095883169529</v>
          </cell>
          <cell r="O348">
            <v>1.3083474311005445</v>
          </cell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1.2805279470632904E-4</v>
          </cell>
          <cell r="G349">
            <v>5.3574952944629293E-5</v>
          </cell>
          <cell r="H349">
            <v>1.1347346589905007E-4</v>
          </cell>
          <cell r="I349">
            <v>1.1194959279896882E-4</v>
          </cell>
          <cell r="J349">
            <v>1.1205797796728033E-4</v>
          </cell>
          <cell r="K349">
            <v>3.4429955649271189E-4</v>
          </cell>
          <cell r="L349">
            <v>3.2556463675544902E-4</v>
          </cell>
          <cell r="M349">
            <v>3.6230471812049241E-4</v>
          </cell>
          <cell r="N349">
            <v>3.598053778586576E-4</v>
          </cell>
          <cell r="O349">
            <v>4.2196993567437957E-4</v>
          </cell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0.15431511742652249</v>
          </cell>
          <cell r="F350">
            <v>0.16044738058399596</v>
          </cell>
          <cell r="G350">
            <v>0.15866038431351415</v>
          </cell>
          <cell r="H350">
            <v>7.7476632912140991E-2</v>
          </cell>
          <cell r="I350">
            <v>3.7090099752768784E-3</v>
          </cell>
          <cell r="J350">
            <v>1.0572585884803077E-2</v>
          </cell>
          <cell r="K350">
            <v>7.8147569248628382E-3</v>
          </cell>
          <cell r="L350">
            <v>5.3943484240652441E-3</v>
          </cell>
          <cell r="M350">
            <v>4.4059325487554472E-2</v>
          </cell>
          <cell r="N350">
            <v>1.2444086243990151E-2</v>
          </cell>
          <cell r="O350">
            <v>5.595279598855319E-2</v>
          </cell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8.1087948695041198E-2</v>
          </cell>
          <cell r="F351">
            <v>8.0795799047947967E-2</v>
          </cell>
          <cell r="G351">
            <v>8.0874322825355296E-2</v>
          </cell>
          <cell r="H351">
            <v>8.092497533969234E-2</v>
          </cell>
          <cell r="I351">
            <v>8.0690022041238332E-2</v>
          </cell>
          <cell r="J351">
            <v>8.0760552595490587E-2</v>
          </cell>
          <cell r="K351">
            <v>8.0143129600089999E-2</v>
          </cell>
          <cell r="L351">
            <v>8.0117497605481439E-2</v>
          </cell>
          <cell r="M351">
            <v>8.1028403987909003E-2</v>
          </cell>
          <cell r="N351">
            <v>6.6938074235669692E-2</v>
          </cell>
          <cell r="O351">
            <v>6.7110318389149798E-2</v>
          </cell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0.52772973387661437</v>
          </cell>
          <cell r="F352">
            <v>2.0183778815536799</v>
          </cell>
          <cell r="G352">
            <v>3.3767601681332535</v>
          </cell>
          <cell r="H352">
            <v>3.3770334511352753</v>
          </cell>
          <cell r="I352">
            <v>3.376754498529337</v>
          </cell>
          <cell r="J352">
            <v>3.3769253192516291</v>
          </cell>
          <cell r="K352">
            <v>3.3734958656361149</v>
          </cell>
          <cell r="L352">
            <v>3.3729428932344212</v>
          </cell>
          <cell r="M352">
            <v>3.3756303128447094</v>
          </cell>
          <cell r="N352">
            <v>3.3570107344265776</v>
          </cell>
          <cell r="O352">
            <v>3.2231331738414246</v>
          </cell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F353">
            <v>8.9823482379920705E-4</v>
          </cell>
          <cell r="G353">
            <v>3.833903600252273E-4</v>
          </cell>
          <cell r="H353">
            <v>6.3856203568712585E-4</v>
          </cell>
          <cell r="I353">
            <v>8.8045971842622237E-4</v>
          </cell>
          <cell r="J353">
            <v>3.730557291092335E-4</v>
          </cell>
          <cell r="K353">
            <v>1.82697670865295E-3</v>
          </cell>
          <cell r="L353">
            <v>1.178962063484992E-3</v>
          </cell>
          <cell r="M353">
            <v>1.5540487483201068E-3</v>
          </cell>
          <cell r="N353">
            <v>2.426114453685783E-3</v>
          </cell>
          <cell r="O353">
            <v>8.8240396015319602E-3</v>
          </cell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7.3481889194856334E-2</v>
          </cell>
          <cell r="F354">
            <v>7.3872490386653E-2</v>
          </cell>
          <cell r="G354">
            <v>0.2017179872227628</v>
          </cell>
          <cell r="H354">
            <v>0.31641298113815658</v>
          </cell>
          <cell r="I354">
            <v>0.40174776683752506</v>
          </cell>
          <cell r="J354">
            <v>0.47014967011789288</v>
          </cell>
          <cell r="K354">
            <v>0.5209861147749002</v>
          </cell>
          <cell r="L354">
            <v>0.56286659211066969</v>
          </cell>
          <cell r="M354">
            <v>0.60268489097339262</v>
          </cell>
          <cell r="N354">
            <v>0.59117316386006602</v>
          </cell>
          <cell r="O354">
            <v>0.51391969078362287</v>
          </cell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2.6123098270401787E-3</v>
          </cell>
          <cell r="F355">
            <v>2.0427188177360001E-2</v>
          </cell>
          <cell r="G355">
            <v>0.74586734318461323</v>
          </cell>
          <cell r="H355">
            <v>0.74663017265043885</v>
          </cell>
          <cell r="I355">
            <v>0.74721452061817395</v>
          </cell>
          <cell r="J355">
            <v>0.7476385367527868</v>
          </cell>
          <cell r="K355">
            <v>0.73517167463671185</v>
          </cell>
          <cell r="L355">
            <v>0.7382472851492291</v>
          </cell>
          <cell r="M355">
            <v>0.74626335158369395</v>
          </cell>
          <cell r="N355">
            <v>0.44264587427014862</v>
          </cell>
          <cell r="O355">
            <v>7.5139270183590165E-2</v>
          </cell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2.1591975888719795E-2</v>
          </cell>
          <cell r="F356">
            <v>2.1440915537157938E-2</v>
          </cell>
          <cell r="G356">
            <v>2.1721963275867E-2</v>
          </cell>
          <cell r="H356">
            <v>9.5249837052892809E-3</v>
          </cell>
          <cell r="I356">
            <v>2.0548285487525068E-3</v>
          </cell>
          <cell r="J356">
            <v>2.0645096257992514E-3</v>
          </cell>
          <cell r="K356">
            <v>5.320002305591002E-3</v>
          </cell>
          <cell r="L356">
            <v>5.6615014985425304E-3</v>
          </cell>
          <cell r="M356">
            <v>1.5137675403637869E-2</v>
          </cell>
          <cell r="N356">
            <v>1.4171786044091797E-2</v>
          </cell>
          <cell r="O356">
            <v>5.7063586289259276E-2</v>
          </cell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2.3034094763726927E-6</v>
          </cell>
          <cell r="G357">
            <v>4.6794503450894483E-3</v>
          </cell>
          <cell r="H357">
            <v>5.0637782314726602E-3</v>
          </cell>
          <cell r="I357">
            <v>4.038856784868876E-3</v>
          </cell>
          <cell r="J357">
            <v>3.8911697624780519E-3</v>
          </cell>
          <cell r="K357">
            <v>1.1162978403809337E-2</v>
          </cell>
          <cell r="L357">
            <v>1.1877821574958664E-2</v>
          </cell>
          <cell r="M357">
            <v>9.8639877525272621E-3</v>
          </cell>
          <cell r="N357">
            <v>1.5611976351438017E-2</v>
          </cell>
          <cell r="O357">
            <v>5.8857609570208906E-2</v>
          </cell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5.4002602857042196E-5</v>
          </cell>
          <cell r="F358">
            <v>6.7152697434258359E-3</v>
          </cell>
          <cell r="G358">
            <v>6.8983707520954493E-3</v>
          </cell>
          <cell r="H358">
            <v>1.9532776276100852</v>
          </cell>
          <cell r="I358">
            <v>3.392170348634616</v>
          </cell>
          <cell r="J358">
            <v>4.4362901692314622</v>
          </cell>
          <cell r="K358">
            <v>5.2244442901265744</v>
          </cell>
          <cell r="L358">
            <v>5.8075962966558334</v>
          </cell>
          <cell r="M358">
            <v>6.2305529716236832</v>
          </cell>
          <cell r="N358">
            <v>6.2117697867212538</v>
          </cell>
          <cell r="O358">
            <v>6.0713790029088504</v>
          </cell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4.8455325577078179E-5</v>
          </cell>
          <cell r="F359"/>
          <cell r="G359">
            <v>4.1792009778482484E-4</v>
          </cell>
          <cell r="H359">
            <v>2.0743524898587514E-4</v>
          </cell>
          <cell r="I359"/>
          <cell r="J359">
            <v>1.9810546968403677E-4</v>
          </cell>
          <cell r="K359">
            <v>4.558963158304954E-4</v>
          </cell>
          <cell r="L359">
            <v>6.1162951375740699E-4</v>
          </cell>
          <cell r="N359">
            <v>3.704902464764005E-3</v>
          </cell>
          <cell r="O359">
            <v>2.62000271569909E-2</v>
          </cell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9.9322079563302825E-3</v>
          </cell>
          <cell r="F360">
            <v>1.0133197690409511E-2</v>
          </cell>
          <cell r="G360">
            <v>1.0379888562547637E-2</v>
          </cell>
          <cell r="H360">
            <v>2.0159295073760231E-2</v>
          </cell>
          <cell r="I360">
            <v>2.2811412046145368E-2</v>
          </cell>
          <cell r="J360">
            <v>2.5478627616554634E-2</v>
          </cell>
          <cell r="K360">
            <v>3.4211915019196092E-2</v>
          </cell>
          <cell r="L360">
            <v>3.9781146114699149E-2</v>
          </cell>
          <cell r="M360">
            <v>3.9324247886683983E-2</v>
          </cell>
          <cell r="N360">
            <v>3.9672432866982722E-2</v>
          </cell>
          <cell r="O360">
            <v>4.5751479139225046E-2</v>
          </cell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9.9326920994170214E-3</v>
          </cell>
          <cell r="F361">
            <v>1.0133697720939699E-2</v>
          </cell>
          <cell r="G361">
            <v>1.0380576915606409E-2</v>
          </cell>
          <cell r="H361">
            <v>2.0159878733702473E-2</v>
          </cell>
          <cell r="I361">
            <v>2.2811920322275366E-2</v>
          </cell>
          <cell r="J361">
            <v>2.547887834327757E-2</v>
          </cell>
          <cell r="K361">
            <v>3.4213931458924908E-2</v>
          </cell>
          <cell r="L361">
            <v>3.978162939364243E-2</v>
          </cell>
          <cell r="M361">
            <v>3.9327580844913369E-2</v>
          </cell>
          <cell r="N361">
            <v>3.9675099233566345E-2</v>
          </cell>
          <cell r="O361">
            <v>4.5755156503138238E-2</v>
          </cell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3.7454755091349302E-4</v>
          </cell>
          <cell r="F362">
            <v>5.2164494083557702E-6</v>
          </cell>
          <cell r="G362">
            <v>2.0483101178630898E-6</v>
          </cell>
          <cell r="H362">
            <v>3.4736438269478202E-4</v>
          </cell>
          <cell r="I362">
            <v>2.4497354892189898E-4</v>
          </cell>
          <cell r="J362">
            <v>3.3132246020322199E-4</v>
          </cell>
          <cell r="K362">
            <v>3.38778208756859E-4</v>
          </cell>
          <cell r="L362">
            <v>4.24138404207836E-4</v>
          </cell>
          <cell r="M362">
            <v>3.3841214141967199E-4</v>
          </cell>
          <cell r="N362">
            <v>3.3547109529339801E-4</v>
          </cell>
          <cell r="O362">
            <v>5.9074025439336496E-4</v>
          </cell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3.7454755091349302E-4</v>
          </cell>
          <cell r="F363">
            <v>3.794583167400965E-4</v>
          </cell>
          <cell r="G363">
            <v>3.8093385101145257E-4</v>
          </cell>
          <cell r="H363">
            <v>7.2715993509730385E-4</v>
          </cell>
          <cell r="I363">
            <v>8.2696754680255491E-4</v>
          </cell>
          <cell r="J363">
            <v>9.2416409258284254E-4</v>
          </cell>
          <cell r="K363">
            <v>1.259885272619181E-3</v>
          </cell>
          <cell r="L363">
            <v>1.4088531546816087E-3</v>
          </cell>
          <cell r="M363">
            <v>1.4290688863076127E-3</v>
          </cell>
          <cell r="N363">
            <v>1.4333674393815694E-3</v>
          </cell>
          <cell r="O363">
            <v>1.6841386691121927E-3</v>
          </cell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1.0533435449278574E-4</v>
          </cell>
          <cell r="K364">
            <v>3.4776060404085425E-4</v>
          </cell>
          <cell r="L364">
            <v>3.4856128629724811E-4</v>
          </cell>
          <cell r="M364">
            <v>3.8220897327850503E-4</v>
          </cell>
          <cell r="N364">
            <v>3.7141328062484825E-4</v>
          </cell>
          <cell r="O364">
            <v>5.0788994376507138E-4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1.0533435449278574E-4</v>
          </cell>
          <cell r="K365">
            <v>3.4776060404085425E-4</v>
          </cell>
          <cell r="L365">
            <v>3.4856128629724811E-4</v>
          </cell>
          <cell r="M365">
            <v>3.8220897327850503E-4</v>
          </cell>
          <cell r="N365">
            <v>3.7141328062484825E-4</v>
          </cell>
          <cell r="O365">
            <v>5.0788994376507138E-4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5.0239008978904701E-6</v>
          </cell>
          <cell r="K366">
            <v>1.6756861017839499E-5</v>
          </cell>
          <cell r="L366">
            <v>4.2094368765519896E-6</v>
          </cell>
          <cell r="M366">
            <v>4.9247166298461996E-7</v>
          </cell>
          <cell r="N366">
            <v>9.6321441296867103E-7</v>
          </cell>
          <cell r="O366">
            <v>6.0998248146866498E-6</v>
          </cell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5.0239008978904701E-6</v>
          </cell>
          <cell r="K367">
            <v>2.169675174935502E-5</v>
          </cell>
          <cell r="L367">
            <v>2.5896907940897539E-5</v>
          </cell>
          <cell r="M367">
            <v>2.6167002545736346E-5</v>
          </cell>
          <cell r="N367">
            <v>2.7147771082406441E-5</v>
          </cell>
          <cell r="O367">
            <v>3.3226436765374352E-5</v>
          </cell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5.9539699668812335E-5</v>
          </cell>
          <cell r="K368">
            <v>1.5057021083624781E-4</v>
          </cell>
          <cell r="L368">
            <v>1.1257656130395101E-4</v>
          </cell>
          <cell r="M368">
            <v>1.4417872872778551E-4</v>
          </cell>
          <cell r="N368">
            <v>1.3482702956802667E-4</v>
          </cell>
          <cell r="O368">
            <v>2.4021100364668139E-4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5.9539699668812335E-5</v>
          </cell>
          <cell r="K369">
            <v>1.5057021083624781E-4</v>
          </cell>
          <cell r="L369">
            <v>1.1257656130395101E-4</v>
          </cell>
          <cell r="M369">
            <v>1.4417872872778551E-4</v>
          </cell>
          <cell r="N369">
            <v>1.3482702956802667E-4</v>
          </cell>
          <cell r="O369">
            <v>2.4021100364668139E-4</v>
          </cell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1.76485955165221E-6</v>
          </cell>
          <cell r="K370">
            <v>4.9371625611662497E-6</v>
          </cell>
          <cell r="L370">
            <v>7.0127387188982605E-7</v>
          </cell>
          <cell r="M370">
            <v>5.12056311320868E-7</v>
          </cell>
          <cell r="N370">
            <v>7.0767667066908804E-7</v>
          </cell>
          <cell r="O370">
            <v>3.5270555982283899E-6</v>
          </cell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1.76485955165221E-6</v>
          </cell>
          <cell r="K371">
            <v>6.6478465017969201E-6</v>
          </cell>
          <cell r="L371">
            <v>7.3446864835870916E-6</v>
          </cell>
          <cell r="M371">
            <v>7.7564444019636571E-6</v>
          </cell>
          <cell r="N371">
            <v>8.4535999968883125E-6</v>
          </cell>
          <cell r="O371">
            <v>1.1949229688764462E-5</v>
          </cell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49.866371665715199</v>
          </cell>
          <cell r="F372">
            <v>51.516126141864326</v>
          </cell>
          <cell r="G372">
            <v>52.985515362959603</v>
          </cell>
          <cell r="H372">
            <v>53.95241121517072</v>
          </cell>
          <cell r="I372">
            <v>54.495820171102004</v>
          </cell>
          <cell r="J372">
            <v>55.187581658176853</v>
          </cell>
          <cell r="K372">
            <v>55.878464670035278</v>
          </cell>
          <cell r="L372">
            <v>56.573854734789975</v>
          </cell>
          <cell r="M372">
            <v>58.137098682042321</v>
          </cell>
          <cell r="N372">
            <v>56.66464738090874</v>
          </cell>
          <cell r="O372">
            <v>56.780565496352857</v>
          </cell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49.866371665715199</v>
          </cell>
          <cell r="F373">
            <v>51.516126141864326</v>
          </cell>
          <cell r="G373">
            <v>52.985515362959603</v>
          </cell>
          <cell r="H373">
            <v>53.95241121517072</v>
          </cell>
          <cell r="I373">
            <v>54.495820171102004</v>
          </cell>
          <cell r="J373">
            <v>55.187581658176853</v>
          </cell>
          <cell r="K373">
            <v>55.878464670035278</v>
          </cell>
          <cell r="L373">
            <v>56.573854734789975</v>
          </cell>
          <cell r="M373">
            <v>58.137098682042321</v>
          </cell>
          <cell r="N373">
            <v>56.66464738090874</v>
          </cell>
          <cell r="O373">
            <v>56.780565496352857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8.3498815979643801E-2</v>
          </cell>
          <cell r="E374">
            <v>9.8050362596619603E-2</v>
          </cell>
          <cell r="F374">
            <v>8.9719530709571296E-2</v>
          </cell>
          <cell r="G374">
            <v>7.9912745554842096E-2</v>
          </cell>
          <cell r="H374">
            <v>5.2587781036779503E-2</v>
          </cell>
          <cell r="I374">
            <v>2.9557033519992001E-2</v>
          </cell>
          <cell r="J374">
            <v>1.78401651463336</v>
          </cell>
          <cell r="K374">
            <v>1.09276891603982</v>
          </cell>
          <cell r="L374">
            <v>0.11772662884879501</v>
          </cell>
          <cell r="M374">
            <v>0.13760715973639001</v>
          </cell>
          <cell r="N374">
            <v>0.22876862278541499</v>
          </cell>
          <cell r="O374">
            <v>1.5110363305476799</v>
          </cell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2.6138260480123541</v>
          </cell>
          <cell r="E375">
            <v>2.711875970042394</v>
          </cell>
          <cell r="F375">
            <v>2.8015944677793678</v>
          </cell>
          <cell r="G375">
            <v>2.8815037219569382</v>
          </cell>
          <cell r="H375">
            <v>2.9340867468045193</v>
          </cell>
          <cell r="I375">
            <v>2.9636390223423459</v>
          </cell>
          <cell r="J375">
            <v>3.0012581520708581</v>
          </cell>
          <cell r="K375">
            <v>3.0388315404466071</v>
          </cell>
          <cell r="L375">
            <v>3.0766472758309273</v>
          </cell>
          <cell r="M375">
            <v>3.1616626883908054</v>
          </cell>
          <cell r="N375">
            <v>3.081586109838601</v>
          </cell>
          <cell r="O375">
            <v>3.0878933871559253</v>
          </cell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0.3465855971351583</v>
          </cell>
          <cell r="F376">
            <v>0.37872343779254936</v>
          </cell>
          <cell r="G376">
            <v>0.43904209662950028</v>
          </cell>
          <cell r="H376">
            <v>0.50897011323742192</v>
          </cell>
          <cell r="I376">
            <v>0.59003659265787445</v>
          </cell>
          <cell r="J376">
            <v>0.68401666384525084</v>
          </cell>
          <cell r="K376">
            <v>0.79335018397686852</v>
          </cell>
          <cell r="L376">
            <v>0.91971668284185581</v>
          </cell>
          <cell r="M376">
            <v>1.0662165719088865</v>
          </cell>
          <cell r="N376">
            <v>1.2360438796712547</v>
          </cell>
          <cell r="O376">
            <v>1.4329336393975913</v>
          </cell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0.3465855971351583</v>
          </cell>
          <cell r="F377">
            <v>0.37872343779254936</v>
          </cell>
          <cell r="G377">
            <v>0.43904209662950028</v>
          </cell>
          <cell r="H377">
            <v>0.50897011323742192</v>
          </cell>
          <cell r="I377">
            <v>0.59003659265787445</v>
          </cell>
          <cell r="J377">
            <v>0.68401666384525084</v>
          </cell>
          <cell r="K377">
            <v>0.79335018397686852</v>
          </cell>
          <cell r="L377">
            <v>0.91971668284185581</v>
          </cell>
          <cell r="M377">
            <v>1.0662165719088865</v>
          </cell>
          <cell r="N377">
            <v>1.2360438796712547</v>
          </cell>
          <cell r="O377">
            <v>1.4329336393975913</v>
          </cell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0.35008646175268521</v>
          </cell>
          <cell r="F378">
            <v>0.38254892706318117</v>
          </cell>
          <cell r="G378">
            <v>0.44347686528232338</v>
          </cell>
          <cell r="H378">
            <v>0.51411122549234523</v>
          </cell>
          <cell r="I378">
            <v>0.5959965582402782</v>
          </cell>
          <cell r="J378">
            <v>0.69092592307601153</v>
          </cell>
          <cell r="K378">
            <v>0.80136382219885793</v>
          </cell>
          <cell r="L378">
            <v>0.929006750345308</v>
          </cell>
          <cell r="M378">
            <v>1.0769864362716011</v>
          </cell>
          <cell r="N378">
            <v>1.2485291713851059</v>
          </cell>
          <cell r="O378">
            <v>1.4474077165632218</v>
          </cell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2.82159535588637E-2</v>
          </cell>
          <cell r="F379">
            <v>2.57989909445118E-3</v>
          </cell>
          <cell r="G379">
            <v>3.35603569875649E-3</v>
          </cell>
          <cell r="H379">
            <v>6.5468324002444702E-3</v>
          </cell>
          <cell r="I379">
            <v>6.8990778321506999E-3</v>
          </cell>
          <cell r="J379">
            <v>7.5702345371805703E-3</v>
          </cell>
          <cell r="K379">
            <v>8.4265749133961999E-3</v>
          </cell>
          <cell r="L379">
            <v>9.9019700102713805E-3</v>
          </cell>
          <cell r="M379">
            <v>1.26021265427557E-2</v>
          </cell>
          <cell r="N379">
            <v>9.8335485733160796E-3</v>
          </cell>
          <cell r="O379">
            <v>1.5288610784147101E-2</v>
          </cell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2.82159535588637E-2</v>
          </cell>
          <cell r="F380">
            <v>3.0795852653314901E-2</v>
          </cell>
          <cell r="G380">
            <v>3.4151888352071398E-2</v>
          </cell>
          <cell r="H380">
            <v>4.0698720752315801E-2</v>
          </cell>
          <cell r="I380">
            <v>4.75977985844665E-2</v>
          </cell>
          <cell r="J380">
            <v>5.51680331216471E-2</v>
          </cell>
          <cell r="K380">
            <v>6.3594608035043299E-2</v>
          </cell>
          <cell r="L380">
            <v>7.3496578045314703E-2</v>
          </cell>
          <cell r="M380">
            <v>8.6098704588070396E-2</v>
          </cell>
          <cell r="N380">
            <v>9.5932253161386496E-2</v>
          </cell>
          <cell r="O380">
            <v>0.111220863945534</v>
          </cell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3.6101303491585912E-5</v>
          </cell>
          <cell r="K381">
            <v>7.0733847173725935E-5</v>
          </cell>
          <cell r="L381">
            <v>3.6809730548125493E-5</v>
          </cell>
          <cell r="M381">
            <v>6.4330262808419709E-5</v>
          </cell>
          <cell r="N381">
            <v>5.1483015767286939E-5</v>
          </cell>
          <cell r="O381">
            <v>1.1753400696931634E-4</v>
          </cell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3.6101303491585912E-5</v>
          </cell>
          <cell r="K382">
            <v>7.0733847173725935E-5</v>
          </cell>
          <cell r="L382">
            <v>3.6809730548125493E-5</v>
          </cell>
          <cell r="M382">
            <v>6.4330262808419709E-5</v>
          </cell>
          <cell r="N382">
            <v>5.1483015767286939E-5</v>
          </cell>
          <cell r="O382">
            <v>1.1753400696931634E-4</v>
          </cell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1.06452525790631E-7</v>
          </cell>
          <cell r="K383">
            <v>9.3518204640781698E-7</v>
          </cell>
          <cell r="L383">
            <v>8.4842802257507397E-7</v>
          </cell>
          <cell r="M383">
            <v>3.0031127288076199E-7</v>
          </cell>
          <cell r="N383">
            <v>2.9631536715200602E-7</v>
          </cell>
          <cell r="O383">
            <v>4.7947962896343404E-7</v>
          </cell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1.06452525790631E-7</v>
          </cell>
          <cell r="K384">
            <v>1.0063861159345759E-6</v>
          </cell>
          <cell r="L384">
            <v>1.856907075708667E-6</v>
          </cell>
          <cell r="M384">
            <v>2.1041743251530276E-6</v>
          </cell>
          <cell r="N384">
            <v>2.394782451182693E-6</v>
          </cell>
          <cell r="O384">
            <v>2.854935524889765E-6</v>
          </cell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2.3674031615605471</v>
          </cell>
          <cell r="E385">
            <v>2.3075014977444708</v>
          </cell>
          <cell r="F385">
            <v>1.9411624553737183</v>
          </cell>
          <cell r="G385">
            <v>8.9259744281255352E-4</v>
          </cell>
          <cell r="H385">
            <v>1.0146607207586918E-3</v>
          </cell>
          <cell r="I385">
            <v>9.1554004130655709E-4</v>
          </cell>
          <cell r="J385">
            <v>1.2073937755089673E-3</v>
          </cell>
          <cell r="K385">
            <v>3.0571548487520576E-3</v>
          </cell>
          <cell r="L385">
            <v>1.8088645994883072E-3</v>
          </cell>
          <cell r="M385">
            <v>2.7236229296424656E-3</v>
          </cell>
          <cell r="N385">
            <v>1.500527712009341E-3</v>
          </cell>
          <cell r="O385">
            <v>2.6286011741171013E-3</v>
          </cell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330.01244071678599</v>
          </cell>
          <cell r="E386">
            <v>321.17926252389299</v>
          </cell>
          <cell r="F386">
            <v>269.58166234178799</v>
          </cell>
          <cell r="G386">
            <v>0.123498183505558</v>
          </cell>
          <cell r="H386">
            <v>0.13986475660123501</v>
          </cell>
          <cell r="I386">
            <v>0.12573416567276699</v>
          </cell>
          <cell r="J386">
            <v>0.16520354684823799</v>
          </cell>
          <cell r="K386">
            <v>0.41676213894017</v>
          </cell>
          <cell r="L386">
            <v>0.246590806430244</v>
          </cell>
          <cell r="M386">
            <v>0.37129389055567102</v>
          </cell>
          <cell r="N386">
            <v>0.20455723368127299</v>
          </cell>
          <cell r="O386">
            <v>0.358340189471552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3.5600047542263824</v>
          </cell>
          <cell r="E387">
            <v>3.4647169635802859</v>
          </cell>
          <cell r="F387">
            <v>2.9081085473763579</v>
          </cell>
          <cell r="G387">
            <v>1.3322349892724663E-3</v>
          </cell>
          <cell r="H387">
            <v>1.5087891758493537E-3</v>
          </cell>
          <cell r="I387">
            <v>1.356355616750455E-3</v>
          </cell>
          <cell r="J387">
            <v>1.7821310339615763E-3</v>
          </cell>
          <cell r="K387">
            <v>4.4958159540471462E-3</v>
          </cell>
          <cell r="L387">
            <v>2.6600949992475072E-3</v>
          </cell>
          <cell r="M387">
            <v>4.0053278377095072E-3</v>
          </cell>
          <cell r="N387">
            <v>2.206658400013735E-3</v>
          </cell>
          <cell r="O387">
            <v>3.8655899619369095E-3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5.2313691754635304E-6</v>
          </cell>
          <cell r="F388">
            <v>7.8372688085475694E-6</v>
          </cell>
          <cell r="G388">
            <v>1.02314642364046E-5</v>
          </cell>
          <cell r="H388">
            <v>6.6790172630510895E-5</v>
          </cell>
          <cell r="I388">
            <v>3.1941320610881402E-5</v>
          </cell>
          <cell r="J388">
            <v>5.1907706141560497E-5</v>
          </cell>
          <cell r="K388">
            <v>2.10997066900438E-4</v>
          </cell>
          <cell r="L388">
            <v>1.0899254598093899E-5</v>
          </cell>
          <cell r="M388">
            <v>9.8050014207224005E-5</v>
          </cell>
          <cell r="N388">
            <v>3.4163503017968002E-5</v>
          </cell>
          <cell r="O388">
            <v>1.45824713153425E-4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0.19381727439160146</v>
          </cell>
          <cell r="F389">
            <v>0.167665637732997</v>
          </cell>
          <cell r="G389">
            <v>8.4899559974371819E-5</v>
          </cell>
          <cell r="H389">
            <v>9.5415428082668008E-5</v>
          </cell>
          <cell r="I389">
            <v>8.689411946138829E-5</v>
          </cell>
          <cell r="J389">
            <v>1.1453543811745861E-4</v>
          </cell>
          <cell r="K389">
            <v>2.8459423320113635E-4</v>
          </cell>
          <cell r="L389">
            <v>1.7261214626719578E-4</v>
          </cell>
          <cell r="M389">
            <v>2.568371485914248E-4</v>
          </cell>
          <cell r="N389">
            <v>1.4228865053568719E-4</v>
          </cell>
          <cell r="O389">
            <v>2.4979218163768941E-4</v>
          </cell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25.418927951999976</v>
          </cell>
          <cell r="G390">
            <v>25.509072923999994</v>
          </cell>
          <cell r="H390">
            <v>25.499829726000012</v>
          </cell>
          <cell r="I390">
            <v>25.33969431720001</v>
          </cell>
          <cell r="J390">
            <v>25.129286488799984</v>
          </cell>
          <cell r="K390">
            <v>24.930159425999989</v>
          </cell>
          <cell r="L390">
            <v>25.250286988188904</v>
          </cell>
          <cell r="M390">
            <v>24.785394604187807</v>
          </cell>
          <cell r="N390">
            <v>24.326761510807483</v>
          </cell>
          <cell r="O390">
            <v>23.897883426756486</v>
          </cell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6.1958798882229322</v>
          </cell>
          <cell r="E391">
            <v>5.1460727834602933</v>
          </cell>
          <cell r="F391">
            <v>8.8065814534626679</v>
          </cell>
          <cell r="G391">
            <v>9.1067699167700322</v>
          </cell>
          <cell r="H391">
            <v>9.6842774725760634</v>
          </cell>
          <cell r="I391">
            <v>9.4967304064536204</v>
          </cell>
          <cell r="J391">
            <v>9.2068050857124177</v>
          </cell>
          <cell r="K391">
            <v>8.9474153179071561</v>
          </cell>
          <cell r="L391">
            <v>8.4293607770157664</v>
          </cell>
          <cell r="M391">
            <v>7.8573757731127296</v>
          </cell>
          <cell r="N391">
            <v>7.6895404163959435</v>
          </cell>
          <cell r="O391">
            <v>6.265967475503202</v>
          </cell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6.8092833657590495</v>
          </cell>
          <cell r="E392">
            <v>5.9372152556973745</v>
          </cell>
          <cell r="F392">
            <v>1.1714768229016039</v>
          </cell>
          <cell r="G392">
            <v>1.9701707897865985</v>
          </cell>
          <cell r="H392">
            <v>0.57692610926188403</v>
          </cell>
          <cell r="I392">
            <v>6.8845856576396205E-2</v>
          </cell>
          <cell r="J392">
            <v>7.3078814116738153E-2</v>
          </cell>
          <cell r="K392">
            <v>5.5558895350411468E-2</v>
          </cell>
          <cell r="L392">
            <v>5.2975461600858864E-2</v>
          </cell>
          <cell r="M392">
            <v>5.3602753744170402E-2</v>
          </cell>
          <cell r="N392">
            <v>5.2671097509199204E-2</v>
          </cell>
          <cell r="O392">
            <v>6.2997062670785295E-2</v>
          </cell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0.55982167913592495</v>
          </cell>
          <cell r="E393">
            <v>0.59706180297635691</v>
          </cell>
          <cell r="F393">
            <v>0.37275510247350235</v>
          </cell>
          <cell r="G393">
            <v>0.26588983996154492</v>
          </cell>
          <cell r="H393">
            <v>0.265388102867397</v>
          </cell>
          <cell r="I393">
            <v>0.24351694015958586</v>
          </cell>
          <cell r="J393">
            <v>0.22319496405745765</v>
          </cell>
          <cell r="K393">
            <v>0.18347913509913907</v>
          </cell>
          <cell r="L393">
            <v>0.17546550268123018</v>
          </cell>
          <cell r="M393">
            <v>0.15144821158999761</v>
          </cell>
          <cell r="N393">
            <v>0.14558861309594587</v>
          </cell>
          <cell r="O393">
            <v>0.10222125251521683</v>
          </cell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2.3363754705309766E-2</v>
          </cell>
          <cell r="E394">
            <v>1.2401036379078355E-4</v>
          </cell>
          <cell r="F394">
            <v>0.14310985789747185</v>
          </cell>
          <cell r="G394">
            <v>3.2565039963623137E-2</v>
          </cell>
          <cell r="H394">
            <v>0.50130536171994278</v>
          </cell>
          <cell r="I394">
            <v>1.2702964811923976</v>
          </cell>
          <cell r="J394">
            <v>1.7279166136182973</v>
          </cell>
          <cell r="K394">
            <v>2.8521375658183037</v>
          </cell>
          <cell r="L394">
            <v>3.0499035217793815</v>
          </cell>
          <cell r="M394">
            <v>3.193953817238365</v>
          </cell>
          <cell r="N394">
            <v>4.3791197982779693</v>
          </cell>
          <cell r="O394">
            <v>4.3869002941422641</v>
          </cell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7.189060684485872E-2</v>
          </cell>
          <cell r="E395">
            <v>1.6862199099259721E-4</v>
          </cell>
          <cell r="F395">
            <v>8.4406855289458405E-2</v>
          </cell>
          <cell r="G395">
            <v>1.5784838155657437E-2</v>
          </cell>
          <cell r="H395">
            <v>3.5466027427927621E-2</v>
          </cell>
          <cell r="I395">
            <v>3.831589549454982E-2</v>
          </cell>
          <cell r="J395">
            <v>4.0086829295392687E-2</v>
          </cell>
          <cell r="K395">
            <v>3.2191159114510301E-2</v>
          </cell>
          <cell r="L395">
            <v>2.9314194504952595E-2</v>
          </cell>
          <cell r="M395">
            <v>2.8817961627282736E-2</v>
          </cell>
          <cell r="N395">
            <v>2.8959025579283804E-2</v>
          </cell>
          <cell r="O395">
            <v>2.8324612396533656E-2</v>
          </cell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0.27526709845722075</v>
          </cell>
          <cell r="E396">
            <v>0.19464601217819025</v>
          </cell>
          <cell r="F396">
            <v>0.21801414858156387</v>
          </cell>
          <cell r="G396">
            <v>0.14527789152245876</v>
          </cell>
          <cell r="H396">
            <v>0.17209564442111241</v>
          </cell>
          <cell r="I396">
            <v>0.17938987240695842</v>
          </cell>
          <cell r="J396">
            <v>0.18250554833613966</v>
          </cell>
          <cell r="K396">
            <v>0.17443871419462609</v>
          </cell>
          <cell r="L396">
            <v>0.17461477405821393</v>
          </cell>
          <cell r="M396">
            <v>0.17257681131431363</v>
          </cell>
          <cell r="N396">
            <v>0.17454477670981569</v>
          </cell>
          <cell r="O396">
            <v>0.1686415056169166</v>
          </cell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1.2800711196922865</v>
          </cell>
          <cell r="E397">
            <v>1.4631748242097002</v>
          </cell>
          <cell r="F397">
            <v>1.3787492706515823</v>
          </cell>
          <cell r="G397">
            <v>1.4245822077058941</v>
          </cell>
          <cell r="H397">
            <v>1.4334779639716275</v>
          </cell>
          <cell r="I397">
            <v>1.5567286485412308</v>
          </cell>
          <cell r="J397">
            <v>1.4540477952173891</v>
          </cell>
          <cell r="K397">
            <v>1.5675096308792582</v>
          </cell>
          <cell r="L397">
            <v>1.5429074864696346</v>
          </cell>
          <cell r="M397">
            <v>1.470299819208958</v>
          </cell>
          <cell r="N397">
            <v>1.5159439741761458</v>
          </cell>
          <cell r="O397">
            <v>1.3740703073563107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6.4504817345572452</v>
          </cell>
          <cell r="E398">
            <v>6.9685186208479344</v>
          </cell>
          <cell r="F398">
            <v>6.7023354176842842</v>
          </cell>
          <cell r="G398">
            <v>5.1121128832880238</v>
          </cell>
          <cell r="H398">
            <v>4.038091999253985</v>
          </cell>
          <cell r="I398">
            <v>3.5100701527626641</v>
          </cell>
          <cell r="J398">
            <v>2.9187557323413671</v>
          </cell>
          <cell r="K398">
            <v>1.8457293977651315</v>
          </cell>
          <cell r="L398">
            <v>0.49118196257711005</v>
          </cell>
          <cell r="M398">
            <v>0.45762922318732518</v>
          </cell>
          <cell r="N398">
            <v>0.42150569029070278</v>
          </cell>
          <cell r="O398">
            <v>0.34187671246288959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1.6617471418749825</v>
          </cell>
          <cell r="E399">
            <v>1.9869069717852026</v>
          </cell>
          <cell r="F399">
            <v>1.785806731125325</v>
          </cell>
          <cell r="G399">
            <v>1.4719472144895744</v>
          </cell>
          <cell r="H399">
            <v>1.0842796741797585</v>
          </cell>
          <cell r="I399">
            <v>1.0307125212927568</v>
          </cell>
          <cell r="J399">
            <v>1.0247772107322783</v>
          </cell>
          <cell r="K399">
            <v>0.96950809799460524</v>
          </cell>
          <cell r="L399">
            <v>0.95727047161929879</v>
          </cell>
          <cell r="M399">
            <v>0.89160366600602881</v>
          </cell>
          <cell r="N399">
            <v>0.90874921026238897</v>
          </cell>
          <cell r="O399">
            <v>0.76492477362449574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3.1111321854674303</v>
          </cell>
          <cell r="E400">
            <v>3.635267491022546</v>
          </cell>
          <cell r="F400">
            <v>4.756118201029973</v>
          </cell>
          <cell r="G400">
            <v>5.964333757246286</v>
          </cell>
          <cell r="H400">
            <v>7.7089171342048148</v>
          </cell>
          <cell r="I400">
            <v>7.9454252096390885</v>
          </cell>
          <cell r="J400">
            <v>8.2785394151969758</v>
          </cell>
          <cell r="K400">
            <v>8.3026236458755687</v>
          </cell>
          <cell r="L400">
            <v>10.347610700086003</v>
          </cell>
          <cell r="M400">
            <v>10.508522194759188</v>
          </cell>
          <cell r="N400">
            <v>9.0103710900316507</v>
          </cell>
          <cell r="O400">
            <v>10.402321367237564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2.752181232263437E-3</v>
          </cell>
          <cell r="G401">
            <v>3.1358404226234276E-3</v>
          </cell>
          <cell r="H401">
            <v>0.50366311019287979</v>
          </cell>
          <cell r="I401">
            <v>1.3059588222735552</v>
          </cell>
          <cell r="J401">
            <v>1.7768978087771381</v>
          </cell>
          <cell r="K401">
            <v>2.9055372638758459</v>
          </cell>
          <cell r="L401">
            <v>3.1063941007967686</v>
          </cell>
          <cell r="M401">
            <v>3.2509124307091946</v>
          </cell>
          <cell r="N401">
            <v>4.4463991622799695</v>
          </cell>
          <cell r="O401">
            <v>4.4512672296642561</v>
          </cell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9.1253980893390901E-2</v>
          </cell>
          <cell r="G402">
            <v>0.103427719202317</v>
          </cell>
          <cell r="H402">
            <v>16.158475207553099</v>
          </cell>
          <cell r="I402">
            <v>40.784096110868497</v>
          </cell>
          <cell r="J402">
            <v>54.495397724323297</v>
          </cell>
          <cell r="K402">
            <v>87.538622693695402</v>
          </cell>
          <cell r="L402">
            <v>93.590078677851395</v>
          </cell>
          <cell r="M402">
            <v>97.944156566238505</v>
          </cell>
          <cell r="N402">
            <v>133.96202604305</v>
          </cell>
          <cell r="O402">
            <v>134.10869217578201</v>
          </cell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1.6179783846345893E-3</v>
          </cell>
          <cell r="G403">
            <v>1.8338248085517136E-3</v>
          </cell>
          <cell r="H403">
            <v>0.28649778736796366</v>
          </cell>
          <cell r="I403">
            <v>0.72312227146929964</v>
          </cell>
          <cell r="J403">
            <v>0.96623045610502367</v>
          </cell>
          <cell r="K403">
            <v>1.5521032392499194</v>
          </cell>
          <cell r="L403">
            <v>1.6593985581179322</v>
          </cell>
          <cell r="M403">
            <v>1.7365985206779881</v>
          </cell>
          <cell r="N403">
            <v>2.3752132277136591</v>
          </cell>
          <cell r="O403">
            <v>2.377813691059965</v>
          </cell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2.25880668007664E-7</v>
          </cell>
          <cell r="F404">
            <v>2.23630578323853E-4</v>
          </cell>
          <cell r="G404">
            <v>3.9551186992099403E-6</v>
          </cell>
          <cell r="H404">
            <v>3.3903150773796402E-2</v>
          </cell>
          <cell r="I404">
            <v>5.4781256518283999E-2</v>
          </cell>
          <cell r="J404">
            <v>3.2766992249165697E-2</v>
          </cell>
          <cell r="K404">
            <v>0.109562652640638</v>
          </cell>
          <cell r="L404">
            <v>6.3959699242310999E-2</v>
          </cell>
          <cell r="M404">
            <v>4.6714113914255499E-2</v>
          </cell>
          <cell r="N404">
            <v>0.19133025811059001</v>
          </cell>
          <cell r="O404">
            <v>6.3489350977754003E-2</v>
          </cell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-3.182735459501168E-7</v>
          </cell>
          <cell r="F405">
            <v>2.2355845908655621E-4</v>
          </cell>
          <cell r="G405">
            <v>2.2753146067316384E-4</v>
          </cell>
          <cell r="H405">
            <v>3.4130306254797481E-2</v>
          </cell>
          <cell r="I405">
            <v>8.8734124715093371E-2</v>
          </cell>
          <cell r="J405">
            <v>0.12145109388544501</v>
          </cell>
          <cell r="K405">
            <v>0.19711027764093672</v>
          </cell>
          <cell r="L405">
            <v>0.21036470247455791</v>
          </cell>
          <cell r="M405">
            <v>0.22023579239068447</v>
          </cell>
          <cell r="N405">
            <v>0.30113313723823387</v>
          </cell>
          <cell r="O405">
            <v>0.30153312532749921</v>
          </cell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7.1214433667464311E-5</v>
          </cell>
          <cell r="E406">
            <v>5.7004345534116224E-5</v>
          </cell>
          <cell r="F406">
            <v>4.7425289615454129E-3</v>
          </cell>
          <cell r="G406">
            <v>2.6176116985638875E-2</v>
          </cell>
          <cell r="H406">
            <v>3.174200617658416E-2</v>
          </cell>
          <cell r="I406">
            <v>0.22480245901188745</v>
          </cell>
          <cell r="J406">
            <v>0.13237123822509866</v>
          </cell>
          <cell r="K406">
            <v>0.19483514208041178</v>
          </cell>
          <cell r="L406">
            <v>0.19141181537253604</v>
          </cell>
          <cell r="M406">
            <v>0.44567068189064135</v>
          </cell>
          <cell r="N406">
            <v>0.30067613100787588</v>
          </cell>
          <cell r="O406">
            <v>0.33901348590329272</v>
          </cell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5.9571267790528565E-5</v>
          </cell>
          <cell r="E407">
            <v>5.6499516846006581E-5</v>
          </cell>
          <cell r="F407">
            <v>6.1536740051916583E-3</v>
          </cell>
          <cell r="G407">
            <v>3.2755332239577731E-2</v>
          </cell>
          <cell r="H407">
            <v>3.8512971864288349E-2</v>
          </cell>
          <cell r="I407">
            <v>0.26451125711277901</v>
          </cell>
          <cell r="J407">
            <v>0.15133103389453822</v>
          </cell>
          <cell r="K407">
            <v>0.21652379510957159</v>
          </cell>
          <cell r="L407">
            <v>0.21273095525736135</v>
          </cell>
          <cell r="M407">
            <v>0.49524206278250782</v>
          </cell>
          <cell r="N407">
            <v>0.33414491871307406</v>
          </cell>
          <cell r="O407">
            <v>0.37675189308007151</v>
          </cell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1.10188620751193E-2</v>
          </cell>
          <cell r="E408">
            <v>9.0338972150496494E-2</v>
          </cell>
          <cell r="F408">
            <v>4.5256163443040503E-5</v>
          </cell>
          <cell r="G408">
            <v>4.6665211001251798E-5</v>
          </cell>
          <cell r="H408">
            <v>5.2656913348776098E-2</v>
          </cell>
          <cell r="I408">
            <v>5.6904270986435398E-2</v>
          </cell>
          <cell r="J408">
            <v>8.2483683844202897E-3</v>
          </cell>
          <cell r="K408">
            <v>6.1987069224374303E-2</v>
          </cell>
          <cell r="L408">
            <v>5.9313728498052103E-2</v>
          </cell>
          <cell r="M408">
            <v>2.58325575480561E-2</v>
          </cell>
          <cell r="N408">
            <v>8.1349598919139204E-2</v>
          </cell>
          <cell r="O408">
            <v>6.2774456220494296E-2</v>
          </cell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1.10188620751193E-2</v>
          </cell>
          <cell r="E409">
            <v>0.10132406857705059</v>
          </cell>
          <cell r="F409">
            <v>0.10131817241905273</v>
          </cell>
          <cell r="G409">
            <v>0.10132382639096664</v>
          </cell>
          <cell r="H409">
            <v>0.10172350136274873</v>
          </cell>
          <cell r="I409">
            <v>0.10955778048174765</v>
          </cell>
          <cell r="J409">
            <v>0.11772664888952965</v>
          </cell>
          <cell r="K409">
            <v>0.12694676952347778</v>
          </cell>
          <cell r="L409">
            <v>0.13691851827728566</v>
          </cell>
          <cell r="M409">
            <v>0.14676339536211505</v>
          </cell>
          <cell r="N409">
            <v>0.15821851214335683</v>
          </cell>
          <cell r="O409">
            <v>0.16961560691247426</v>
          </cell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1928.7110939726499</v>
          </cell>
          <cell r="E410">
            <v>1528.94848412242</v>
          </cell>
          <cell r="F410">
            <v>1445.61341471893</v>
          </cell>
          <cell r="G410">
            <v>1583.12878236191</v>
          </cell>
          <cell r="H410">
            <v>1333.4607869798101</v>
          </cell>
          <cell r="I410">
            <v>1190.19509307772</v>
          </cell>
          <cell r="J410">
            <v>1143.19673729491</v>
          </cell>
          <cell r="K410">
            <v>1085.41267561891</v>
          </cell>
          <cell r="L410">
            <v>1047.80670572087</v>
          </cell>
          <cell r="M410">
            <v>915.02739379444495</v>
          </cell>
          <cell r="N410">
            <v>839.497176450089</v>
          </cell>
          <cell r="O410">
            <v>358.374334980762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23.443740683181815</v>
          </cell>
          <cell r="E411">
            <v>18.584572822609726</v>
          </cell>
          <cell r="F411">
            <v>17.571623935129491</v>
          </cell>
          <cell r="G411">
            <v>19.243141576651471</v>
          </cell>
          <cell r="H411">
            <v>16.208393781131797</v>
          </cell>
          <cell r="I411">
            <v>14.46698015670006</v>
          </cell>
          <cell r="J411">
            <v>13.89570887146124</v>
          </cell>
          <cell r="K411">
            <v>13.193335892020889</v>
          </cell>
          <cell r="L411">
            <v>12.736230310379247</v>
          </cell>
          <cell r="M411">
            <v>11.122280057994452</v>
          </cell>
          <cell r="N411">
            <v>10.20420018864594</v>
          </cell>
          <cell r="O411">
            <v>4.3560878573532325</v>
          </cell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26.169757041691323</v>
          </cell>
          <cell r="E412">
            <v>20.745569662448059</v>
          </cell>
          <cell r="F412">
            <v>19.614836020609655</v>
          </cell>
          <cell r="G412">
            <v>21.48071617858767</v>
          </cell>
          <cell r="H412">
            <v>18.093090732426198</v>
          </cell>
          <cell r="I412">
            <v>16.149187151665192</v>
          </cell>
          <cell r="J412">
            <v>15.51148897279392</v>
          </cell>
          <cell r="K412">
            <v>14.727444716674471</v>
          </cell>
          <cell r="L412">
            <v>14.217187323214045</v>
          </cell>
          <cell r="M412">
            <v>12.415568436831</v>
          </cell>
          <cell r="N412">
            <v>11.390735094302434</v>
          </cell>
          <cell r="O412">
            <v>4.8626097012315137</v>
          </cell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1.68448878004218E-7</v>
          </cell>
          <cell r="F413">
            <v>2.3071593778820701E-7</v>
          </cell>
          <cell r="G413">
            <v>4.6589302891399701E-7</v>
          </cell>
          <cell r="H413">
            <v>0.71782372340072098</v>
          </cell>
          <cell r="I413">
            <v>0.30551039739156199</v>
          </cell>
          <cell r="J413">
            <v>1.53162956546472E-6</v>
          </cell>
          <cell r="K413">
            <v>0.62631298132721502</v>
          </cell>
          <cell r="L413">
            <v>0.22774864862737601</v>
          </cell>
          <cell r="M413">
            <v>2.70434308031061E-6</v>
          </cell>
          <cell r="N413">
            <v>0.45541694408598399</v>
          </cell>
          <cell r="O413">
            <v>2.8928823285442798E-6</v>
          </cell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1.6558718132086636</v>
          </cell>
          <cell r="F414">
            <v>1.6558694572380273</v>
          </cell>
          <cell r="G414">
            <v>1.6558661350990931</v>
          </cell>
          <cell r="H414">
            <v>1.1472474051832193</v>
          </cell>
          <cell r="I414">
            <v>1.0233339097729888</v>
          </cell>
          <cell r="J414">
            <v>1.0232946232872595</v>
          </cell>
          <cell r="K414">
            <v>0.93182343373491472</v>
          </cell>
          <cell r="L414">
            <v>0.90100468333908201</v>
          </cell>
          <cell r="M414">
            <v>0.85405807062274597</v>
          </cell>
          <cell r="N414">
            <v>0.72190058371061838</v>
          </cell>
          <cell r="O414">
            <v>0.45541987584381549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1.7169035095075309E-3</v>
          </cell>
          <cell r="G415">
            <v>1.7665481282148978E-3</v>
          </cell>
          <cell r="H415">
            <v>2.1636149974788837E-2</v>
          </cell>
          <cell r="I415">
            <v>2.4797265474880675E-2</v>
          </cell>
          <cell r="J415">
            <v>2.4830361750327455E-2</v>
          </cell>
          <cell r="K415">
            <v>1.6318614318098652</v>
          </cell>
          <cell r="L415">
            <v>1.6318376832565098</v>
          </cell>
          <cell r="M415">
            <v>1.6318659790335741</v>
          </cell>
          <cell r="N415">
            <v>5.1133724340274433</v>
          </cell>
          <cell r="O415">
            <v>5.1134262267254869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4.84166789681124E-2</v>
          </cell>
          <cell r="G416">
            <v>4.7900631938134701E-2</v>
          </cell>
          <cell r="H416">
            <v>0.56757156212934401</v>
          </cell>
          <cell r="I416">
            <v>0.62998458233480603</v>
          </cell>
          <cell r="J416">
            <v>0.61422473803441602</v>
          </cell>
          <cell r="K416">
            <v>39.332044766699298</v>
          </cell>
          <cell r="L416">
            <v>39.331472365669697</v>
          </cell>
          <cell r="M416">
            <v>39.332154366450197</v>
          </cell>
          <cell r="N416">
            <v>123.24538687143099</v>
          </cell>
          <cell r="O416">
            <v>123.24668341338401</v>
          </cell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1.7169035095075309E-3</v>
          </cell>
          <cell r="G417">
            <v>1.7665481282148978E-3</v>
          </cell>
          <cell r="H417">
            <v>2.1636149974788837E-2</v>
          </cell>
          <cell r="I417">
            <v>2.4797265474880675E-2</v>
          </cell>
          <cell r="J417">
            <v>2.4830361750327455E-2</v>
          </cell>
          <cell r="K417">
            <v>1.6318614318098652</v>
          </cell>
          <cell r="L417">
            <v>1.6318376832565098</v>
          </cell>
          <cell r="M417">
            <v>1.6318659790335741</v>
          </cell>
          <cell r="N417">
            <v>5.1133724340274433</v>
          </cell>
          <cell r="O417">
            <v>5.1134262267254869</v>
          </cell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8.58451754753765E-4</v>
          </cell>
          <cell r="G418">
            <v>8.4930198471870014E-4</v>
          </cell>
          <cell r="H418">
            <v>1.0063325569669226E-2</v>
          </cell>
          <cell r="I418">
            <v>1.1169939403099394E-2</v>
          </cell>
          <cell r="J418">
            <v>1.0890509539617311E-2</v>
          </cell>
          <cell r="K418">
            <v>0.69737668026062638</v>
          </cell>
          <cell r="L418">
            <v>0.69736653130620052</v>
          </cell>
          <cell r="M418">
            <v>0.69737862351862023</v>
          </cell>
          <cell r="N418">
            <v>2.185201894883523</v>
          </cell>
          <cell r="O418">
            <v>2.1852248832160202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1.2802339640630899E-7</v>
          </cell>
          <cell r="F419">
            <v>1.54355054594521E-4</v>
          </cell>
          <cell r="G419">
            <v>3.7594679971730499E-7</v>
          </cell>
          <cell r="H419">
            <v>1.61397457020569E-3</v>
          </cell>
          <cell r="I419">
            <v>3.7573499858552901E-4</v>
          </cell>
          <cell r="J419">
            <v>3.1159942883740002E-5</v>
          </cell>
          <cell r="K419">
            <v>0.131472215734628</v>
          </cell>
          <cell r="L419">
            <v>3.1183941107764697E-4</v>
          </cell>
          <cell r="M419">
            <v>9.2184827712525497E-5</v>
          </cell>
          <cell r="N419">
            <v>0.38973535765578698</v>
          </cell>
          <cell r="O419">
            <v>2.3363520644258499E-2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1.2802339640630899E-7</v>
          </cell>
          <cell r="F420">
            <v>1.5438231123675173E-4</v>
          </cell>
          <cell r="G420">
            <v>1.5470295825097344E-4</v>
          </cell>
          <cell r="H420">
            <v>1.768469662104036E-3</v>
          </cell>
          <cell r="I420">
            <v>2.0219964003152335E-3</v>
          </cell>
          <cell r="J420">
            <v>2.0206271420910101E-3</v>
          </cell>
          <cell r="K420">
            <v>0.13187871454595709</v>
          </cell>
          <cell r="L420">
            <v>0.13186843918256441</v>
          </cell>
          <cell r="M420">
            <v>0.13187581349136468</v>
          </cell>
          <cell r="N420">
            <v>0.41332665033193772</v>
          </cell>
          <cell r="O420">
            <v>0.41319062225676778</v>
          </cell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4.6967737155536481E-5</v>
          </cell>
          <cell r="E421">
            <v>4.6761936377210824E-5</v>
          </cell>
          <cell r="F421">
            <v>2.7608312630138368E-5</v>
          </cell>
          <cell r="G421">
            <v>1.1796750930615082E-3</v>
          </cell>
          <cell r="H421">
            <v>2.4179840451659614E-3</v>
          </cell>
          <cell r="I421">
            <v>2.4567491169079948E-3</v>
          </cell>
          <cell r="J421">
            <v>2.3616889779408167E-3</v>
          </cell>
          <cell r="K421">
            <v>3.6924901224469073E-3</v>
          </cell>
          <cell r="L421">
            <v>3.745133214075911E-3</v>
          </cell>
          <cell r="M421">
            <v>4.2343579983765188E-3</v>
          </cell>
          <cell r="N421">
            <v>4.8180692815571625E-3</v>
          </cell>
          <cell r="O421">
            <v>9.990668558828188E-3</v>
          </cell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2.3766502853944295E-5</v>
          </cell>
          <cell r="E422">
            <v>1.088103309150307E-4</v>
          </cell>
          <cell r="F422">
            <v>4.3943214531680509E-5</v>
          </cell>
          <cell r="G422">
            <v>9.8837439284626825E-5</v>
          </cell>
          <cell r="H422">
            <v>3.8527607007758686E-5</v>
          </cell>
          <cell r="I422">
            <v>8.8509157592440714E-5</v>
          </cell>
          <cell r="J422">
            <v>7.8329385860337011E-5</v>
          </cell>
          <cell r="K422">
            <v>3.5694762677159012E-4</v>
          </cell>
          <cell r="L422">
            <v>8.3780180113263687E-5</v>
          </cell>
          <cell r="M422">
            <v>6.7333005218201455E-5</v>
          </cell>
          <cell r="N422">
            <v>2.2370660901440483E-4</v>
          </cell>
          <cell r="O422">
            <v>1.8701802673506669E-4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E423">
            <v>2.3262437013337652E-6</v>
          </cell>
          <cell r="F423">
            <v>4.6093660703659329E-6</v>
          </cell>
          <cell r="G423">
            <v>6.27915737347776E-8</v>
          </cell>
          <cell r="H423">
            <v>1.8034193000764433E-6</v>
          </cell>
          <cell r="I423">
            <v>2.949608639431998E-6</v>
          </cell>
          <cell r="J423">
            <v>3.9260562342708251E-6</v>
          </cell>
          <cell r="K423">
            <v>8.412357378205925E-6</v>
          </cell>
          <cell r="L423">
            <v>8.1675068869406055E-6</v>
          </cell>
          <cell r="M423">
            <v>1.1608407690894227E-5</v>
          </cell>
          <cell r="N423">
            <v>1.4312963370308809E-5</v>
          </cell>
          <cell r="O423">
            <v>3.1864240949770632E-5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7.0734240009480773E-5</v>
          </cell>
          <cell r="E424">
            <v>1.5789851099357535E-4</v>
          </cell>
          <cell r="F424">
            <v>7.6160893232184821E-5</v>
          </cell>
          <cell r="G424">
            <v>1.2795734043145443E-3</v>
          </cell>
          <cell r="H424">
            <v>2.4593763498663335E-3</v>
          </cell>
          <cell r="I424">
            <v>2.5491541026893792E-3</v>
          </cell>
          <cell r="J424">
            <v>2.4446517534692054E-3</v>
          </cell>
          <cell r="K424">
            <v>4.0579701313376501E-3</v>
          </cell>
          <cell r="L424">
            <v>3.8376410357445537E-3</v>
          </cell>
          <cell r="M424">
            <v>4.3132994112856163E-3</v>
          </cell>
          <cell r="N424">
            <v>5.0560888539418689E-3</v>
          </cell>
          <cell r="O424">
            <v>1.0209550826513022E-2</v>
          </cell>
        </row>
        <row r="425">
          <cell r="A425" t="str">
            <v>ITOT-SWHCONBR</v>
          </cell>
          <cell r="B425" t="str">
            <v>VAR_ncap</v>
          </cell>
          <cell r="C425" t="str">
            <v>-</v>
          </cell>
          <cell r="G425"/>
          <cell r="H425"/>
          <cell r="I425">
            <v>1.40932837062195E-8</v>
          </cell>
          <cell r="J425">
            <v>1.51908777611856E-8</v>
          </cell>
          <cell r="K425">
            <v>1.7126192888217299E-8</v>
          </cell>
          <cell r="L425">
            <v>1.68201196562251E-8</v>
          </cell>
          <cell r="M425">
            <v>2.3128037377044701E-8</v>
          </cell>
          <cell r="N425">
            <v>1.15098000080202E-8</v>
          </cell>
          <cell r="O425">
            <v>2.7128231046998501E-8</v>
          </cell>
        </row>
        <row r="426">
          <cell r="A426" t="str">
            <v>ITOT-SWHCONBR</v>
          </cell>
          <cell r="B426" t="str">
            <v>VAR_cap</v>
          </cell>
          <cell r="C426" t="str">
            <v>-</v>
          </cell>
          <cell r="F426">
            <v>-1.01222355151184E-8</v>
          </cell>
          <cell r="G426"/>
          <cell r="H426">
            <v>-3.2975485186449298E-8</v>
          </cell>
          <cell r="I426">
            <v>-8.8597252459228008E-9</v>
          </cell>
          <cell r="J426">
            <v>-1.76522943105959E-8</v>
          </cell>
          <cell r="K426">
            <v>-4.5397919425235796E-8</v>
          </cell>
          <cell r="L426">
            <v>-1.6340339977074698E-8</v>
          </cell>
          <cell r="M426">
            <v>-5.60701077330997E-8</v>
          </cell>
          <cell r="N426">
            <v>-5.4741934801200498E-8</v>
          </cell>
          <cell r="O426">
            <v>1.2499654244391101E-7</v>
          </cell>
        </row>
        <row r="427">
          <cell r="A427" t="str">
            <v>ITOT-SWHSOLBR</v>
          </cell>
          <cell r="B427" t="str">
            <v>VAR_fout</v>
          </cell>
          <cell r="C427" t="str">
            <v>ITOT-SWHASOL</v>
          </cell>
          <cell r="D427">
            <v>6.7686205191224119E-2</v>
          </cell>
          <cell r="E427">
            <v>8.5502240074490629E-2</v>
          </cell>
          <cell r="F427">
            <v>8.550021815389508E-2</v>
          </cell>
          <cell r="G427">
            <v>8.5495210940754976E-2</v>
          </cell>
          <cell r="H427">
            <v>8.5494984769606652E-2</v>
          </cell>
          <cell r="I427">
            <v>8.549412257390826E-2</v>
          </cell>
          <cell r="J427">
            <v>8.5496152181069929E-2</v>
          </cell>
          <cell r="K427">
            <v>8.5496849940461889E-2</v>
          </cell>
          <cell r="L427">
            <v>8.549490788983817E-2</v>
          </cell>
          <cell r="M427">
            <v>8.5512689658765004E-2</v>
          </cell>
          <cell r="N427">
            <v>8.551067613974353E-2</v>
          </cell>
          <cell r="O427">
            <v>8.5556776020028841E-2</v>
          </cell>
        </row>
        <row r="428">
          <cell r="A428" t="str">
            <v>ITOT-SWHSOLBR</v>
          </cell>
          <cell r="B428" t="str">
            <v>VAR_fin</v>
          </cell>
          <cell r="C428" t="str">
            <v>SOL</v>
          </cell>
          <cell r="D428">
            <v>6.7686205191224119E-2</v>
          </cell>
          <cell r="E428">
            <v>8.5502240074490629E-2</v>
          </cell>
          <cell r="F428">
            <v>8.550021815389508E-2</v>
          </cell>
          <cell r="G428">
            <v>8.5495210940754976E-2</v>
          </cell>
          <cell r="H428">
            <v>8.5494984769606652E-2</v>
          </cell>
          <cell r="I428">
            <v>8.549412257390826E-2</v>
          </cell>
          <cell r="J428">
            <v>8.5496152181069929E-2</v>
          </cell>
          <cell r="K428">
            <v>8.5496849940461889E-2</v>
          </cell>
          <cell r="L428">
            <v>8.549490788983817E-2</v>
          </cell>
          <cell r="M428">
            <v>8.5512689658765004E-2</v>
          </cell>
          <cell r="N428">
            <v>8.551067613974353E-2</v>
          </cell>
          <cell r="O428">
            <v>8.5556776020028841E-2</v>
          </cell>
        </row>
        <row r="429">
          <cell r="A429" t="str">
            <v>ITOT-SWHSOLBR</v>
          </cell>
          <cell r="B429" t="str">
            <v>VAR_ncap</v>
          </cell>
          <cell r="C429" t="str">
            <v>-</v>
          </cell>
          <cell r="E429">
            <v>2.6524045432753198E-3</v>
          </cell>
          <cell r="F429">
            <v>8.5611458147694202E-8</v>
          </cell>
          <cell r="G429">
            <v>1.26213364280372E-7</v>
          </cell>
          <cell r="H429">
            <v>8.5653836538459299E-3</v>
          </cell>
          <cell r="I429">
            <v>3.9032193996515301E-3</v>
          </cell>
          <cell r="J429">
            <v>9.930265951706931E-7</v>
          </cell>
          <cell r="K429">
            <v>8.5601275479921801E-3</v>
          </cell>
          <cell r="L429">
            <v>3.3024546004585499E-3</v>
          </cell>
          <cell r="M429">
            <v>6.9225387456318098E-4</v>
          </cell>
          <cell r="N429">
            <v>8.0883347675120391E-3</v>
          </cell>
          <cell r="O429">
            <v>3.8665048541515301E-3</v>
          </cell>
        </row>
        <row r="430">
          <cell r="A430" t="str">
            <v>ITOT-SWHSOLBR</v>
          </cell>
          <cell r="B430" t="str">
            <v>VAR_cap</v>
          </cell>
          <cell r="C430" t="str">
            <v>-</v>
          </cell>
          <cell r="D430">
            <v>9.8214799778629808E-3</v>
          </cell>
          <cell r="E430">
            <v>1.24738845211383E-2</v>
          </cell>
          <cell r="F430">
            <v>1.2473970132596442E-2</v>
          </cell>
          <cell r="G430">
            <v>1.2474096345960721E-2</v>
          </cell>
          <cell r="H430">
            <v>1.247158724962159E-2</v>
          </cell>
          <cell r="I430">
            <v>1.24687232333096E-2</v>
          </cell>
          <cell r="J430">
            <v>1.24695960800926E-2</v>
          </cell>
          <cell r="K430">
            <v>1.2464339974238899E-2</v>
          </cell>
          <cell r="L430">
            <v>1.2463189181266999E-2</v>
          </cell>
          <cell r="M430">
            <v>1.25548360230139E-2</v>
          </cell>
          <cell r="N430">
            <v>1.25523061771086E-2</v>
          </cell>
          <cell r="O430">
            <v>1.26470934962267E-2</v>
          </cell>
        </row>
        <row r="431">
          <cell r="A431" t="str">
            <v>SCOM-SHNGAHP</v>
          </cell>
          <cell r="B431" t="str">
            <v>VAR_fout</v>
          </cell>
          <cell r="C431" t="str">
            <v>SCOM-SHANGAH</v>
          </cell>
          <cell r="F431">
            <v>2.046458618865626E-3</v>
          </cell>
          <cell r="G431">
            <v>2.0317998835155588E-3</v>
          </cell>
          <cell r="H431">
            <v>8.9221212616062296E-3</v>
          </cell>
          <cell r="I431">
            <v>1.3886816438635928E-2</v>
          </cell>
          <cell r="J431">
            <v>2.8596255930385384E-2</v>
          </cell>
          <cell r="K431">
            <v>2.3786226313633876E-2</v>
          </cell>
          <cell r="L431">
            <v>1.7017317165591021E-2</v>
          </cell>
          <cell r="M431">
            <v>5.8674184072518426E-2</v>
          </cell>
          <cell r="N431">
            <v>5.7200397691136169E-2</v>
          </cell>
          <cell r="O431">
            <v>0.10737873667128869</v>
          </cell>
        </row>
        <row r="432">
          <cell r="A432" t="str">
            <v>SCOM-SHNGAHP</v>
          </cell>
          <cell r="B432" t="str">
            <v>VAR_fout</v>
          </cell>
          <cell r="C432" t="str">
            <v>CO2_S</v>
          </cell>
          <cell r="F432">
            <v>5.82930636888997E-2</v>
          </cell>
          <cell r="G432">
            <v>5.6173290897194902E-2</v>
          </cell>
          <cell r="H432">
            <v>0.23962268531170999</v>
          </cell>
          <cell r="I432">
            <v>0.362600207008827</v>
          </cell>
          <cell r="J432">
            <v>0.72649947498817002</v>
          </cell>
          <cell r="K432">
            <v>0.58839612460041701</v>
          </cell>
          <cell r="L432">
            <v>0.42095468778041001</v>
          </cell>
          <cell r="M432">
            <v>1.4514140270570299</v>
          </cell>
          <cell r="N432">
            <v>1.41495720604389</v>
          </cell>
          <cell r="O432">
            <v>2.6562108545003</v>
          </cell>
        </row>
        <row r="433">
          <cell r="A433" t="str">
            <v>SCOM-SHNGAHP</v>
          </cell>
          <cell r="B433" t="str">
            <v>VAR_fin</v>
          </cell>
          <cell r="C433" t="str">
            <v>SCOMELCHPC</v>
          </cell>
          <cell r="F433">
            <v>2.046458618865626E-3</v>
          </cell>
          <cell r="G433">
            <v>2.0317998835155588E-3</v>
          </cell>
          <cell r="H433">
            <v>8.9221212616062296E-3</v>
          </cell>
          <cell r="I433">
            <v>1.3886816438635928E-2</v>
          </cell>
          <cell r="J433">
            <v>2.8596255930385384E-2</v>
          </cell>
          <cell r="K433">
            <v>2.3786226313633876E-2</v>
          </cell>
          <cell r="L433">
            <v>1.7017317165591021E-2</v>
          </cell>
          <cell r="M433">
            <v>5.8674184072518426E-2</v>
          </cell>
          <cell r="N433">
            <v>5.7200397691136169E-2</v>
          </cell>
          <cell r="O433">
            <v>0.10737873667128869</v>
          </cell>
        </row>
        <row r="434">
          <cell r="A434" t="str">
            <v>SCOM-SHNGAHP</v>
          </cell>
          <cell r="B434" t="str">
            <v>VAR_fin</v>
          </cell>
          <cell r="C434" t="str">
            <v>SNGA</v>
          </cell>
          <cell r="F434">
            <v>1.0335649590230435E-3</v>
          </cell>
          <cell r="G434">
            <v>9.9598033505664588E-4</v>
          </cell>
          <cell r="H434">
            <v>4.2486291721934421E-3</v>
          </cell>
          <cell r="I434">
            <v>6.4290816845536686E-3</v>
          </cell>
          <cell r="J434">
            <v>1.2881196365038467E-2</v>
          </cell>
          <cell r="K434">
            <v>1.0432555400716623E-2</v>
          </cell>
          <cell r="L434">
            <v>7.4637355989434322E-3</v>
          </cell>
          <cell r="M434">
            <v>2.5734291259876481E-2</v>
          </cell>
          <cell r="N434">
            <v>2.5087893724182516E-2</v>
          </cell>
          <cell r="O434">
            <v>4.7095937136530153E-2</v>
          </cell>
        </row>
        <row r="435">
          <cell r="A435" t="str">
            <v>SCOM-SHNGAHP</v>
          </cell>
          <cell r="B435" t="str">
            <v>VAR_ncap</v>
          </cell>
          <cell r="C435" t="str">
            <v>-</v>
          </cell>
          <cell r="D435">
            <v>3.93193975698172E-7</v>
          </cell>
          <cell r="E435">
            <v>1.43007143950039E-5</v>
          </cell>
          <cell r="F435">
            <v>1.47645923915602E-4</v>
          </cell>
          <cell r="G435">
            <v>1.5733966537878E-6</v>
          </cell>
          <cell r="H435">
            <v>5.3367060505835398E-4</v>
          </cell>
          <cell r="I435">
            <v>5.0710933182480803E-4</v>
          </cell>
          <cell r="J435">
            <v>1.16536939520726E-3</v>
          </cell>
          <cell r="K435">
            <v>1.6446224008286999E-4</v>
          </cell>
          <cell r="L435">
            <v>6.0756820147637899E-5</v>
          </cell>
          <cell r="M435">
            <v>4.3023355875799396E-3</v>
          </cell>
          <cell r="N435">
            <v>4.6423889069646597E-5</v>
          </cell>
          <cell r="O435">
            <v>3.9462638460561802E-3</v>
          </cell>
        </row>
        <row r="436">
          <cell r="A436" t="str">
            <v>SCOM-SHNGAHP</v>
          </cell>
          <cell r="B436" t="str">
            <v>VAR_cap</v>
          </cell>
          <cell r="C436" t="str">
            <v>-</v>
          </cell>
          <cell r="D436">
            <v>3.93193975698172E-7</v>
          </cell>
          <cell r="E436">
            <v>1.4516192069136623E-5</v>
          </cell>
          <cell r="F436">
            <v>1.6164946539106416E-4</v>
          </cell>
          <cell r="G436">
            <v>1.6348216910244576E-4</v>
          </cell>
          <cell r="H436">
            <v>6.8925549720214453E-4</v>
          </cell>
          <cell r="I436">
            <v>1.0720746308227472E-3</v>
          </cell>
          <cell r="J436">
            <v>2.2056342020282758E-3</v>
          </cell>
          <cell r="K436">
            <v>1.8359298626448111E-3</v>
          </cell>
          <cell r="L436">
            <v>1.3130475720066817E-3</v>
          </cell>
          <cell r="M436">
            <v>4.5262319340847882E-3</v>
          </cell>
          <cell r="N436">
            <v>4.417851337466046E-3</v>
          </cell>
          <cell r="O436">
            <v>8.2938473615330986E-3</v>
          </cell>
        </row>
        <row r="437">
          <cell r="A437" t="str">
            <v>D-RHNM_LTH_CHPNGA</v>
          </cell>
          <cell r="B437" t="str">
            <v>VAR_fout</v>
          </cell>
          <cell r="C437" t="str">
            <v>RHSA_LTH</v>
          </cell>
          <cell r="D437">
            <v>3.2799838026312978E-5</v>
          </cell>
          <cell r="E437">
            <v>1.2707662612958799E-5</v>
          </cell>
          <cell r="F437">
            <v>3.9478267294840501E-5</v>
          </cell>
          <cell r="G437">
            <v>3.1549747112836713E-3</v>
          </cell>
          <cell r="H437">
            <v>6.2600773343939498E-4</v>
          </cell>
          <cell r="I437">
            <v>1.1229102629167933E-2</v>
          </cell>
          <cell r="J437">
            <v>2.524690980634802E-4</v>
          </cell>
          <cell r="K437">
            <v>3.9981337311489465E-2</v>
          </cell>
          <cell r="L437">
            <v>3.6283543057396582E-2</v>
          </cell>
          <cell r="M437">
            <v>3.6297656179166147E-4</v>
          </cell>
          <cell r="N437">
            <v>2.4420239054108511E-3</v>
          </cell>
          <cell r="O437">
            <v>1.1543069874979489E-4</v>
          </cell>
        </row>
        <row r="438">
          <cell r="A438" t="str">
            <v>D-RHNM_LTH_CHPNGA</v>
          </cell>
          <cell r="B438" t="str">
            <v>VAR_fout</v>
          </cell>
          <cell r="C438" t="str">
            <v>LTH</v>
          </cell>
          <cell r="F438">
            <v>8.2620186975062371E-6</v>
          </cell>
          <cell r="G438">
            <v>5.8114571865606351E-4</v>
          </cell>
          <cell r="H438">
            <v>8.5806716778400567E-4</v>
          </cell>
          <cell r="I438">
            <v>1.6664025134641056E-3</v>
          </cell>
          <cell r="J438">
            <v>2.270129973896189E-3</v>
          </cell>
          <cell r="K438">
            <v>9.6724197564457097E-4</v>
          </cell>
          <cell r="L438">
            <v>9.7228476313527049E-4</v>
          </cell>
          <cell r="M438">
            <v>3.4813024705490233E-3</v>
          </cell>
          <cell r="N438">
            <v>2.4703300181599E-3</v>
          </cell>
          <cell r="O438">
            <v>2.1046753121088525E-4</v>
          </cell>
        </row>
        <row r="439">
          <cell r="A439" t="str">
            <v>D-RHNM_LTH_CHPNGA</v>
          </cell>
          <cell r="B439" t="str">
            <v>VAR_fout</v>
          </cell>
          <cell r="C439" t="str">
            <v>RHNM_LTH_CHPNGA_ON</v>
          </cell>
          <cell r="D439">
            <v>4.3576073302669054E-5</v>
          </cell>
          <cell r="E439">
            <v>2.739220785016486E-3</v>
          </cell>
          <cell r="F439">
            <v>2.5854888269734592E-2</v>
          </cell>
          <cell r="G439">
            <v>0.75708666205314079</v>
          </cell>
          <cell r="H439">
            <v>0.7703627029321487</v>
          </cell>
          <cell r="I439">
            <v>0.79299343891671137</v>
          </cell>
          <cell r="J439">
            <v>0.79545246810874504</v>
          </cell>
          <cell r="K439">
            <v>0.80650100082048604</v>
          </cell>
          <cell r="L439">
            <v>0.79827609369420549</v>
          </cell>
          <cell r="M439">
            <v>0.79907225761616429</v>
          </cell>
          <cell r="N439">
            <v>0.55608549397043772</v>
          </cell>
          <cell r="O439">
            <v>6.2811832491797559E-2</v>
          </cell>
        </row>
        <row r="440">
          <cell r="A440" t="str">
            <v>D-RHNM_LTH_CHPNGA</v>
          </cell>
          <cell r="B440" t="str">
            <v>VAR_fin</v>
          </cell>
          <cell r="C440" t="str">
            <v>RHNM_LTH_CHPNGA</v>
          </cell>
          <cell r="D440">
            <v>7.6375911328982045E-5</v>
          </cell>
          <cell r="E440">
            <v>2.7525769001731318E-3</v>
          </cell>
          <cell r="F440">
            <v>2.5902919620958417E-2</v>
          </cell>
          <cell r="G440">
            <v>0.76082278248308044</v>
          </cell>
          <cell r="H440">
            <v>0.77184677783337208</v>
          </cell>
          <cell r="I440">
            <v>0.8058889440593433</v>
          </cell>
          <cell r="J440">
            <v>0.79797506718070599</v>
          </cell>
          <cell r="K440">
            <v>0.84744958010762028</v>
          </cell>
          <cell r="L440">
            <v>0.83553192151473743</v>
          </cell>
          <cell r="M440">
            <v>0.80291653664850537</v>
          </cell>
          <cell r="N440">
            <v>0.56099784789400864</v>
          </cell>
          <cell r="O440">
            <v>6.3137730721758253E-2</v>
          </cell>
        </row>
        <row r="441">
          <cell r="A441" t="str">
            <v>RHNM-SHELCHP</v>
          </cell>
          <cell r="B441" t="str">
            <v>VAR_fout</v>
          </cell>
          <cell r="C441" t="str">
            <v>RHNM-SHAELCH</v>
          </cell>
          <cell r="E441">
            <v>0.5278596472158571</v>
          </cell>
          <cell r="F441">
            <v>2.0200309474879616</v>
          </cell>
          <cell r="G441">
            <v>3.3785321294353641</v>
          </cell>
          <cell r="H441">
            <v>3.3785441499948639</v>
          </cell>
          <cell r="I441">
            <v>3.3785581708818766</v>
          </cell>
          <cell r="J441">
            <v>3.3785738417286773</v>
          </cell>
          <cell r="K441">
            <v>3.378627595094057</v>
          </cell>
          <cell r="L441">
            <v>3.3786231271730522</v>
          </cell>
          <cell r="M441">
            <v>3.3786610538969581</v>
          </cell>
          <cell r="N441">
            <v>3.3786905736448687</v>
          </cell>
          <cell r="O441">
            <v>3.3787750559529028</v>
          </cell>
        </row>
        <row r="442">
          <cell r="A442" t="str">
            <v>RHNM-SHELCHP</v>
          </cell>
          <cell r="B442" t="str">
            <v>VAR_fin</v>
          </cell>
          <cell r="C442" t="str">
            <v>RHNM_ELC</v>
          </cell>
          <cell r="E442">
            <v>0.16225194074257884</v>
          </cell>
          <cell r="F442">
            <v>0.60600928424638811</v>
          </cell>
          <cell r="G442">
            <v>0.97457657579866142</v>
          </cell>
          <cell r="H442">
            <v>0.94284953023112494</v>
          </cell>
          <cell r="I442">
            <v>0.91312382996807528</v>
          </cell>
          <cell r="J442">
            <v>0.88909837940228298</v>
          </cell>
          <cell r="K442">
            <v>0.86631476797283491</v>
          </cell>
          <cell r="L442">
            <v>0.86631362235206533</v>
          </cell>
          <cell r="M442">
            <v>0.86632334715306625</v>
          </cell>
          <cell r="N442">
            <v>0.86633091631919756</v>
          </cell>
          <cell r="O442">
            <v>0.8663525784494629</v>
          </cell>
        </row>
        <row r="443">
          <cell r="A443" t="str">
            <v>RHNM-SHELCHP</v>
          </cell>
          <cell r="B443" t="str">
            <v>VAR_fin</v>
          </cell>
          <cell r="C443" t="str">
            <v>RHNMELCHPC</v>
          </cell>
          <cell r="E443">
            <v>0.5278596472158571</v>
          </cell>
          <cell r="F443">
            <v>2.0200309474879616</v>
          </cell>
          <cell r="G443">
            <v>3.3785321294353641</v>
          </cell>
          <cell r="H443">
            <v>3.3785441499948639</v>
          </cell>
          <cell r="I443">
            <v>3.3785581708818766</v>
          </cell>
          <cell r="J443">
            <v>3.3785738417286773</v>
          </cell>
          <cell r="K443">
            <v>3.378627595094057</v>
          </cell>
          <cell r="L443">
            <v>3.3786231271730522</v>
          </cell>
          <cell r="M443">
            <v>3.3786610538969581</v>
          </cell>
          <cell r="N443">
            <v>3.3786905736448687</v>
          </cell>
          <cell r="O443">
            <v>3.3787750559529028</v>
          </cell>
        </row>
        <row r="444">
          <cell r="A444" t="str">
            <v>RHNM-SHELCHP</v>
          </cell>
          <cell r="B444" t="str">
            <v>VAR_ncap</v>
          </cell>
          <cell r="C444" t="str">
            <v>-</v>
          </cell>
          <cell r="E444">
            <v>4.1105015254094199E-2</v>
          </cell>
          <cell r="F444">
            <v>0.11589764419458699</v>
          </cell>
          <cell r="G444">
            <v>0.107739024949186</v>
          </cell>
          <cell r="H444">
            <v>1.90466196064356E-2</v>
          </cell>
          <cell r="I444">
            <v>0.13165577249317501</v>
          </cell>
          <cell r="J444">
            <v>0.111582567290333</v>
          </cell>
          <cell r="K444">
            <v>1.9146878402950498E-2</v>
          </cell>
          <cell r="L444">
            <v>0.12615929614586999</v>
          </cell>
          <cell r="M444">
            <v>0.117086807290849</v>
          </cell>
          <cell r="N444">
            <v>5.5692036013301999E-2</v>
          </cell>
          <cell r="O444">
            <v>8.9616584978590305E-2</v>
          </cell>
        </row>
        <row r="445">
          <cell r="A445" t="str">
            <v>RHNM-SHELCHP</v>
          </cell>
          <cell r="B445" t="str">
            <v>VAR_cap</v>
          </cell>
          <cell r="C445" t="str">
            <v>-</v>
          </cell>
          <cell r="E445">
            <v>4.1105015254094199E-2</v>
          </cell>
          <cell r="F445">
            <v>0.15700245356526019</v>
          </cell>
          <cell r="G445">
            <v>0.26474099664462508</v>
          </cell>
          <cell r="H445">
            <v>0.26374219846873803</v>
          </cell>
          <cell r="I445">
            <v>0.26228182326782923</v>
          </cell>
          <cell r="J445">
            <v>0.26228445684840174</v>
          </cell>
          <cell r="K445">
            <v>0.26238416341116116</v>
          </cell>
          <cell r="L445">
            <v>0.26233319518294707</v>
          </cell>
          <cell r="M445">
            <v>0.26239229482284776</v>
          </cell>
          <cell r="N445">
            <v>0.26233420822314829</v>
          </cell>
          <cell r="O445">
            <v>0.26239473236118205</v>
          </cell>
        </row>
        <row r="446">
          <cell r="A446" t="str">
            <v>D-IH2R</v>
          </cell>
          <cell r="B446" t="str">
            <v>VAR_fout</v>
          </cell>
          <cell r="C446" t="str">
            <v>IH2</v>
          </cell>
          <cell r="G446">
            <v>8.5248287667995476E-4</v>
          </cell>
          <cell r="H446">
            <v>3.4244292022327615E-3</v>
          </cell>
          <cell r="I446">
            <v>4.8746452369290913E-3</v>
          </cell>
          <cell r="J446">
            <v>4.911422725804717E-3</v>
          </cell>
          <cell r="K446">
            <v>6.1833796730954484E-3</v>
          </cell>
          <cell r="L446">
            <v>4.0434176749297376E-3</v>
          </cell>
          <cell r="M446">
            <v>9.4236340851153611E-3</v>
          </cell>
          <cell r="N446">
            <v>7.2370073442995656E-3</v>
          </cell>
          <cell r="O446">
            <v>4.496885809565742E-2</v>
          </cell>
        </row>
        <row r="447">
          <cell r="A447" t="str">
            <v>D-IH2R</v>
          </cell>
          <cell r="B447" t="str">
            <v>VAR_fin</v>
          </cell>
          <cell r="C447" t="str">
            <v>H2</v>
          </cell>
          <cell r="G447">
            <v>8.5248287667995476E-4</v>
          </cell>
          <cell r="H447">
            <v>3.4244292022327615E-3</v>
          </cell>
          <cell r="I447">
            <v>4.8746452369290913E-3</v>
          </cell>
          <cell r="J447">
            <v>4.911422725804717E-3</v>
          </cell>
          <cell r="K447">
            <v>6.1833796730954484E-3</v>
          </cell>
          <cell r="L447">
            <v>4.0434176749297376E-3</v>
          </cell>
          <cell r="M447">
            <v>9.4236340851153611E-3</v>
          </cell>
          <cell r="N447">
            <v>7.2370073442995656E-3</v>
          </cell>
          <cell r="O447">
            <v>4.496885809565742E-2</v>
          </cell>
        </row>
        <row r="448">
          <cell r="A448" t="str">
            <v>D-IH2R</v>
          </cell>
          <cell r="B448" t="str">
            <v>VAR_ncap</v>
          </cell>
          <cell r="C448" t="str">
            <v>-</v>
          </cell>
          <cell r="G448">
            <v>1.52780630472009E-4</v>
          </cell>
          <cell r="H448">
            <v>2.5487222754748499E-4</v>
          </cell>
          <cell r="I448">
            <v>3.5779374298196802E-4</v>
          </cell>
          <cell r="J448">
            <v>4.01155797995154E-4</v>
          </cell>
          <cell r="K448">
            <v>6.1141081394127701E-5</v>
          </cell>
          <cell r="L448">
            <v>1.6113917358578201E-4</v>
          </cell>
          <cell r="M448">
            <v>4.6015722498623601E-4</v>
          </cell>
          <cell r="N448">
            <v>4.2076255110523098E-4</v>
          </cell>
          <cell r="O448">
            <v>2.83590921345616E-3</v>
          </cell>
        </row>
        <row r="449">
          <cell r="A449" t="str">
            <v>D-IH2R</v>
          </cell>
          <cell r="B449" t="str">
            <v>VAR_cap</v>
          </cell>
          <cell r="C449" t="str">
            <v>-</v>
          </cell>
          <cell r="G449">
            <v>1.52780630472009E-4</v>
          </cell>
          <cell r="H449">
            <v>3.7086055110881498E-4</v>
          </cell>
          <cell r="I449">
            <v>4.1131613031403398E-4</v>
          </cell>
          <cell r="J449">
            <v>4.01155797995154E-4</v>
          </cell>
          <cell r="K449">
            <v>4.62296879389282E-4</v>
          </cell>
          <cell r="L449">
            <v>2.4133841477742699E-4</v>
          </cell>
          <cell r="M449">
            <v>5.8249120506296702E-4</v>
          </cell>
          <cell r="N449">
            <v>5.0226648379726995E-4</v>
          </cell>
          <cell r="O449">
            <v>3.2566717645613899E-3</v>
          </cell>
        </row>
        <row r="450">
          <cell r="A450" t="str">
            <v>RHEM-SHSTG-ELC</v>
          </cell>
          <cell r="B450" t="str">
            <v>VAR_fout</v>
          </cell>
          <cell r="C450" t="str">
            <v>RHEM-SHAELCB</v>
          </cell>
          <cell r="D450">
            <v>2.1198458819612349E-6</v>
          </cell>
          <cell r="E450">
            <v>0.82874995094722759</v>
          </cell>
          <cell r="F450">
            <v>0.7352684040195443</v>
          </cell>
          <cell r="G450">
            <v>0.7862149721249293</v>
          </cell>
          <cell r="H450">
            <v>0.35356483726669419</v>
          </cell>
          <cell r="I450">
            <v>0.38245001318112265</v>
          </cell>
          <cell r="J450">
            <v>0.36036488364051505</v>
          </cell>
          <cell r="K450">
            <v>0.25908573694544323</v>
          </cell>
          <cell r="L450">
            <v>7.2619065879414094E-2</v>
          </cell>
          <cell r="M450">
            <v>5.4139683181987308E-2</v>
          </cell>
          <cell r="N450">
            <v>5.4959026947973007E-2</v>
          </cell>
          <cell r="O450">
            <v>4.3381796902032907E-2</v>
          </cell>
        </row>
        <row r="451">
          <cell r="A451" t="str">
            <v>RHEM-SHSTG-ELC</v>
          </cell>
          <cell r="B451" t="str">
            <v>VAR_fin</v>
          </cell>
          <cell r="C451" t="str">
            <v>RHEM-SHAELCB</v>
          </cell>
          <cell r="D451">
            <v>4.6937392726052616E-6</v>
          </cell>
          <cell r="E451">
            <v>0.82877533841524464</v>
          </cell>
          <cell r="F451">
            <v>0.73529448139577991</v>
          </cell>
          <cell r="G451">
            <v>0.78623933712192007</v>
          </cell>
          <cell r="H451">
            <v>0.35357826171377821</v>
          </cell>
          <cell r="I451">
            <v>0.38247126330692377</v>
          </cell>
          <cell r="J451">
            <v>0.36037988989176928</v>
          </cell>
          <cell r="K451">
            <v>0.25910129022002343</v>
          </cell>
          <cell r="L451">
            <v>7.2626229603464598E-2</v>
          </cell>
          <cell r="M451">
            <v>5.4150053499376433E-2</v>
          </cell>
          <cell r="N451">
            <v>5.4966174075452949E-2</v>
          </cell>
          <cell r="O451">
            <v>4.3392566141229431E-2</v>
          </cell>
        </row>
        <row r="452">
          <cell r="A452" t="str">
            <v>RHEM-SHSTG-ELC</v>
          </cell>
          <cell r="B452" t="str">
            <v>VAR_ncap</v>
          </cell>
          <cell r="C452" t="str">
            <v>-</v>
          </cell>
          <cell r="D452">
            <v>8.4624783527230303E-3</v>
          </cell>
          <cell r="E452">
            <v>6.8463310129402405E-2</v>
          </cell>
          <cell r="F452">
            <v>4.3886866659682997E-5</v>
          </cell>
          <cell r="G452">
            <v>4.9029499243762197E-5</v>
          </cell>
          <cell r="H452">
            <v>5.1554459964348303E-4</v>
          </cell>
          <cell r="I452">
            <v>3.6545602014067799E-2</v>
          </cell>
          <cell r="J452">
            <v>1.0803807353707E-4</v>
          </cell>
          <cell r="K452">
            <v>2.6868207663336899E-4</v>
          </cell>
          <cell r="L452">
            <v>3.2958184174361901E-3</v>
          </cell>
          <cell r="M452">
            <v>3.0018154590825399E-3</v>
          </cell>
          <cell r="N452">
            <v>1.12910893590268E-3</v>
          </cell>
          <cell r="O452">
            <v>1.6434999119812801E-3</v>
          </cell>
        </row>
        <row r="453">
          <cell r="A453" t="str">
            <v>RHEM-SHSTG-ELC</v>
          </cell>
          <cell r="B453" t="str">
            <v>VAR_cap</v>
          </cell>
          <cell r="C453" t="str">
            <v>-</v>
          </cell>
          <cell r="D453">
            <v>8.4624783527230303E-3</v>
          </cell>
          <cell r="E453">
            <v>7.6894170867648909E-2</v>
          </cell>
          <cell r="F453">
            <v>7.6894863081001796E-2</v>
          </cell>
          <cell r="G453">
            <v>7.6896119042684022E-2</v>
          </cell>
          <cell r="H453">
            <v>3.6288689492188511E-2</v>
          </cell>
          <cell r="I453">
            <v>3.7066763345070655E-2</v>
          </cell>
          <cell r="J453">
            <v>3.7067495100081421E-2</v>
          </cell>
          <cell r="K453">
            <v>2.4697058037521195E-2</v>
          </cell>
          <cell r="L453">
            <v>7.1687805050201095E-3</v>
          </cell>
          <cell r="M453">
            <v>6.3381825310906857E-3</v>
          </cell>
          <cell r="N453">
            <v>6.1619831229166692E-3</v>
          </cell>
          <cell r="O453">
            <v>5.4638578806086094E-3</v>
          </cell>
        </row>
        <row r="454">
          <cell r="A454" t="str">
            <v>RHNM-SHLTHCHPWOD</v>
          </cell>
          <cell r="B454" t="str">
            <v>VAR_fout</v>
          </cell>
          <cell r="C454" t="str">
            <v>RHNM-SHLTHC-WOD</v>
          </cell>
          <cell r="G454">
            <v>4.438559982898509E-3</v>
          </cell>
          <cell r="H454">
            <v>4.7877900493843717E-3</v>
          </cell>
          <cell r="I454">
            <v>3.7819135632059181E-3</v>
          </cell>
          <cell r="J454">
            <v>3.620912959670583E-3</v>
          </cell>
          <cell r="K454">
            <v>1.0718041909574661E-2</v>
          </cell>
          <cell r="L454">
            <v>1.1178368911780893E-2</v>
          </cell>
          <cell r="M454">
            <v>9.638351979021428E-3</v>
          </cell>
          <cell r="N454">
            <v>7.6137852311031189E-3</v>
          </cell>
          <cell r="O454">
            <v>1.3172219723873292E-2</v>
          </cell>
        </row>
        <row r="455">
          <cell r="A455" t="str">
            <v>RHNM-SHLTHCHPWOD</v>
          </cell>
          <cell r="B455" t="str">
            <v>VAR_fin</v>
          </cell>
          <cell r="C455" t="str">
            <v>RHNM_LTH_CHPWOD_ON</v>
          </cell>
          <cell r="G455">
            <v>4.4833939221197074E-3</v>
          </cell>
          <cell r="H455">
            <v>4.8361515650347173E-3</v>
          </cell>
          <cell r="I455">
            <v>3.8201147103090085E-3</v>
          </cell>
          <cell r="J455">
            <v>3.6574878380510943E-3</v>
          </cell>
          <cell r="K455">
            <v>1.0826304959166332E-2</v>
          </cell>
          <cell r="L455">
            <v>1.1291281729071616E-2</v>
          </cell>
          <cell r="M455">
            <v>9.735709069718608E-3</v>
          </cell>
          <cell r="N455">
            <v>7.6906921526294055E-3</v>
          </cell>
          <cell r="O455">
            <v>1.3305272448356867E-2</v>
          </cell>
        </row>
        <row r="456">
          <cell r="A456" t="str">
            <v>RHNM-SHLTHCHPWOD</v>
          </cell>
          <cell r="B456" t="str">
            <v>VAR_fin</v>
          </cell>
          <cell r="C456" t="str">
            <v>RHNMLTHCHPC</v>
          </cell>
          <cell r="G456">
            <v>4.438559982898509E-3</v>
          </cell>
          <cell r="H456">
            <v>4.7877900493843717E-3</v>
          </cell>
          <cell r="I456">
            <v>3.7819135632059181E-3</v>
          </cell>
          <cell r="J456">
            <v>3.620912959670583E-3</v>
          </cell>
          <cell r="K456">
            <v>1.0718041909574661E-2</v>
          </cell>
          <cell r="L456">
            <v>1.1178368911780893E-2</v>
          </cell>
          <cell r="M456">
            <v>9.638351979021428E-3</v>
          </cell>
          <cell r="N456">
            <v>7.6137852311031189E-3</v>
          </cell>
          <cell r="O456">
            <v>1.3172219723873292E-2</v>
          </cell>
        </row>
        <row r="457">
          <cell r="A457" t="str">
            <v>RHNM-SHLTHCHPWOD</v>
          </cell>
          <cell r="B457" t="str">
            <v>VAR_ncap</v>
          </cell>
          <cell r="C457" t="str">
            <v>-</v>
          </cell>
          <cell r="G457">
            <v>4.1287813085036699E-4</v>
          </cell>
          <cell r="H457">
            <v>3.73412935495514E-4</v>
          </cell>
          <cell r="I457">
            <v>3.2622755067852698E-4</v>
          </cell>
          <cell r="J457">
            <v>2.9486466409517402E-4</v>
          </cell>
          <cell r="K457">
            <v>1.0380167302274301E-3</v>
          </cell>
          <cell r="L457">
            <v>8.0578366180016005E-4</v>
          </cell>
          <cell r="M457">
            <v>6.9141763302730099E-4</v>
          </cell>
          <cell r="N457">
            <v>5.9771765841729995E-4</v>
          </cell>
          <cell r="O457">
            <v>1.2306046804116001E-3</v>
          </cell>
        </row>
        <row r="458">
          <cell r="A458" t="str">
            <v>RHNM-SHLTHCHPWOD</v>
          </cell>
          <cell r="B458" t="str">
            <v>VAR_cap</v>
          </cell>
          <cell r="C458" t="str">
            <v>-</v>
          </cell>
          <cell r="G458">
            <v>4.1287813085036699E-4</v>
          </cell>
          <cell r="H458">
            <v>4.8982044395020296E-4</v>
          </cell>
          <cell r="I458">
            <v>4.3581302139972494E-4</v>
          </cell>
          <cell r="J458">
            <v>4.4079629007582992E-4</v>
          </cell>
          <cell r="K458">
            <v>1.2436074955579578E-3</v>
          </cell>
          <cell r="L458">
            <v>1.185376722846554E-3</v>
          </cell>
          <cell r="M458">
            <v>1.0717370606998602E-3</v>
          </cell>
          <cell r="N458">
            <v>9.2103665826014005E-4</v>
          </cell>
          <cell r="O458">
            <v>1.605153777845775E-3</v>
          </cell>
        </row>
        <row r="459">
          <cell r="A459" t="str">
            <v>ITOT-SWHDEM</v>
          </cell>
          <cell r="B459" t="str">
            <v>VAR_fout</v>
          </cell>
          <cell r="C459" t="str">
            <v>ITOT-SWHD</v>
          </cell>
          <cell r="D459">
            <v>72.708169056255471</v>
          </cell>
          <cell r="E459">
            <v>74.35269248141455</v>
          </cell>
          <cell r="F459">
            <v>76.093376262787288</v>
          </cell>
          <cell r="G459">
            <v>76.973110072846765</v>
          </cell>
          <cell r="H459">
            <v>77.462434178702125</v>
          </cell>
          <cell r="I459">
            <v>77.661538578792488</v>
          </cell>
          <cell r="J459">
            <v>77.719365815060243</v>
          </cell>
          <cell r="K459">
            <v>77.777193051328268</v>
          </cell>
          <cell r="L459">
            <v>77.125504130101447</v>
          </cell>
          <cell r="M459">
            <v>79.045893170031718</v>
          </cell>
          <cell r="N459">
            <v>76.308739666594519</v>
          </cell>
          <cell r="O459">
            <v>75.676382507118007</v>
          </cell>
        </row>
        <row r="460">
          <cell r="A460" t="str">
            <v>ITOT-SWHDEM</v>
          </cell>
          <cell r="B460" t="str">
            <v>VAR_fin</v>
          </cell>
          <cell r="C460" t="str">
            <v>ITOT-SWHNGAH</v>
          </cell>
          <cell r="F460">
            <v>5.1825001379389564E-2</v>
          </cell>
          <cell r="G460">
            <v>0.16151555375474314</v>
          </cell>
          <cell r="H460">
            <v>0.20027618433126193</v>
          </cell>
          <cell r="I460">
            <v>0.23258146198000232</v>
          </cell>
          <cell r="J460">
            <v>0.23296340813988334</v>
          </cell>
          <cell r="K460">
            <v>0.23254365011889408</v>
          </cell>
          <cell r="L460">
            <v>0.2327610751818327</v>
          </cell>
          <cell r="M460">
            <v>3.4392442457600279</v>
          </cell>
          <cell r="N460">
            <v>3.4379080978920307</v>
          </cell>
          <cell r="O460">
            <v>3.4360253976224815</v>
          </cell>
        </row>
        <row r="461">
          <cell r="A461" t="str">
            <v>ITOT-SWHDEM</v>
          </cell>
          <cell r="B461" t="str">
            <v>VAR_fin</v>
          </cell>
          <cell r="C461" t="str">
            <v>ITOT-SWH</v>
          </cell>
          <cell r="D461">
            <v>61.718310821365719</v>
          </cell>
          <cell r="E461">
            <v>58.487776782705389</v>
          </cell>
          <cell r="F461">
            <v>58.070985187886919</v>
          </cell>
          <cell r="G461">
            <v>56.353197634440662</v>
          </cell>
          <cell r="H461">
            <v>54.211547713368198</v>
          </cell>
          <cell r="I461">
            <v>53.481985528962348</v>
          </cell>
          <cell r="J461">
            <v>53.308460548725925</v>
          </cell>
          <cell r="K461">
            <v>53.20187037379543</v>
          </cell>
          <cell r="L461">
            <v>52.547110642441488</v>
          </cell>
          <cell r="M461">
            <v>50.091362713906868</v>
          </cell>
          <cell r="N461">
            <v>47.375148997730676</v>
          </cell>
          <cell r="O461">
            <v>46.768440407564285</v>
          </cell>
        </row>
        <row r="462">
          <cell r="A462" t="str">
            <v>ITOT-SWHDEM</v>
          </cell>
          <cell r="B462" t="str">
            <v>VAR_fin</v>
          </cell>
          <cell r="C462" t="str">
            <v>ITOT-SWHELCH</v>
          </cell>
          <cell r="D462">
            <v>1.1081275654045448</v>
          </cell>
          <cell r="E462">
            <v>1.4007974504128651</v>
          </cell>
          <cell r="F462">
            <v>3.5489538275097212</v>
          </cell>
          <cell r="G462">
            <v>5.8148954178467207</v>
          </cell>
          <cell r="H462">
            <v>8.1684766131456996</v>
          </cell>
          <cell r="I462">
            <v>8.7991098350571857</v>
          </cell>
          <cell r="J462">
            <v>8.7990119401486844</v>
          </cell>
          <cell r="K462">
            <v>8.7899001470494564</v>
          </cell>
          <cell r="L462">
            <v>8.7827907238797636</v>
          </cell>
          <cell r="M462">
            <v>9.7696800564751616</v>
          </cell>
          <cell r="N462">
            <v>9.761025822420331</v>
          </cell>
          <cell r="O462">
            <v>9.7533028737309824</v>
          </cell>
        </row>
        <row r="463">
          <cell r="A463" t="str">
            <v>ITOT-SWHDEM</v>
          </cell>
          <cell r="B463" t="str">
            <v>VAR_fin</v>
          </cell>
          <cell r="C463" t="str">
            <v>ITOT-SWHC</v>
          </cell>
          <cell r="E463">
            <v>4.0436220042820583</v>
          </cell>
          <cell r="F463">
            <v>4.0436251606874549</v>
          </cell>
          <cell r="G463">
            <v>4.0436438658121929</v>
          </cell>
          <cell r="H463">
            <v>4.0437334285418771</v>
          </cell>
          <cell r="I463">
            <v>4.043875914400755</v>
          </cell>
          <cell r="J463">
            <v>4.0439319037487262</v>
          </cell>
          <cell r="K463">
            <v>4.0441712198463504</v>
          </cell>
          <cell r="L463">
            <v>4.0439823934395802</v>
          </cell>
          <cell r="M463">
            <v>4.0441440696187172</v>
          </cell>
          <cell r="N463">
            <v>4.0439099538632775</v>
          </cell>
          <cell r="O463">
            <v>4.0443683053832427</v>
          </cell>
        </row>
        <row r="464">
          <cell r="A464" t="str">
            <v>ITOT-SWHDEM</v>
          </cell>
          <cell r="B464" t="str">
            <v>VAR_fin</v>
          </cell>
          <cell r="C464" t="str">
            <v>ITOT-SWHELC</v>
          </cell>
          <cell r="D464">
            <v>9.8139882928380064</v>
          </cell>
          <cell r="E464">
            <v>10.335088303911339</v>
          </cell>
          <cell r="F464">
            <v>10.292616211291136</v>
          </cell>
          <cell r="G464">
            <v>10.514486541418741</v>
          </cell>
          <cell r="H464">
            <v>10.753193657830666</v>
          </cell>
          <cell r="I464">
            <v>11.018897822777806</v>
          </cell>
          <cell r="J464">
            <v>11.249988431257055</v>
          </cell>
          <cell r="K464">
            <v>11.423955667806799</v>
          </cell>
          <cell r="L464">
            <v>11.433859000777758</v>
          </cell>
          <cell r="M464">
            <v>11.616707610541841</v>
          </cell>
          <cell r="N464">
            <v>11.605698586126822</v>
          </cell>
          <cell r="O464">
            <v>11.589648547129634</v>
          </cell>
        </row>
        <row r="465">
          <cell r="A465" t="str">
            <v>ITOT-SWHDEM</v>
          </cell>
          <cell r="B465" t="str">
            <v>VAR_fin</v>
          </cell>
          <cell r="C465" t="str">
            <v>ITOT-SWHSOL</v>
          </cell>
          <cell r="D465">
            <v>6.7742376647256131E-2</v>
          </cell>
          <cell r="E465">
            <v>8.5622004373519106E-2</v>
          </cell>
          <cell r="F465">
            <v>8.5668328156083662E-2</v>
          </cell>
          <cell r="G465">
            <v>8.5637485930430024E-2</v>
          </cell>
          <cell r="H465">
            <v>8.5558911486151482E-2</v>
          </cell>
          <cell r="I465">
            <v>8.5525028904250636E-2</v>
          </cell>
          <cell r="J465">
            <v>8.5548389388097071E-2</v>
          </cell>
          <cell r="K465">
            <v>8.5593391118956738E-2</v>
          </cell>
          <cell r="L465">
            <v>8.5506829310514246E-2</v>
          </cell>
          <cell r="M465">
            <v>8.5547285145624513E-2</v>
          </cell>
          <cell r="N465">
            <v>8.5482653704773967E-2</v>
          </cell>
          <cell r="O465">
            <v>8.5648585323494314E-2</v>
          </cell>
        </row>
        <row r="466">
          <cell r="A466" t="str">
            <v>D-RHNS_NKEV_GAS_ELC_CHP</v>
          </cell>
          <cell r="B466" t="str">
            <v>VAR_fout</v>
          </cell>
          <cell r="C466" t="str">
            <v>RHNS_ELC</v>
          </cell>
          <cell r="E466">
            <v>2.3222347804390499E-4</v>
          </cell>
          <cell r="F466">
            <v>7.568177323622208E-4</v>
          </cell>
          <cell r="G466">
            <v>8.2259923313475665E-4</v>
          </cell>
          <cell r="H466">
            <v>2.4355379946637804E-3</v>
          </cell>
          <cell r="I466">
            <v>2.3825421143306527E-3</v>
          </cell>
          <cell r="J466">
            <v>4.5978602803950696E-3</v>
          </cell>
          <cell r="K466">
            <v>6.8345786151539937E-3</v>
          </cell>
          <cell r="L466">
            <v>5.7512607417194699E-3</v>
          </cell>
          <cell r="M466">
            <v>6.5306270506300963E-3</v>
          </cell>
          <cell r="N466">
            <v>3.7498311196104885E-3</v>
          </cell>
          <cell r="O466">
            <v>4.5485307996241267E-3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ELC5</v>
          </cell>
          <cell r="E467">
            <v>2.3189813389944689E-4</v>
          </cell>
          <cell r="F467">
            <v>7.5770539919710973E-4</v>
          </cell>
          <cell r="G467">
            <v>8.2297845032097239E-4</v>
          </cell>
          <cell r="H467">
            <v>2.4476105716711924E-3</v>
          </cell>
          <cell r="I467">
            <v>2.3892873748249479E-3</v>
          </cell>
          <cell r="J467">
            <v>4.6122677732742248E-3</v>
          </cell>
          <cell r="K467">
            <v>6.8876513832870625E-3</v>
          </cell>
          <cell r="L467">
            <v>5.7813534997266328E-3</v>
          </cell>
          <cell r="M467">
            <v>6.5727852120745257E-3</v>
          </cell>
          <cell r="N467">
            <v>3.7588012835590829E-3</v>
          </cell>
          <cell r="O467">
            <v>4.568388776819695E-3</v>
          </cell>
        </row>
        <row r="468">
          <cell r="A468" t="str">
            <v>D-RHNS_NKEV_GAS_ELC_CHP</v>
          </cell>
          <cell r="B468" t="str">
            <v>VAR_fin</v>
          </cell>
          <cell r="C468" t="str">
            <v>RHNS_NKEV_GAS_ELC_CHP</v>
          </cell>
          <cell r="E468">
            <v>4.6412161194335212E-4</v>
          </cell>
          <cell r="F468">
            <v>1.5072359504018664E-3</v>
          </cell>
          <cell r="G468">
            <v>1.6455776834557287E-3</v>
          </cell>
          <cell r="H468">
            <v>4.8831485663349758E-3</v>
          </cell>
          <cell r="I468">
            <v>4.771829489155598E-3</v>
          </cell>
          <cell r="J468">
            <v>9.2101280536692927E-3</v>
          </cell>
          <cell r="K468">
            <v>1.3722229998441046E-2</v>
          </cell>
          <cell r="L468">
            <v>1.1532614241446098E-2</v>
          </cell>
          <cell r="M468">
            <v>1.3103412262704625E-2</v>
          </cell>
          <cell r="N468">
            <v>7.5086324031695675E-3</v>
          </cell>
          <cell r="O468">
            <v>9.1169195764438278E-3</v>
          </cell>
        </row>
        <row r="469">
          <cell r="A469" t="str">
            <v>RHNM-SHSTG-NGAHP</v>
          </cell>
          <cell r="B469" t="str">
            <v>VAR_fout</v>
          </cell>
          <cell r="C469" t="str">
            <v>RHNM-SHANGAH</v>
          </cell>
          <cell r="F469">
            <v>4.6501644839124466E-4</v>
          </cell>
          <cell r="G469">
            <v>4.9405999599911915E-4</v>
          </cell>
          <cell r="H469">
            <v>0.2526329052052988</v>
          </cell>
          <cell r="I469">
            <v>0.42043594117706717</v>
          </cell>
          <cell r="J469">
            <v>0.50985066233337917</v>
          </cell>
          <cell r="K469">
            <v>0.62325113323522641</v>
          </cell>
          <cell r="L469">
            <v>0.68225381141396035</v>
          </cell>
          <cell r="M469">
            <v>0.76859177755817265</v>
          </cell>
          <cell r="N469">
            <v>0.83351131927169209</v>
          </cell>
          <cell r="O469">
            <v>0.62630314806275311</v>
          </cell>
        </row>
        <row r="470">
          <cell r="A470" t="str">
            <v>RHNM-SHSTG-NGAHP</v>
          </cell>
          <cell r="B470" t="str">
            <v>VAR_fin</v>
          </cell>
          <cell r="C470" t="str">
            <v>RHNM-SHANGAH</v>
          </cell>
          <cell r="F470">
            <v>4.7671973913234378E-4</v>
          </cell>
          <cell r="G470">
            <v>4.8864363160811897E-4</v>
          </cell>
          <cell r="H470">
            <v>0.25265214480081749</v>
          </cell>
          <cell r="I470">
            <v>0.42048314915195001</v>
          </cell>
          <cell r="J470">
            <v>0.50992666382273499</v>
          </cell>
          <cell r="K470">
            <v>0.62333383802566511</v>
          </cell>
          <cell r="L470">
            <v>0.68232235425251853</v>
          </cell>
          <cell r="M470">
            <v>0.76868020981684737</v>
          </cell>
          <cell r="N470">
            <v>0.83358270730126505</v>
          </cell>
          <cell r="O470">
            <v>0.6263976756509555</v>
          </cell>
        </row>
        <row r="471">
          <cell r="A471" t="str">
            <v>RHNM-SHSTG-NGAHP</v>
          </cell>
          <cell r="B471" t="str">
            <v>VAR_ncap</v>
          </cell>
          <cell r="C471" t="str">
            <v>-</v>
          </cell>
          <cell r="D471">
            <v>1.31780709969553E-5</v>
          </cell>
          <cell r="E471">
            <v>1.20811796039056E-5</v>
          </cell>
          <cell r="F471">
            <v>1.3260656480019699E-4</v>
          </cell>
          <cell r="G471">
            <v>2.9164502269742301E-5</v>
          </cell>
          <cell r="H471">
            <v>3.5599778634389997E-2</v>
          </cell>
          <cell r="I471">
            <v>2.63937702977491E-2</v>
          </cell>
          <cell r="J471">
            <v>1.9144947634018899E-2</v>
          </cell>
          <cell r="K471">
            <v>5.0197737837703399E-2</v>
          </cell>
          <cell r="L471">
            <v>3.5616159305624798E-2</v>
          </cell>
          <cell r="M471">
            <v>2.8469019084794701E-2</v>
          </cell>
          <cell r="N471">
            <v>5.2624452585107097E-2</v>
          </cell>
          <cell r="O471">
            <v>3.3126856713066297E-2</v>
          </cell>
        </row>
        <row r="472">
          <cell r="A472" t="str">
            <v>RHNM-SHSTG-NGAHP</v>
          </cell>
          <cell r="B472" t="str">
            <v>VAR_cap</v>
          </cell>
          <cell r="C472" t="str">
            <v>-</v>
          </cell>
          <cell r="D472">
            <v>1.31780709969553E-5</v>
          </cell>
          <cell r="E472">
            <v>6.6924508198799176E-8</v>
          </cell>
          <cell r="F472">
            <v>1.2868830485885738E-4</v>
          </cell>
          <cell r="G472">
            <v>1.3318203880408668E-4</v>
          </cell>
          <cell r="H472">
            <v>3.5704328652956259E-2</v>
          </cell>
          <cell r="I472">
            <v>6.1990929425647559E-2</v>
          </cell>
          <cell r="J472">
            <v>8.1063317305582347E-2</v>
          </cell>
          <cell r="K472">
            <v>9.5534030885916901E-2</v>
          </cell>
          <cell r="L472">
            <v>0.10618172515654212</v>
          </cell>
          <cell r="M472">
            <v>0.11394038418444552</v>
          </cell>
          <cell r="N472">
            <v>0.11386144177012852</v>
          </cell>
          <cell r="O472">
            <v>0.11386900455086778</v>
          </cell>
        </row>
        <row r="473">
          <cell r="A473" t="str">
            <v>D-IBIO</v>
          </cell>
          <cell r="B473" t="str">
            <v>VAR_fout</v>
          </cell>
          <cell r="C473" t="str">
            <v>IBIO</v>
          </cell>
          <cell r="D473">
            <v>0.43673267029149393</v>
          </cell>
          <cell r="E473">
            <v>0.55206685893644225</v>
          </cell>
          <cell r="F473">
            <v>0.95313303454226073</v>
          </cell>
          <cell r="G473">
            <v>2.2168889321866887</v>
          </cell>
          <cell r="H473">
            <v>3.6683616609161849</v>
          </cell>
          <cell r="I473">
            <v>5.7109670792628267</v>
          </cell>
          <cell r="J473">
            <v>5.7750295071035982</v>
          </cell>
          <cell r="K473">
            <v>5.7754413999220064</v>
          </cell>
          <cell r="L473">
            <v>5.7997830347435615</v>
          </cell>
          <cell r="M473">
            <v>6.1162782872669474</v>
          </cell>
          <cell r="N473">
            <v>6.1163395382348913</v>
          </cell>
          <cell r="O473">
            <v>6.1204189245320197</v>
          </cell>
        </row>
        <row r="474">
          <cell r="A474" t="str">
            <v>D-IBIO</v>
          </cell>
          <cell r="B474" t="str">
            <v>VAR_fin</v>
          </cell>
          <cell r="C474" t="str">
            <v>BIO</v>
          </cell>
          <cell r="D474">
            <v>0.43673267029149393</v>
          </cell>
          <cell r="E474">
            <v>0.55206685893644225</v>
          </cell>
          <cell r="F474">
            <v>0.95313303454226073</v>
          </cell>
          <cell r="G474">
            <v>2.2168889321866887</v>
          </cell>
          <cell r="H474">
            <v>3.6683616609161849</v>
          </cell>
          <cell r="I474">
            <v>5.7109670792628267</v>
          </cell>
          <cell r="J474">
            <v>5.7750295071035982</v>
          </cell>
          <cell r="K474">
            <v>5.7754413999220064</v>
          </cell>
          <cell r="L474">
            <v>5.7997830347435615</v>
          </cell>
          <cell r="M474">
            <v>6.1162782872669474</v>
          </cell>
          <cell r="N474">
            <v>6.1163395382348913</v>
          </cell>
          <cell r="O474">
            <v>6.1204189245320197</v>
          </cell>
        </row>
        <row r="475">
          <cell r="A475" t="str">
            <v>D-RHES_KEV_WOD_ELC_CHP</v>
          </cell>
          <cell r="B475" t="str">
            <v>VAR_fout</v>
          </cell>
          <cell r="C475" t="str">
            <v>RHES_ELC</v>
          </cell>
          <cell r="G475">
            <v>1.8002107662137482E-4</v>
          </cell>
          <cell r="H475">
            <v>5.2118534160846663E-4</v>
          </cell>
          <cell r="I475">
            <v>5.4719845785636582E-4</v>
          </cell>
          <cell r="J475">
            <v>5.4202838519493753E-4</v>
          </cell>
          <cell r="K475">
            <v>9.271791801033581E-4</v>
          </cell>
          <cell r="L475">
            <v>8.3585337334546219E-4</v>
          </cell>
          <cell r="M475">
            <v>1.0023051023766818E-3</v>
          </cell>
          <cell r="N475">
            <v>1.1126353484836836E-3</v>
          </cell>
          <cell r="O475">
            <v>2.2787749886591024E-3</v>
          </cell>
        </row>
        <row r="476">
          <cell r="A476" t="str">
            <v>D-RHES_KEV_WOD_ELC_CHP</v>
          </cell>
          <cell r="B476" t="str">
            <v>VAR_fout</v>
          </cell>
          <cell r="C476" t="str">
            <v>ELC5</v>
          </cell>
          <cell r="G476">
            <v>3.7285922726463757E-4</v>
          </cell>
          <cell r="H476">
            <v>5.2214314211094582E-4</v>
          </cell>
          <cell r="I476">
            <v>5.47776900029579E-4</v>
          </cell>
          <cell r="J476">
            <v>5.4298002357237017E-4</v>
          </cell>
          <cell r="K476">
            <v>9.2909382262213651E-4</v>
          </cell>
          <cell r="L476">
            <v>8.3737665716406636E-4</v>
          </cell>
          <cell r="M476">
            <v>1.0039274587275283E-3</v>
          </cell>
          <cell r="N476">
            <v>1.1130222794415183E-3</v>
          </cell>
          <cell r="O476">
            <v>2.2800422287573086E-3</v>
          </cell>
        </row>
        <row r="477">
          <cell r="A477" t="str">
            <v>D-RHES_KEV_WOD_ELC_CHP</v>
          </cell>
          <cell r="B477" t="str">
            <v>VAR_fin</v>
          </cell>
          <cell r="C477" t="str">
            <v>RHES_KEV_WOD_ELC_CHP</v>
          </cell>
          <cell r="G477">
            <v>5.4882872681844366E-4</v>
          </cell>
          <cell r="H477">
            <v>1.0369557231506195E-3</v>
          </cell>
          <cell r="I477">
            <v>1.0825767532724262E-3</v>
          </cell>
          <cell r="J477">
            <v>1.0726098041537898E-3</v>
          </cell>
          <cell r="K477">
            <v>1.839430453806053E-3</v>
          </cell>
          <cell r="L477">
            <v>1.6608314258960096E-3</v>
          </cell>
          <cell r="M477">
            <v>1.9900121643875984E-3</v>
          </cell>
          <cell r="N477">
            <v>2.2131701444255626E-3</v>
          </cell>
          <cell r="O477">
            <v>4.5343755237338499E-3</v>
          </cell>
        </row>
        <row r="478">
          <cell r="A478" t="str">
            <v>D-SNGA</v>
          </cell>
          <cell r="B478" t="str">
            <v>VAR_fout</v>
          </cell>
          <cell r="C478" t="str">
            <v>CO2</v>
          </cell>
          <cell r="D478">
            <v>1522.48119009625</v>
          </cell>
          <cell r="E478">
            <v>1432.69859395609</v>
          </cell>
          <cell r="F478">
            <v>1526.2256646061401</v>
          </cell>
          <cell r="G478">
            <v>1849.1262194603</v>
          </cell>
          <cell r="H478">
            <v>2137.3667258349801</v>
          </cell>
          <cell r="I478">
            <v>2120.7607285848399</v>
          </cell>
          <cell r="J478">
            <v>2013.85127852818</v>
          </cell>
          <cell r="K478">
            <v>1740.14072606535</v>
          </cell>
          <cell r="L478">
            <v>1709.5565995417701</v>
          </cell>
          <cell r="M478">
            <v>1687.54438110808</v>
          </cell>
          <cell r="N478">
            <v>1691.30774141898</v>
          </cell>
          <cell r="O478">
            <v>1662.2461742098801</v>
          </cell>
        </row>
        <row r="479">
          <cell r="A479" t="str">
            <v>D-SNGA</v>
          </cell>
          <cell r="B479" t="str">
            <v>VAR_fout</v>
          </cell>
          <cell r="C479" t="str">
            <v>SNGA</v>
          </cell>
          <cell r="D479">
            <v>27.212967609018463</v>
          </cell>
          <cell r="E479">
            <v>28.488364981930307</v>
          </cell>
          <cell r="F479">
            <v>26.997416102123442</v>
          </cell>
          <cell r="G479">
            <v>32.682207148066617</v>
          </cell>
          <cell r="H479">
            <v>37.776578384959834</v>
          </cell>
          <cell r="I479">
            <v>37.483087469527938</v>
          </cell>
          <cell r="J479">
            <v>35.593582574580374</v>
          </cell>
          <cell r="K479">
            <v>30.755987888631779</v>
          </cell>
          <cell r="L479">
            <v>30.215451391326784</v>
          </cell>
          <cell r="M479">
            <v>29.826288825858647</v>
          </cell>
          <cell r="N479">
            <v>29.89275689735398</v>
          </cell>
          <cell r="O479">
            <v>29.379617023649743</v>
          </cell>
        </row>
        <row r="480">
          <cell r="A480" t="str">
            <v>D-SNGA</v>
          </cell>
          <cell r="B480" t="str">
            <v>VAR_fout</v>
          </cell>
          <cell r="C480" t="str">
            <v>RSH2</v>
          </cell>
          <cell r="G480">
            <v>1.3343987491182417E-3</v>
          </cell>
          <cell r="H480">
            <v>3.1247626950772064E-3</v>
          </cell>
          <cell r="I480">
            <v>3.4215119399669792E-3</v>
          </cell>
          <cell r="J480">
            <v>3.2121073493960213E-3</v>
          </cell>
          <cell r="K480">
            <v>1.1110469402349771E-2</v>
          </cell>
          <cell r="L480">
            <v>9.6025681228320472E-3</v>
          </cell>
          <cell r="M480">
            <v>5.365624849363957E-2</v>
          </cell>
          <cell r="N480">
            <v>6.7151400007128145E-2</v>
          </cell>
          <cell r="O480">
            <v>7.0686092545032247E-2</v>
          </cell>
        </row>
        <row r="481">
          <cell r="A481" t="str">
            <v>D-SNGA</v>
          </cell>
          <cell r="B481" t="str">
            <v>VAR_fin</v>
          </cell>
          <cell r="C481" t="str">
            <v>NGA</v>
          </cell>
          <cell r="D481">
            <v>26.994347342132077</v>
          </cell>
          <cell r="E481">
            <v>25.402457339646975</v>
          </cell>
          <cell r="F481">
            <v>27.060738734151489</v>
          </cell>
          <cell r="G481">
            <v>32.785925876955709</v>
          </cell>
          <cell r="H481">
            <v>37.89657315310248</v>
          </cell>
          <cell r="I481">
            <v>37.602140577745466</v>
          </cell>
          <cell r="J481">
            <v>35.706582952627222</v>
          </cell>
          <cell r="K481">
            <v>30.853558972789941</v>
          </cell>
          <cell r="L481">
            <v>30.311287225917891</v>
          </cell>
          <cell r="M481">
            <v>29.920999665036891</v>
          </cell>
          <cell r="N481">
            <v>29.98772591168407</v>
          </cell>
          <cell r="O481">
            <v>29.472449897338294</v>
          </cell>
        </row>
        <row r="482">
          <cell r="A482" t="str">
            <v>D-SNGA</v>
          </cell>
          <cell r="B482" t="str">
            <v>VAR_fin</v>
          </cell>
          <cell r="C482" t="str">
            <v>BNGA</v>
          </cell>
          <cell r="D482">
            <v>0.30555534625950209</v>
          </cell>
          <cell r="E482">
            <v>3.1769171310864701</v>
          </cell>
          <cell r="F482">
            <v>2.2923842278861045E-2</v>
          </cell>
          <cell r="G482">
            <v>7.183767967661799E-4</v>
          </cell>
          <cell r="H482">
            <v>7.2157593250563306E-4</v>
          </cell>
          <cell r="I482">
            <v>7.2828892098095632E-4</v>
          </cell>
          <cell r="J482">
            <v>7.3152656548294099E-4</v>
          </cell>
          <cell r="K482">
            <v>7.4550666910957184E-4</v>
          </cell>
          <cell r="L482">
            <v>7.404207575554397E-4</v>
          </cell>
          <cell r="M482">
            <v>7.6788018628604743E-4</v>
          </cell>
          <cell r="N482">
            <v>7.7525485015219903E-4</v>
          </cell>
          <cell r="O482">
            <v>1.2769844912221442E-3</v>
          </cell>
        </row>
        <row r="483">
          <cell r="A483" t="str">
            <v>D-SNGA</v>
          </cell>
          <cell r="B483" t="str">
            <v>VAR_fin</v>
          </cell>
          <cell r="C483" t="str">
            <v>H2</v>
          </cell>
          <cell r="G483">
            <v>1.3317309938020148E-3</v>
          </cell>
          <cell r="H483">
            <v>3.1213755762765465E-3</v>
          </cell>
          <cell r="I483">
            <v>3.4140461135329266E-3</v>
          </cell>
          <cell r="J483">
            <v>3.2046415229619956E-3</v>
          </cell>
          <cell r="K483">
            <v>1.1098737389382109E-2</v>
          </cell>
          <cell r="L483">
            <v>9.5951022963978137E-3</v>
          </cell>
          <cell r="M483">
            <v>5.3651982307105113E-2</v>
          </cell>
          <cell r="N483">
            <v>6.7147133820594729E-2</v>
          </cell>
          <cell r="O483">
            <v>7.066262851909634E-2</v>
          </cell>
        </row>
        <row r="484">
          <cell r="A484" t="str">
            <v>D-SNGA</v>
          </cell>
          <cell r="B484" t="str">
            <v>VAR_ncap</v>
          </cell>
          <cell r="C484" t="str">
            <v>-</v>
          </cell>
          <cell r="D484">
            <v>2.80563063047323E-7</v>
          </cell>
          <cell r="E484">
            <v>2.0089951038585699E-7</v>
          </cell>
          <cell r="F484">
            <v>2.4617446578818098E-7</v>
          </cell>
          <cell r="G484">
            <v>2.9286519525192299E-7</v>
          </cell>
          <cell r="H484">
            <v>4.4177023857669601E-7</v>
          </cell>
          <cell r="I484">
            <v>6.3233196160950296E-7</v>
          </cell>
          <cell r="J484">
            <v>1.5180521729227601E-6</v>
          </cell>
          <cell r="K484">
            <v>1.21230424739117</v>
          </cell>
          <cell r="L484">
            <v>0.43081748948824</v>
          </cell>
          <cell r="M484">
            <v>1.2360018096104E-5</v>
          </cell>
          <cell r="N484">
            <v>5.8803163395648104E-6</v>
          </cell>
          <cell r="O484">
            <v>4.6603686583370697E-5</v>
          </cell>
        </row>
        <row r="485">
          <cell r="A485" t="str">
            <v>D-SNGA</v>
          </cell>
          <cell r="B485" t="str">
            <v>VAR_cap</v>
          </cell>
          <cell r="C485" t="str">
            <v>-</v>
          </cell>
          <cell r="D485">
            <v>2.2350524821882032</v>
          </cell>
          <cell r="E485">
            <v>2.2350526830877135</v>
          </cell>
          <cell r="F485">
            <v>2.2350529292621792</v>
          </cell>
          <cell r="G485">
            <v>2.2350532221273745</v>
          </cell>
          <cell r="H485">
            <v>2.2350536638976131</v>
          </cell>
          <cell r="I485">
            <v>2.235054296229575</v>
          </cell>
          <cell r="J485">
            <v>2.2350558142817478</v>
          </cell>
          <cell r="K485">
            <v>1.975795517637176</v>
          </cell>
          <cell r="L485">
            <v>1.6431253495360101</v>
          </cell>
          <cell r="M485">
            <v>1.6431374037808399</v>
          </cell>
          <cell r="N485">
            <v>1.64314281299403</v>
          </cell>
          <cell r="O485">
            <v>1.6431891730548001</v>
          </cell>
        </row>
        <row r="486">
          <cell r="A486" t="str">
            <v>D-IPLT</v>
          </cell>
          <cell r="B486" t="str">
            <v>VAR_fout</v>
          </cell>
          <cell r="C486" t="str">
            <v>IPLT</v>
          </cell>
          <cell r="D486">
            <v>0.62579220093437027</v>
          </cell>
          <cell r="E486">
            <v>0.73757460611227832</v>
          </cell>
          <cell r="F486">
            <v>0.7363302981537585</v>
          </cell>
          <cell r="G486">
            <v>0.73426701979102527</v>
          </cell>
          <cell r="H486">
            <v>0.73279507468810712</v>
          </cell>
          <cell r="I486">
            <v>0.73075736699268234</v>
          </cell>
          <cell r="J486">
            <v>0.72873359726873921</v>
          </cell>
          <cell r="K486">
            <v>0.72672681630402114</v>
          </cell>
          <cell r="L486">
            <v>0.72673543954408537</v>
          </cell>
          <cell r="M486">
            <v>0.72677151714905508</v>
          </cell>
          <cell r="N486">
            <v>0.72682301063189581</v>
          </cell>
          <cell r="O486">
            <v>0.72702014358480382</v>
          </cell>
        </row>
        <row r="487">
          <cell r="A487" t="str">
            <v>D-IPLT</v>
          </cell>
          <cell r="B487" t="str">
            <v>VAR_fin</v>
          </cell>
          <cell r="C487" t="str">
            <v>PLT</v>
          </cell>
          <cell r="D487">
            <v>0.62579220093437027</v>
          </cell>
          <cell r="E487">
            <v>0.73757460611227832</v>
          </cell>
          <cell r="F487">
            <v>0.7363302981537585</v>
          </cell>
          <cell r="G487">
            <v>0.73426701979102527</v>
          </cell>
          <cell r="H487">
            <v>0.73279507468810712</v>
          </cell>
          <cell r="I487">
            <v>0.73075736699268234</v>
          </cell>
          <cell r="J487">
            <v>0.72873359726873921</v>
          </cell>
          <cell r="K487">
            <v>0.72672681630402114</v>
          </cell>
          <cell r="L487">
            <v>0.72673543954408537</v>
          </cell>
          <cell r="M487">
            <v>0.72677151714905508</v>
          </cell>
          <cell r="N487">
            <v>0.72682301063189581</v>
          </cell>
          <cell r="O487">
            <v>0.72702014358480382</v>
          </cell>
        </row>
        <row r="488">
          <cell r="A488" t="str">
            <v>ITOT-SWHWODBR</v>
          </cell>
          <cell r="B488" t="str">
            <v>VAR_fout</v>
          </cell>
          <cell r="C488" t="str">
            <v>ITOT-SWH</v>
          </cell>
          <cell r="D488">
            <v>5.3111241497928692</v>
          </cell>
          <cell r="E488">
            <v>6.2669390476429179</v>
          </cell>
          <cell r="F488">
            <v>5.8302839932136807</v>
          </cell>
          <cell r="G488">
            <v>6.8561600243029135</v>
          </cell>
          <cell r="H488">
            <v>7.4769099829102208</v>
          </cell>
          <cell r="I488">
            <v>8.1023064588305971</v>
          </cell>
          <cell r="J488">
            <v>8.6073003560855739</v>
          </cell>
          <cell r="K488">
            <v>9.2891158396113873</v>
          </cell>
          <cell r="L488">
            <v>9.2096862323652253</v>
          </cell>
          <cell r="M488">
            <v>9.4658725238705941</v>
          </cell>
          <cell r="N488">
            <v>8.2761957803060238</v>
          </cell>
          <cell r="O488">
            <v>8.8880576674886882</v>
          </cell>
        </row>
        <row r="489">
          <cell r="A489" t="str">
            <v>ITOT-SWHWODBR</v>
          </cell>
          <cell r="B489" t="str">
            <v>VAR_fin</v>
          </cell>
          <cell r="C489" t="str">
            <v>IWOD</v>
          </cell>
          <cell r="D489">
            <v>9.0019053386319818</v>
          </cell>
          <cell r="E489">
            <v>10.609941954248734</v>
          </cell>
          <cell r="F489">
            <v>9.8540011152907141</v>
          </cell>
          <cell r="G489">
            <v>11.555325883656606</v>
          </cell>
          <cell r="H489">
            <v>12.56623526539534</v>
          </cell>
          <cell r="I489">
            <v>13.579284567872492</v>
          </cell>
          <cell r="J489">
            <v>14.385460205156951</v>
          </cell>
          <cell r="K489">
            <v>15.481859732685663</v>
          </cell>
          <cell r="L489">
            <v>15.349477053942024</v>
          </cell>
          <cell r="M489">
            <v>15.776454206450998</v>
          </cell>
          <cell r="N489">
            <v>13.793659633843379</v>
          </cell>
          <cell r="O489">
            <v>14.813429445814485</v>
          </cell>
        </row>
        <row r="490">
          <cell r="A490" t="str">
            <v>ITOT-SWHWODBR</v>
          </cell>
          <cell r="B490" t="str">
            <v>VAR_fin</v>
          </cell>
          <cell r="C490" t="str">
            <v>ITOTWODBRC</v>
          </cell>
          <cell r="D490">
            <v>5.3111241497928692</v>
          </cell>
          <cell r="E490">
            <v>6.2669390476429179</v>
          </cell>
          <cell r="F490">
            <v>5.8302839932136807</v>
          </cell>
          <cell r="G490">
            <v>6.8561600243029135</v>
          </cell>
          <cell r="H490">
            <v>7.4769099829102208</v>
          </cell>
          <cell r="I490">
            <v>8.1023064588305971</v>
          </cell>
          <cell r="J490">
            <v>8.6073003560855739</v>
          </cell>
          <cell r="K490">
            <v>9.2891158396113873</v>
          </cell>
          <cell r="L490">
            <v>9.2096862323652253</v>
          </cell>
          <cell r="M490">
            <v>9.4658725238705941</v>
          </cell>
          <cell r="N490">
            <v>8.2761957803060238</v>
          </cell>
          <cell r="O490">
            <v>8.8880576674886882</v>
          </cell>
        </row>
        <row r="491">
          <cell r="A491" t="str">
            <v>ITOT-SWHWODBR</v>
          </cell>
          <cell r="B491" t="str">
            <v>VAR_ncap</v>
          </cell>
          <cell r="C491" t="str">
            <v>-</v>
          </cell>
          <cell r="E491">
            <v>5.2671381507499601E-2</v>
          </cell>
          <cell r="F491">
            <v>2.2739061550662499E-5</v>
          </cell>
          <cell r="G491">
            <v>3.6982800295275703E-2</v>
          </cell>
          <cell r="H491">
            <v>0.276693723828982</v>
          </cell>
          <cell r="I491">
            <v>0.144535168902374</v>
          </cell>
          <cell r="J491">
            <v>8.2500127127003595E-2</v>
          </cell>
          <cell r="K491">
            <v>0.31451922785219899</v>
          </cell>
          <cell r="L491">
            <v>0.171586955301536</v>
          </cell>
          <cell r="M491">
            <v>0.107314953007094</v>
          </cell>
          <cell r="N491">
            <v>0.24475121973517</v>
          </cell>
          <cell r="O491">
            <v>0.18421739028848</v>
          </cell>
        </row>
        <row r="492">
          <cell r="A492" t="str">
            <v>ITOT-SWHWODBR</v>
          </cell>
          <cell r="B492" t="str">
            <v>VAR_cap</v>
          </cell>
          <cell r="C492" t="str">
            <v>-</v>
          </cell>
          <cell r="D492">
            <v>0.28883369534761499</v>
          </cell>
          <cell r="E492">
            <v>0.34150334333388388</v>
          </cell>
          <cell r="F492">
            <v>0.34151939303809958</v>
          </cell>
          <cell r="G492">
            <v>0.37849245863319364</v>
          </cell>
          <cell r="H492">
            <v>0.41556289085500403</v>
          </cell>
          <cell r="I492">
            <v>0.4511661494090809</v>
          </cell>
          <cell r="J492">
            <v>0.50371004891463533</v>
          </cell>
          <cell r="K492">
            <v>0.54153451406824338</v>
          </cell>
          <cell r="L492">
            <v>0.57986398731739808</v>
          </cell>
          <cell r="M492">
            <v>0.59339838183932891</v>
          </cell>
          <cell r="N492">
            <v>0.52493602198338896</v>
          </cell>
          <cell r="O492">
            <v>0.53625841301154853</v>
          </cell>
        </row>
        <row r="493">
          <cell r="A493" t="str">
            <v>D-ITOT_KEV_WOD_ELC_CHP</v>
          </cell>
          <cell r="B493" t="str">
            <v>VAR_fout</v>
          </cell>
          <cell r="C493" t="str">
            <v>ITOT_ELC</v>
          </cell>
          <cell r="D493">
            <v>3.950209290207909E-4</v>
          </cell>
          <cell r="E493">
            <v>1.5256106031287677E-4</v>
          </cell>
          <cell r="F493">
            <v>2.6569178173256071E-4</v>
          </cell>
          <cell r="G493">
            <v>1.5444096456082876E-3</v>
          </cell>
          <cell r="H493">
            <v>2.5287041346402788</v>
          </cell>
          <cell r="I493">
            <v>2.9775083625219496</v>
          </cell>
          <cell r="J493">
            <v>3.9335878742735737</v>
          </cell>
          <cell r="K493">
            <v>5.0208072691145382</v>
          </cell>
          <cell r="L493">
            <v>5.4669993260329353</v>
          </cell>
          <cell r="M493">
            <v>5.453489494527453</v>
          </cell>
          <cell r="N493">
            <v>5.4119110161902393</v>
          </cell>
          <cell r="O493">
            <v>5.3818009154988005</v>
          </cell>
        </row>
        <row r="494">
          <cell r="A494" t="str">
            <v>D-ITOT_KEV_WOD_ELC_CHP</v>
          </cell>
          <cell r="B494" t="str">
            <v>VAR_fout</v>
          </cell>
          <cell r="C494" t="str">
            <v>ELC5</v>
          </cell>
          <cell r="D494">
            <v>0.17214936452372986</v>
          </cell>
          <cell r="E494">
            <v>0.52146370939182218</v>
          </cell>
          <cell r="F494">
            <v>1.1558067940894745</v>
          </cell>
          <cell r="G494">
            <v>2.0472880991690019</v>
          </cell>
          <cell r="H494">
            <v>7.481755410016379E-3</v>
          </cell>
          <cell r="I494">
            <v>7.7907539332790167E-3</v>
          </cell>
          <cell r="J494">
            <v>1.36281959315159E-2</v>
          </cell>
          <cell r="K494">
            <v>2.4083965185547028E-2</v>
          </cell>
          <cell r="L494">
            <v>2.9553265605951142E-2</v>
          </cell>
          <cell r="M494">
            <v>3.3623139910871597E-2</v>
          </cell>
          <cell r="N494">
            <v>4.7707820965611714E-2</v>
          </cell>
          <cell r="O494">
            <v>0.11489464376386108</v>
          </cell>
        </row>
        <row r="495">
          <cell r="A495" t="str">
            <v>D-ITOT_KEV_WOD_ELC_CHP</v>
          </cell>
          <cell r="B495" t="str">
            <v>VAR_fin</v>
          </cell>
          <cell r="C495" t="str">
            <v>ITOT_KEV_WOD_ELC_CHP</v>
          </cell>
          <cell r="D495">
            <v>0.17254438545275039</v>
          </cell>
          <cell r="E495">
            <v>0.52161627045213488</v>
          </cell>
          <cell r="F495">
            <v>1.1560691731524171</v>
          </cell>
          <cell r="G495">
            <v>2.0488281379616402</v>
          </cell>
          <cell r="H495">
            <v>2.5361680206798507</v>
          </cell>
          <cell r="I495">
            <v>2.9852741414882238</v>
          </cell>
          <cell r="J495">
            <v>3.9471916285114048</v>
          </cell>
          <cell r="K495">
            <v>5.0448527941818462</v>
          </cell>
          <cell r="L495">
            <v>5.496527794429662</v>
          </cell>
          <cell r="M495">
            <v>5.4870733076743186</v>
          </cell>
          <cell r="N495">
            <v>5.4595940399466318</v>
          </cell>
          <cell r="O495">
            <v>5.4966423208098583</v>
          </cell>
        </row>
        <row r="496">
          <cell r="A496" t="str">
            <v>RHEM-SHSTG-SOL</v>
          </cell>
          <cell r="B496" t="str">
            <v>VAR_fout</v>
          </cell>
          <cell r="C496" t="str">
            <v>RHEM-SHASOL</v>
          </cell>
          <cell r="D496">
            <v>2.2433773545005906E-5</v>
          </cell>
          <cell r="E496">
            <v>2.0211438839497015E-5</v>
          </cell>
          <cell r="F496">
            <v>8.0221092849728587E-2</v>
          </cell>
          <cell r="G496">
            <v>7.9813962650275114E-2</v>
          </cell>
          <cell r="H496">
            <v>9.9811196558282286E-2</v>
          </cell>
          <cell r="I496">
            <v>0.10559990398519552</v>
          </cell>
          <cell r="J496">
            <v>9.9354395467640577E-2</v>
          </cell>
          <cell r="K496">
            <v>0.10263236584925775</v>
          </cell>
          <cell r="L496">
            <v>0.10588056519375051</v>
          </cell>
          <cell r="M496">
            <v>7.7260628320942257E-2</v>
          </cell>
          <cell r="N496">
            <v>0.10227136233676522</v>
          </cell>
          <cell r="O496">
            <v>7.5985225395307845E-2</v>
          </cell>
        </row>
        <row r="497">
          <cell r="A497" t="str">
            <v>RHEM-SHSTG-SOL</v>
          </cell>
          <cell r="B497" t="str">
            <v>VAR_fin</v>
          </cell>
          <cell r="C497" t="str">
            <v>RHEM-SHASOL</v>
          </cell>
          <cell r="D497">
            <v>4.7425048751905645E-6</v>
          </cell>
          <cell r="E497">
            <v>6.5921920249766045E-6</v>
          </cell>
          <cell r="F497">
            <v>8.0213785792895134E-2</v>
          </cell>
          <cell r="G497">
            <v>7.9803928018798084E-2</v>
          </cell>
          <cell r="H497">
            <v>9.9814372021257494E-2</v>
          </cell>
          <cell r="I497">
            <v>0.10560551170561139</v>
          </cell>
          <cell r="J497">
            <v>9.9355483581320028E-2</v>
          </cell>
          <cell r="K497">
            <v>0.10263420554023255</v>
          </cell>
          <cell r="L497">
            <v>0.10588768924829747</v>
          </cell>
          <cell r="M497">
            <v>7.7269849022872775E-2</v>
          </cell>
          <cell r="N497">
            <v>0.10227932948084671</v>
          </cell>
          <cell r="O497">
            <v>7.5985003237587889E-2</v>
          </cell>
        </row>
        <row r="498">
          <cell r="A498" t="str">
            <v>RHEM-SHSTG-SOL</v>
          </cell>
          <cell r="B498" t="str">
            <v>VAR_ncap</v>
          </cell>
          <cell r="C498" t="str">
            <v>-</v>
          </cell>
          <cell r="D498">
            <v>9.4354143783784302E-4</v>
          </cell>
          <cell r="E498">
            <v>1.51008935482509E-2</v>
          </cell>
          <cell r="F498">
            <v>3.7268829042774999E-6</v>
          </cell>
          <cell r="G498">
            <v>3.0460249901600799E-6</v>
          </cell>
          <cell r="H498">
            <v>8.1071845575351794E-3</v>
          </cell>
          <cell r="I498">
            <v>7.9649151431806509E-3</v>
          </cell>
          <cell r="J498">
            <v>1.0169992415383799E-6</v>
          </cell>
          <cell r="K498">
            <v>8.1185589636963602E-3</v>
          </cell>
          <cell r="L498">
            <v>6.8269835804936002E-3</v>
          </cell>
          <cell r="M498">
            <v>4.5597785722663001E-7</v>
          </cell>
          <cell r="N498">
            <v>9.9962222338682207E-3</v>
          </cell>
          <cell r="O498">
            <v>5.2597686892245999E-3</v>
          </cell>
        </row>
        <row r="499">
          <cell r="A499" t="str">
            <v>RHEM-SHSTG-SOL</v>
          </cell>
          <cell r="B499" t="str">
            <v>VAR_cap</v>
          </cell>
          <cell r="C499" t="str">
            <v>-</v>
          </cell>
          <cell r="D499">
            <v>9.4354143783784302E-4</v>
          </cell>
          <cell r="E499">
            <v>1.60444349860887E-2</v>
          </cell>
          <cell r="F499">
            <v>1.6048161868993001E-2</v>
          </cell>
          <cell r="G499">
            <v>1.6051207893983201E-2</v>
          </cell>
          <cell r="H499">
            <v>1.6095499493439702E-2</v>
          </cell>
          <cell r="I499">
            <v>1.60753488630157E-2</v>
          </cell>
          <cell r="J499">
            <v>1.6073116699957399E-2</v>
          </cell>
          <cell r="K499">
            <v>1.6084491106118499E-2</v>
          </cell>
          <cell r="L499">
            <v>1.6170266487579799E-2</v>
          </cell>
          <cell r="M499">
            <v>1.4945998522047199E-2</v>
          </cell>
          <cell r="N499">
            <v>1.60973893112056E-2</v>
          </cell>
          <cell r="O499">
            <v>1.5256446900950099E-2</v>
          </cell>
        </row>
        <row r="500">
          <cell r="A500" t="str">
            <v>ITOT-SWHCONBR10</v>
          </cell>
          <cell r="B500" t="str">
            <v>VAR_fout</v>
          </cell>
          <cell r="C500" t="str">
            <v>ITOT-ELS</v>
          </cell>
          <cell r="J500">
            <v>1.642747271997986E-5</v>
          </cell>
          <cell r="K500">
            <v>3.2383173220648327E-5</v>
          </cell>
          <cell r="L500">
            <v>2.6163892880459426E-5</v>
          </cell>
          <cell r="M500">
            <v>4.1130667033853446E-5</v>
          </cell>
          <cell r="N500">
            <v>3.4410681409932532E-5</v>
          </cell>
          <cell r="O500">
            <v>7.1498011000686472E-5</v>
          </cell>
        </row>
        <row r="501">
          <cell r="A501" t="str">
            <v>ITOT-SWHCONBR10</v>
          </cell>
          <cell r="B501" t="str">
            <v>VAR_fout</v>
          </cell>
          <cell r="C501" t="str">
            <v>ITOT-SWHC</v>
          </cell>
          <cell r="J501">
            <v>1.0116208857568715E-4</v>
          </cell>
          <cell r="K501">
            <v>1.9941895467126121E-4</v>
          </cell>
          <cell r="L501">
            <v>1.611199783542284E-4</v>
          </cell>
          <cell r="M501">
            <v>2.5328693296779278E-4</v>
          </cell>
          <cell r="N501">
            <v>2.1190456134542992E-4</v>
          </cell>
          <cell r="O501">
            <v>4.4029220106632299E-4</v>
          </cell>
        </row>
        <row r="502">
          <cell r="A502" t="str">
            <v>ITOT-SWHCONBR10</v>
          </cell>
          <cell r="B502" t="str">
            <v>VAR_fin</v>
          </cell>
          <cell r="C502" t="str">
            <v>CON</v>
          </cell>
          <cell r="J502">
            <v>1.1758956129566698E-4</v>
          </cell>
          <cell r="K502">
            <v>2.3180212789190966E-4</v>
          </cell>
          <cell r="L502">
            <v>1.8728387123468756E-4</v>
          </cell>
          <cell r="M502">
            <v>2.9441760000164624E-4</v>
          </cell>
          <cell r="N502">
            <v>2.4631524275536257E-4</v>
          </cell>
          <cell r="O502">
            <v>5.1179021206700993E-4</v>
          </cell>
        </row>
        <row r="503">
          <cell r="A503" t="str">
            <v>ITOT-SWHCONBR10</v>
          </cell>
          <cell r="B503" t="str">
            <v>VAR_ncap</v>
          </cell>
          <cell r="C503" t="str">
            <v>-</v>
          </cell>
          <cell r="J503">
            <v>3.7005782573468901E-6</v>
          </cell>
          <cell r="K503">
            <v>3.8144469746608401E-6</v>
          </cell>
          <cell r="L503">
            <v>2.2082921857079999E-7</v>
          </cell>
          <cell r="M503">
            <v>7.1023526972103401E-6</v>
          </cell>
          <cell r="N503">
            <v>3.9135204478813997E-6</v>
          </cell>
          <cell r="O503">
            <v>1.22441704090356E-5</v>
          </cell>
        </row>
        <row r="504">
          <cell r="A504" t="str">
            <v>ITOT-SWHCONBR10</v>
          </cell>
          <cell r="B504" t="str">
            <v>VAR_cap</v>
          </cell>
          <cell r="C504" t="str">
            <v>-</v>
          </cell>
          <cell r="J504">
            <v>3.7005782573468901E-6</v>
          </cell>
          <cell r="K504">
            <v>7.5150252320077301E-6</v>
          </cell>
          <cell r="L504">
            <v>7.2455447486407097E-6</v>
          </cell>
          <cell r="M504">
            <v>1.1137628890442E-5</v>
          </cell>
          <cell r="N504">
            <v>1.18423186624769E-5</v>
          </cell>
          <cell r="O504">
            <v>2.3260043554127299E-5</v>
          </cell>
        </row>
        <row r="505">
          <cell r="A505" t="str">
            <v>SCOM-SHSTG</v>
          </cell>
          <cell r="B505" t="str">
            <v>VAR_fout</v>
          </cell>
          <cell r="C505" t="str">
            <v>AUX_SCOM-SHSTG_OUT</v>
          </cell>
          <cell r="D505">
            <v>3.4534586184829407E-5</v>
          </cell>
          <cell r="E505">
            <v>1.4700313473922264E-4</v>
          </cell>
          <cell r="F505">
            <v>9.0182265610270103E-3</v>
          </cell>
          <cell r="G505">
            <v>5.6641615155163744E-3</v>
          </cell>
          <cell r="H505">
            <v>0.94931841592659838</v>
          </cell>
          <cell r="I505">
            <v>1.03178755186379</v>
          </cell>
          <cell r="J505">
            <v>0.74165727966846318</v>
          </cell>
          <cell r="K505">
            <v>1.2511279227499117</v>
          </cell>
          <cell r="L505">
            <v>1.312227890909788</v>
          </cell>
          <cell r="M505">
            <v>1.3109052815388085</v>
          </cell>
          <cell r="N505">
            <v>1.2966060982417116</v>
          </cell>
          <cell r="O505">
            <v>1.4520186232036623</v>
          </cell>
        </row>
        <row r="506">
          <cell r="A506" t="str">
            <v>SCOM-SHSTG</v>
          </cell>
          <cell r="B506" t="str">
            <v>VAR_fout</v>
          </cell>
          <cell r="C506" t="str">
            <v>SCOM-SHD</v>
          </cell>
          <cell r="D506">
            <v>3.4534586184829448E-5</v>
          </cell>
          <cell r="E506">
            <v>1.4712329055816689E-4</v>
          </cell>
          <cell r="F506">
            <v>9.0297440917562963E-3</v>
          </cell>
          <cell r="G506">
            <v>5.6641615155163657E-3</v>
          </cell>
          <cell r="H506">
            <v>0.95037438746822767</v>
          </cell>
          <cell r="I506">
            <v>1.0317875518637896</v>
          </cell>
          <cell r="J506">
            <v>0.74238226234653437</v>
          </cell>
          <cell r="K506">
            <v>1.2511279227499115</v>
          </cell>
          <cell r="L506">
            <v>1.312227890909788</v>
          </cell>
          <cell r="M506">
            <v>1.3109052815388085</v>
          </cell>
          <cell r="N506">
            <v>1.2966060982417116</v>
          </cell>
          <cell r="O506">
            <v>1.452018623203662</v>
          </cell>
        </row>
        <row r="507">
          <cell r="A507" t="str">
            <v>SCOM-SHSTG</v>
          </cell>
          <cell r="B507" t="str">
            <v>VAR_fin</v>
          </cell>
          <cell r="C507" t="str">
            <v>AUX_SCOM-SHSTG_IN</v>
          </cell>
          <cell r="D507">
            <v>4.0242733106821782E-5</v>
          </cell>
          <cell r="E507">
            <v>1.8059395299779447E-4</v>
          </cell>
          <cell r="F507">
            <v>1.0748281245553005E-2</v>
          </cell>
          <cell r="G507">
            <v>6.5117136809109567E-3</v>
          </cell>
          <cell r="H507">
            <v>1.0563396579929909</v>
          </cell>
          <cell r="I507">
            <v>1.1098062379859737</v>
          </cell>
          <cell r="J507">
            <v>0.77367099560547881</v>
          </cell>
          <cell r="K507">
            <v>1.264599203386366</v>
          </cell>
          <cell r="L507">
            <v>1.3263681681503157</v>
          </cell>
          <cell r="M507">
            <v>1.3251199002550187</v>
          </cell>
          <cell r="N507">
            <v>1.310687847174586</v>
          </cell>
          <cell r="O507">
            <v>1.4680064360843177</v>
          </cell>
        </row>
        <row r="508">
          <cell r="A508" t="str">
            <v>SCOM-SHSTG</v>
          </cell>
          <cell r="B508" t="str">
            <v>VAR_fin</v>
          </cell>
          <cell r="C508" t="str">
            <v>SCOM-SHD</v>
          </cell>
          <cell r="D508">
            <v>4.0242733106821782E-5</v>
          </cell>
          <cell r="E508">
            <v>1.8059395299779447E-4</v>
          </cell>
          <cell r="F508">
            <v>1.0748281245553005E-2</v>
          </cell>
          <cell r="G508">
            <v>6.5117136809109567E-3</v>
          </cell>
          <cell r="H508">
            <v>1.0563396579929909</v>
          </cell>
          <cell r="I508">
            <v>1.1098062379859737</v>
          </cell>
          <cell r="J508">
            <v>0.77367099560547881</v>
          </cell>
          <cell r="K508">
            <v>1.264599203386366</v>
          </cell>
          <cell r="L508">
            <v>1.3263681681503157</v>
          </cell>
          <cell r="M508">
            <v>1.3251199002550187</v>
          </cell>
          <cell r="N508">
            <v>1.310687847174586</v>
          </cell>
          <cell r="O508">
            <v>1.4680064360843177</v>
          </cell>
        </row>
        <row r="509">
          <cell r="A509" t="str">
            <v>SCOM-SHSTG</v>
          </cell>
          <cell r="B509" t="str">
            <v>VAR_ncap</v>
          </cell>
          <cell r="C509" t="str">
            <v>-</v>
          </cell>
          <cell r="D509">
            <v>7.2755115961284898E-4</v>
          </cell>
          <cell r="E509">
            <v>5.4773072206751102E-6</v>
          </cell>
          <cell r="F509">
            <v>7.4508816005550198E-5</v>
          </cell>
          <cell r="G509">
            <v>4.5589495779977398E-6</v>
          </cell>
          <cell r="H509">
            <v>0.27581432033138897</v>
          </cell>
          <cell r="I509">
            <v>3.8998529750101901E-5</v>
          </cell>
          <cell r="J509">
            <v>8.9766378580347898E-6</v>
          </cell>
          <cell r="K509">
            <v>0.37774532892234403</v>
          </cell>
          <cell r="L509">
            <v>0.29958531760572599</v>
          </cell>
          <cell r="M509">
            <v>8.1089699353951106E-2</v>
          </cell>
          <cell r="N509">
            <v>3.4456537236801803E-2</v>
          </cell>
          <cell r="O509">
            <v>0.38034514127112101</v>
          </cell>
        </row>
        <row r="510">
          <cell r="A510" t="str">
            <v>SCOM-SHSTG</v>
          </cell>
          <cell r="B510" t="str">
            <v>VAR_cap</v>
          </cell>
          <cell r="C510" t="str">
            <v>-</v>
          </cell>
          <cell r="D510">
            <v>7.2755115961284898E-4</v>
          </cell>
          <cell r="E510">
            <v>7.3117439286742795E-4</v>
          </cell>
          <cell r="F510">
            <v>8.0396472250841562E-4</v>
          </cell>
          <cell r="G510">
            <v>8.0626865300403817E-4</v>
          </cell>
          <cell r="H510">
            <v>0.27661341923825244</v>
          </cell>
          <cell r="I510">
            <v>0.27622408712603402</v>
          </cell>
          <cell r="J510">
            <v>0.27578828892554008</v>
          </cell>
          <cell r="K510">
            <v>0.65356594844329219</v>
          </cell>
          <cell r="L510">
            <v>0.76104436648459761</v>
          </cell>
          <cell r="M510">
            <v>0.7583428417735355</v>
          </cell>
          <cell r="N510">
            <v>0.79280617239507589</v>
          </cell>
          <cell r="O510">
            <v>0.79538946004141575</v>
          </cell>
        </row>
        <row r="511">
          <cell r="A511" t="str">
            <v>D-ITOT_KEV_HFC_ELC_CHP</v>
          </cell>
          <cell r="B511" t="str">
            <v>VAR_fout</v>
          </cell>
          <cell r="C511" t="str">
            <v>ITOT_ELC</v>
          </cell>
          <cell r="G511">
            <v>1.2511993557440802E-3</v>
          </cell>
          <cell r="H511">
            <v>4.0302322402790275E-3</v>
          </cell>
          <cell r="I511">
            <v>7.9532606055247295E-3</v>
          </cell>
          <cell r="J511">
            <v>7.4651677995085583E-3</v>
          </cell>
          <cell r="K511">
            <v>2.4856020535270865E-2</v>
          </cell>
          <cell r="L511">
            <v>2.1171213606023895E-2</v>
          </cell>
          <cell r="M511">
            <v>6.487273449667387E-2</v>
          </cell>
          <cell r="N511">
            <v>6.7582350724674375E-2</v>
          </cell>
          <cell r="O511">
            <v>7.6776973722109607E-2</v>
          </cell>
        </row>
        <row r="512">
          <cell r="A512" t="str">
            <v>D-ITOT_KEV_HFC_ELC_CHP</v>
          </cell>
          <cell r="B512" t="str">
            <v>VAR_fout</v>
          </cell>
          <cell r="C512" t="str">
            <v>ELC5</v>
          </cell>
          <cell r="G512">
            <v>5.3147458217452982E-4</v>
          </cell>
          <cell r="H512">
            <v>1.6008928904448871E-3</v>
          </cell>
          <cell r="I512">
            <v>1.4676618759649122E-3</v>
          </cell>
          <cell r="J512">
            <v>1.8737320370523127E-3</v>
          </cell>
          <cell r="K512">
            <v>3.4381624846067339E-3</v>
          </cell>
          <cell r="L512">
            <v>2.5476656345347426E-3</v>
          </cell>
          <cell r="M512">
            <v>5.5294391007894191E-3</v>
          </cell>
          <cell r="N512">
            <v>6.4313343872333473E-3</v>
          </cell>
          <cell r="O512">
            <v>1.1573326974352928E-2</v>
          </cell>
        </row>
        <row r="513">
          <cell r="A513" t="str">
            <v>D-ITOT_KEV_HFC_ELC_CHP</v>
          </cell>
          <cell r="B513" t="str">
            <v>VAR_fin</v>
          </cell>
          <cell r="C513" t="str">
            <v>ITOT_KEV_HFC_ELC_CHP</v>
          </cell>
          <cell r="G513">
            <v>1.7766350562548091E-3</v>
          </cell>
          <cell r="H513">
            <v>5.6145544029723602E-3</v>
          </cell>
          <cell r="I513">
            <v>9.3891283971954693E-3</v>
          </cell>
          <cell r="J513">
            <v>9.3076060437629719E-3</v>
          </cell>
          <cell r="K513">
            <v>2.8260256108047617E-2</v>
          </cell>
          <cell r="L513">
            <v>2.3684250561635582E-2</v>
          </cell>
          <cell r="M513">
            <v>7.036442289148194E-2</v>
          </cell>
          <cell r="N513">
            <v>7.3974304129959395E-2</v>
          </cell>
          <cell r="O513">
            <v>8.8279780438599603E-2</v>
          </cell>
        </row>
        <row r="514">
          <cell r="A514" t="str">
            <v>D-RNGA</v>
          </cell>
          <cell r="B514" t="str">
            <v>VAR_fout</v>
          </cell>
          <cell r="C514" t="str">
            <v>CO2</v>
          </cell>
          <cell r="D514">
            <v>2651.82687657206</v>
          </cell>
          <cell r="E514">
            <v>2731.7886649288198</v>
          </cell>
          <cell r="F514">
            <v>2913.8555732516902</v>
          </cell>
          <cell r="G514">
            <v>3100.6874302696401</v>
          </cell>
          <cell r="H514">
            <v>3232.74922644449</v>
          </cell>
          <cell r="I514">
            <v>3190.5354603850801</v>
          </cell>
          <cell r="J514">
            <v>3123.6463897778499</v>
          </cell>
          <cell r="K514">
            <v>3140.9557026231</v>
          </cell>
          <cell r="L514">
            <v>3002.8496973747901</v>
          </cell>
          <cell r="M514">
            <v>2839.3355254198</v>
          </cell>
          <cell r="N514">
            <v>2914.6306683306102</v>
          </cell>
          <cell r="O514">
            <v>2477.7691447781199</v>
          </cell>
        </row>
        <row r="515">
          <cell r="A515" t="str">
            <v>D-RNGA</v>
          </cell>
          <cell r="B515" t="str">
            <v>VAR_fout</v>
          </cell>
          <cell r="C515" t="str">
            <v>RNGA</v>
          </cell>
          <cell r="D515">
            <v>47.179782326515209</v>
          </cell>
          <cell r="E515">
            <v>48.283000753695106</v>
          </cell>
          <cell r="F515">
            <v>51.500856974085941</v>
          </cell>
          <cell r="G515">
            <v>54.80290454767043</v>
          </cell>
          <cell r="H515">
            <v>57.136962683375998</v>
          </cell>
          <cell r="I515">
            <v>56.390872027384724</v>
          </cell>
          <cell r="J515">
            <v>55.208680033715211</v>
          </cell>
          <cell r="K515">
            <v>55.514574829170577</v>
          </cell>
          <cell r="L515">
            <v>53.073697102632046</v>
          </cell>
          <cell r="M515">
            <v>50.183477527151226</v>
          </cell>
          <cell r="N515">
            <v>51.51418255142336</v>
          </cell>
          <cell r="O515">
            <v>43.793208300300186</v>
          </cell>
        </row>
        <row r="516">
          <cell r="A516" t="str">
            <v>D-RNGA</v>
          </cell>
          <cell r="B516" t="str">
            <v>VAR_fout</v>
          </cell>
          <cell r="C516" t="str">
            <v>RSH2</v>
          </cell>
          <cell r="G516">
            <v>1.1571150036913591E-3</v>
          </cell>
          <cell r="H516">
            <v>2.8494139369905822E-3</v>
          </cell>
          <cell r="I516">
            <v>3.3466086990585108E-3</v>
          </cell>
          <cell r="J516">
            <v>3.9468637333089631E-3</v>
          </cell>
          <cell r="K516">
            <v>1.1688338771697233E-2</v>
          </cell>
          <cell r="L516">
            <v>1.0817399080237019E-2</v>
          </cell>
          <cell r="M516">
            <v>9.2257777169250807E-2</v>
          </cell>
          <cell r="N516">
            <v>0.11330803895195263</v>
          </cell>
          <cell r="O516">
            <v>0.10762193497786379</v>
          </cell>
        </row>
        <row r="517">
          <cell r="A517" t="str">
            <v>D-RNGA</v>
          </cell>
          <cell r="B517" t="str">
            <v>VAR_fin</v>
          </cell>
          <cell r="C517" t="str">
            <v>NGA</v>
          </cell>
          <cell r="D517">
            <v>47.018207031419507</v>
          </cell>
          <cell r="E517">
            <v>48.435969236326486</v>
          </cell>
          <cell r="F517">
            <v>51.664105908717985</v>
          </cell>
          <cell r="G517">
            <v>54.976727487050297</v>
          </cell>
          <cell r="H517">
            <v>57.318248695824224</v>
          </cell>
          <cell r="I517">
            <v>56.569777666402061</v>
          </cell>
          <cell r="J517">
            <v>55.383801237196025</v>
          </cell>
          <cell r="K517">
            <v>55.690703947218189</v>
          </cell>
          <cell r="L517">
            <v>53.242015910900427</v>
          </cell>
          <cell r="M517">
            <v>50.34282846489004</v>
          </cell>
          <cell r="N517">
            <v>51.677848729266138</v>
          </cell>
          <cell r="O517">
            <v>43.932077035073007</v>
          </cell>
        </row>
        <row r="518">
          <cell r="A518" t="str">
            <v>D-RNGA</v>
          </cell>
          <cell r="B518" t="str">
            <v>VAR_fin</v>
          </cell>
          <cell r="C518" t="str">
            <v>BNGA</v>
          </cell>
          <cell r="D518">
            <v>0.31229675187645711</v>
          </cell>
          <cell r="E518">
            <v>1.277337346760768E-3</v>
          </cell>
          <cell r="F518">
            <v>1.2767118593738904E-3</v>
          </cell>
          <cell r="G518">
            <v>1.2792618084729143E-3</v>
          </cell>
          <cell r="H518">
            <v>1.2809664574716054E-3</v>
          </cell>
          <cell r="I518">
            <v>1.286511470988555E-3</v>
          </cell>
          <cell r="J518">
            <v>1.2880340333559074E-3</v>
          </cell>
          <cell r="K518">
            <v>1.2987772664295914E-3</v>
          </cell>
          <cell r="L518">
            <v>1.2919197017624044E-3</v>
          </cell>
          <cell r="M518">
            <v>1.3056651408762214E-3</v>
          </cell>
          <cell r="N518">
            <v>1.3092269725145972E-3</v>
          </cell>
          <cell r="O518">
            <v>1.4288026371444963E-3</v>
          </cell>
        </row>
        <row r="519">
          <cell r="A519" t="str">
            <v>D-RNGA</v>
          </cell>
          <cell r="B519" t="str">
            <v>VAR_fin</v>
          </cell>
          <cell r="C519" t="str">
            <v>H2</v>
          </cell>
          <cell r="G519">
            <v>1.1544472483752655E-3</v>
          </cell>
          <cell r="H519">
            <v>2.8460268181899075E-3</v>
          </cell>
          <cell r="I519">
            <v>3.3412759658911521E-3</v>
          </cell>
          <cell r="J519">
            <v>3.9415310001416765E-3</v>
          </cell>
          <cell r="K519">
            <v>1.1683006038530083E-2</v>
          </cell>
          <cell r="L519">
            <v>1.081206634706976E-2</v>
          </cell>
          <cell r="M519">
            <v>9.225457752935283E-2</v>
          </cell>
          <cell r="N519">
            <v>0.11330697240531792</v>
          </cell>
          <cell r="O519">
            <v>0.10761126951152913</v>
          </cell>
        </row>
        <row r="520">
          <cell r="A520" t="str">
            <v>D-RNGA</v>
          </cell>
          <cell r="B520" t="str">
            <v>VAR_ncap</v>
          </cell>
          <cell r="C520" t="str">
            <v>-</v>
          </cell>
          <cell r="D520">
            <v>1.0416807096230001E-6</v>
          </cell>
          <cell r="E520">
            <v>3.6004703686326601E-7</v>
          </cell>
          <cell r="F520">
            <v>1.7626244540530201E-6</v>
          </cell>
          <cell r="G520">
            <v>0.11062653708888</v>
          </cell>
          <cell r="H520">
            <v>0.140916494404208</v>
          </cell>
          <cell r="I520">
            <v>3.9051253223439702E-6</v>
          </cell>
          <cell r="J520">
            <v>1.5997685391454801E-6</v>
          </cell>
          <cell r="K520">
            <v>1.9708122329244699</v>
          </cell>
          <cell r="L520">
            <v>0.87792527253695096</v>
          </cell>
          <cell r="M520">
            <v>1.9175332666045698E-6</v>
          </cell>
          <cell r="N520">
            <v>2.6956608641176001E-6</v>
          </cell>
          <cell r="O520">
            <v>5.80379561411213E-6</v>
          </cell>
        </row>
        <row r="521">
          <cell r="A521" t="str">
            <v>D-RNGA</v>
          </cell>
          <cell r="B521" t="str">
            <v>VAR_cap</v>
          </cell>
          <cell r="C521" t="str">
            <v>-</v>
          </cell>
          <cell r="D521">
            <v>3.0972410490766298</v>
          </cell>
          <cell r="E521">
            <v>3.0972414091236664</v>
          </cell>
          <cell r="F521">
            <v>3.0972431717481208</v>
          </cell>
          <cell r="G521">
            <v>3.2078697088370012</v>
          </cell>
          <cell r="H521">
            <v>3.3487862032412092</v>
          </cell>
          <cell r="I521">
            <v>3.3487901083665319</v>
          </cell>
          <cell r="J521">
            <v>3.3487917081350709</v>
          </cell>
          <cell r="K521">
            <v>3.2803725638510901</v>
          </cell>
          <cell r="L521">
            <v>3.10028920620057</v>
          </cell>
          <cell r="M521">
            <v>3.1002901766177202</v>
          </cell>
          <cell r="N521">
            <v>3.0652208404693799</v>
          </cell>
          <cell r="O521">
            <v>2.98966992174923</v>
          </cell>
        </row>
        <row r="522">
          <cell r="A522" t="str">
            <v>RHNS-SHLTHCHPNGA</v>
          </cell>
          <cell r="B522" t="str">
            <v>VAR_fout</v>
          </cell>
          <cell r="C522" t="str">
            <v>RHNS-SHLTHC-NGA</v>
          </cell>
          <cell r="E522">
            <v>8.7932035838820448E-4</v>
          </cell>
          <cell r="F522">
            <v>2.6916245974420057E-3</v>
          </cell>
          <cell r="G522">
            <v>2.7328731737365653E-3</v>
          </cell>
          <cell r="H522">
            <v>9.0543273782902455E-3</v>
          </cell>
          <cell r="I522">
            <v>8.8496280858442293E-3</v>
          </cell>
          <cell r="J522">
            <v>1.8329171798776932E-2</v>
          </cell>
          <cell r="K522">
            <v>2.5842357530905351E-2</v>
          </cell>
          <cell r="L522">
            <v>2.2431354386913443E-2</v>
          </cell>
          <cell r="M522">
            <v>2.4468488007294301E-2</v>
          </cell>
          <cell r="N522">
            <v>1.1472114520749024E-2</v>
          </cell>
          <cell r="O522">
            <v>1.0926673264178234E-2</v>
          </cell>
        </row>
        <row r="523">
          <cell r="A523" t="str">
            <v>RHNS-SHLTHCHPNGA</v>
          </cell>
          <cell r="B523" t="str">
            <v>VAR_fin</v>
          </cell>
          <cell r="C523" t="str">
            <v>RHNSLTHCHPC</v>
          </cell>
          <cell r="E523">
            <v>8.7932035838820448E-4</v>
          </cell>
          <cell r="F523">
            <v>2.6916245974420057E-3</v>
          </cell>
          <cell r="G523">
            <v>2.7328731737365653E-3</v>
          </cell>
          <cell r="H523">
            <v>9.0543273782902455E-3</v>
          </cell>
          <cell r="I523">
            <v>8.8496280858442293E-3</v>
          </cell>
          <cell r="J523">
            <v>1.8329171798776932E-2</v>
          </cell>
          <cell r="K523">
            <v>2.5842357530905351E-2</v>
          </cell>
          <cell r="L523">
            <v>2.2431354386913443E-2</v>
          </cell>
          <cell r="M523">
            <v>2.4468488007294301E-2</v>
          </cell>
          <cell r="N523">
            <v>1.1472114520749024E-2</v>
          </cell>
          <cell r="O523">
            <v>1.0926673264178234E-2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RHNS_LTH_CHPNGA_ON</v>
          </cell>
          <cell r="E524">
            <v>8.8820238221030707E-4</v>
          </cell>
          <cell r="F524">
            <v>2.7188127246888902E-3</v>
          </cell>
          <cell r="G524">
            <v>2.760477953269256E-3</v>
          </cell>
          <cell r="H524">
            <v>9.1457852305962088E-3</v>
          </cell>
          <cell r="I524">
            <v>8.9390182685295198E-3</v>
          </cell>
          <cell r="J524">
            <v>1.851431494825952E-2</v>
          </cell>
          <cell r="K524">
            <v>2.610339144535893E-2</v>
          </cell>
          <cell r="L524">
            <v>2.2657933724155005E-2</v>
          </cell>
          <cell r="M524">
            <v>2.4715644451812416E-2</v>
          </cell>
          <cell r="N524">
            <v>1.1587994465403045E-2</v>
          </cell>
          <cell r="O524">
            <v>1.1037043701190137E-2</v>
          </cell>
        </row>
        <row r="525">
          <cell r="A525" t="str">
            <v>RHNS-SHLTHCHPNGA</v>
          </cell>
          <cell r="B525" t="str">
            <v>VAR_ncap</v>
          </cell>
          <cell r="C525" t="str">
            <v>-</v>
          </cell>
          <cell r="E525">
            <v>9.6161203729142595E-5</v>
          </cell>
          <cell r="F525">
            <v>2.7989839350885598E-4</v>
          </cell>
          <cell r="G525">
            <v>2.12300984502008E-4</v>
          </cell>
          <cell r="H525">
            <v>7.6858368793714397E-4</v>
          </cell>
          <cell r="I525">
            <v>6.8658489521437199E-4</v>
          </cell>
          <cell r="J525">
            <v>1.3461510374085199E-3</v>
          </cell>
          <cell r="K525">
            <v>1.9120175333796399E-3</v>
          </cell>
          <cell r="L525">
            <v>1.3683361295041599E-3</v>
          </cell>
          <cell r="M525">
            <v>1.5862905607368701E-3</v>
          </cell>
          <cell r="N525">
            <v>7.6111158674551597E-4</v>
          </cell>
          <cell r="O525">
            <v>8.8240665623376695E-4</v>
          </cell>
        </row>
        <row r="526">
          <cell r="A526" t="str">
            <v>RHNS-SHLTHCHPNGA</v>
          </cell>
          <cell r="B526" t="str">
            <v>VAR_cap</v>
          </cell>
          <cell r="C526" t="str">
            <v>-</v>
          </cell>
          <cell r="E526">
            <v>9.6161203729142595E-5</v>
          </cell>
          <cell r="F526">
            <v>3.1199049268010017E-4</v>
          </cell>
          <cell r="G526">
            <v>3.1792203036024399E-4</v>
          </cell>
          <cell r="H526">
            <v>9.3142467574301702E-4</v>
          </cell>
          <cell r="I526">
            <v>8.9668975550381694E-4</v>
          </cell>
          <cell r="J526">
            <v>1.7495222588051701E-3</v>
          </cell>
          <cell r="K526">
            <v>2.5155165893288997E-3</v>
          </cell>
          <cell r="L526">
            <v>2.11989730442581E-3</v>
          </cell>
          <cell r="M526">
            <v>2.3601731218471905E-3</v>
          </cell>
          <cell r="N526">
            <v>1.2800757217026298E-3</v>
          </cell>
          <cell r="O526">
            <v>1.3518124652300799E-3</v>
          </cell>
        </row>
        <row r="527">
          <cell r="A527" t="str">
            <v>D-SCOM_LTH_CHPWOD</v>
          </cell>
          <cell r="B527" t="str">
            <v>VAR_fout</v>
          </cell>
          <cell r="C527" t="str">
            <v>SCOM_LTH_CHPWOD_ON</v>
          </cell>
          <cell r="G527">
            <v>4.8164685251151276E-3</v>
          </cell>
          <cell r="H527">
            <v>3.6693132358060544E-3</v>
          </cell>
          <cell r="I527">
            <v>2.8504977717788253E-3</v>
          </cell>
          <cell r="J527">
            <v>4.0718923471986098E-3</v>
          </cell>
          <cell r="K527">
            <v>7.8850969452114398E-3</v>
          </cell>
          <cell r="L527">
            <v>7.1653666558659174E-3</v>
          </cell>
          <cell r="M527">
            <v>9.2152615021903576E-3</v>
          </cell>
          <cell r="N527">
            <v>9.4240319429861191E-3</v>
          </cell>
          <cell r="O527">
            <v>2.0626846688066188E-2</v>
          </cell>
        </row>
        <row r="528">
          <cell r="A528" t="str">
            <v>D-SCOM_LTH_CHPWOD</v>
          </cell>
          <cell r="B528" t="str">
            <v>VAR_fout</v>
          </cell>
          <cell r="C528" t="str">
            <v>LTH</v>
          </cell>
          <cell r="G528">
            <v>2.3475507303395984E-6</v>
          </cell>
          <cell r="H528">
            <v>3.2220631578252245E-6</v>
          </cell>
          <cell r="I528">
            <v>3.5565670513573462E-6</v>
          </cell>
          <cell r="J528">
            <v>6.9648419950139377E-6</v>
          </cell>
          <cell r="K528">
            <v>1.6046602695147694E-5</v>
          </cell>
          <cell r="L528">
            <v>1.6492051627647623E-5</v>
          </cell>
          <cell r="M528">
            <v>2.4934823764513609E-5</v>
          </cell>
          <cell r="N528">
            <v>2.8318935489750483E-5</v>
          </cell>
          <cell r="O528">
            <v>6.8916843892726168E-5</v>
          </cell>
        </row>
        <row r="529">
          <cell r="A529" t="str">
            <v>D-SCOM_LTH_CHPWOD</v>
          </cell>
          <cell r="B529" t="str">
            <v>VAR_fin</v>
          </cell>
          <cell r="C529" t="str">
            <v>SCOM_LTH_CHPWOD</v>
          </cell>
          <cell r="G529">
            <v>4.8198773618927503E-3</v>
          </cell>
          <cell r="H529">
            <v>3.6733518100006534E-3</v>
          </cell>
          <cell r="I529">
            <v>2.8548577556535728E-3</v>
          </cell>
          <cell r="J529">
            <v>4.0793383601580181E-3</v>
          </cell>
          <cell r="K529">
            <v>7.9013890669427777E-3</v>
          </cell>
          <cell r="L529">
            <v>7.182152228908798E-3</v>
          </cell>
          <cell r="M529">
            <v>9.2401963259548629E-3</v>
          </cell>
          <cell r="N529">
            <v>9.452350878475865E-3</v>
          </cell>
          <cell r="O529">
            <v>2.0695763531958924E-2</v>
          </cell>
        </row>
        <row r="530">
          <cell r="A530" t="str">
            <v>D-SCOM_KEV_BIO_ELC_CHP</v>
          </cell>
          <cell r="B530" t="str">
            <v>VAR_fout</v>
          </cell>
          <cell r="C530" t="str">
            <v>ELC5</v>
          </cell>
          <cell r="D530">
            <v>0.95915636151409056</v>
          </cell>
          <cell r="E530">
            <v>1.1059197770783911</v>
          </cell>
          <cell r="F530">
            <v>1.1058690609584918</v>
          </cell>
          <cell r="G530">
            <v>1.1056575991690001</v>
          </cell>
          <cell r="H530">
            <v>0.55696132006959853</v>
          </cell>
          <cell r="I530">
            <v>0.56666582178569547</v>
          </cell>
          <cell r="J530">
            <v>0.56575485095811562</v>
          </cell>
          <cell r="K530">
            <v>0.5539620485465222</v>
          </cell>
          <cell r="L530">
            <v>0.55415894936687549</v>
          </cell>
          <cell r="M530">
            <v>0.55474241329471796</v>
          </cell>
          <cell r="N530">
            <v>0.5538524642654179</v>
          </cell>
          <cell r="O530">
            <v>0.57891523139922074</v>
          </cell>
        </row>
        <row r="531">
          <cell r="A531" t="str">
            <v>D-SCOM_KEV_BIO_ELC_CHP</v>
          </cell>
          <cell r="B531" t="str">
            <v>VAR_fout</v>
          </cell>
          <cell r="C531" t="str">
            <v>SCOM_ELC</v>
          </cell>
          <cell r="D531">
            <v>2.1518296369318557E-4</v>
          </cell>
          <cell r="E531">
            <v>8.2849389350823222E-5</v>
          </cell>
          <cell r="F531">
            <v>1.3388902497079289E-4</v>
          </cell>
          <cell r="G531">
            <v>3.4444007752117508E-4</v>
          </cell>
          <cell r="H531">
            <v>0.54905070890113838</v>
          </cell>
          <cell r="I531">
            <v>0.53935900837821971</v>
          </cell>
          <cell r="J531">
            <v>0.54027105003634313</v>
          </cell>
          <cell r="K531">
            <v>0.55207767840273592</v>
          </cell>
          <cell r="L531">
            <v>0.55188051508793323</v>
          </cell>
          <cell r="M531">
            <v>0.55131432781520884</v>
          </cell>
          <cell r="N531">
            <v>0.55220869538497297</v>
          </cell>
          <cell r="O531">
            <v>0.57697603381404805</v>
          </cell>
        </row>
        <row r="532">
          <cell r="A532" t="str">
            <v>D-SCOM_KEV_BIO_ELC_CHP</v>
          </cell>
          <cell r="B532" t="str">
            <v>VAR_fin</v>
          </cell>
          <cell r="C532" t="str">
            <v>SCOM_KEV_BIO_ELC_CHP</v>
          </cell>
          <cell r="D532">
            <v>0.95937154447778306</v>
          </cell>
          <cell r="E532">
            <v>1.1060026264677421</v>
          </cell>
          <cell r="F532">
            <v>1.1060020092072389</v>
          </cell>
          <cell r="G532">
            <v>1.1059997394890209</v>
          </cell>
          <cell r="H532">
            <v>1.1060000247927093</v>
          </cell>
          <cell r="I532">
            <v>1.1060010550618784</v>
          </cell>
          <cell r="J532">
            <v>1.1060026591657277</v>
          </cell>
          <cell r="K532">
            <v>1.1060074028093589</v>
          </cell>
          <cell r="L532">
            <v>1.1060089377793842</v>
          </cell>
          <cell r="M532">
            <v>1.1060174126417279</v>
          </cell>
          <cell r="N532">
            <v>1.1060272334802825</v>
          </cell>
          <cell r="O532">
            <v>1.155836960213853</v>
          </cell>
        </row>
        <row r="533">
          <cell r="A533" t="str">
            <v>RHES-SHLTHCHPWOD</v>
          </cell>
          <cell r="B533" t="str">
            <v>VAR_fout</v>
          </cell>
          <cell r="C533" t="str">
            <v>RHES-SHLTHC-WOD</v>
          </cell>
          <cell r="G533">
            <v>1.0134125695619957E-3</v>
          </cell>
          <cell r="H533">
            <v>2.0992884360561048E-3</v>
          </cell>
          <cell r="I533">
            <v>2.1597267763864402E-3</v>
          </cell>
          <cell r="J533">
            <v>2.0768471519389126E-3</v>
          </cell>
          <cell r="K533">
            <v>3.2688060130847394E-3</v>
          </cell>
          <cell r="L533">
            <v>3.3789480115689703E-3</v>
          </cell>
          <cell r="M533">
            <v>3.5129603657185816E-3</v>
          </cell>
          <cell r="N533">
            <v>4.2878687738653366E-3</v>
          </cell>
          <cell r="O533">
            <v>8.7455553137598483E-3</v>
          </cell>
        </row>
        <row r="534">
          <cell r="A534" t="str">
            <v>RHES-SHLTHCHPWOD</v>
          </cell>
          <cell r="B534" t="str">
            <v>VAR_fin</v>
          </cell>
          <cell r="C534" t="str">
            <v>RHESLTHCHPC</v>
          </cell>
          <cell r="G534">
            <v>1.0134125695619957E-3</v>
          </cell>
          <cell r="H534">
            <v>2.0992884360561048E-3</v>
          </cell>
          <cell r="I534">
            <v>2.1597267763864402E-3</v>
          </cell>
          <cell r="J534">
            <v>2.0768471519389126E-3</v>
          </cell>
          <cell r="K534">
            <v>3.2688060130847394E-3</v>
          </cell>
          <cell r="L534">
            <v>3.3789480115689703E-3</v>
          </cell>
          <cell r="M534">
            <v>3.5129603657185816E-3</v>
          </cell>
          <cell r="N534">
            <v>4.2878687738653366E-3</v>
          </cell>
          <cell r="O534">
            <v>8.7455553137598483E-3</v>
          </cell>
        </row>
        <row r="535">
          <cell r="A535" t="str">
            <v>RHES-SHLTHCHPWOD</v>
          </cell>
          <cell r="B535" t="str">
            <v>VAR_fin</v>
          </cell>
          <cell r="C535" t="str">
            <v>RHES_LTH_CHPWOD_ON</v>
          </cell>
          <cell r="G535">
            <v>1.0236490601636312E-3</v>
          </cell>
          <cell r="H535">
            <v>2.1204933697536389E-3</v>
          </cell>
          <cell r="I535">
            <v>2.18154219837014E-3</v>
          </cell>
          <cell r="J535">
            <v>2.0978254059989031E-3</v>
          </cell>
          <cell r="K535">
            <v>3.3018242556411516E-3</v>
          </cell>
          <cell r="L535">
            <v>3.4130787995646202E-3</v>
          </cell>
          <cell r="M535">
            <v>3.5484448138571522E-3</v>
          </cell>
          <cell r="N535">
            <v>4.331180579661956E-3</v>
          </cell>
          <cell r="O535">
            <v>8.8338942563230827E-3</v>
          </cell>
        </row>
        <row r="536">
          <cell r="A536" t="str">
            <v>RHES-SHLTHCHPWOD</v>
          </cell>
          <cell r="B536" t="str">
            <v>VAR_ncap</v>
          </cell>
          <cell r="C536" t="str">
            <v>-</v>
          </cell>
          <cell r="G536">
            <v>1.3123960338326599E-4</v>
          </cell>
          <cell r="H536">
            <v>1.94025496684154E-4</v>
          </cell>
          <cell r="I536">
            <v>1.89351064938179E-4</v>
          </cell>
          <cell r="J536">
            <v>1.61414685223602E-4</v>
          </cell>
          <cell r="K536">
            <v>3.1130869879284601E-4</v>
          </cell>
          <cell r="L536">
            <v>2.43711169230763E-4</v>
          </cell>
          <cell r="M536">
            <v>3.0140908602575102E-4</v>
          </cell>
          <cell r="N536">
            <v>3.36487674310942E-4</v>
          </cell>
          <cell r="O536">
            <v>7.9522329693283603E-4</v>
          </cell>
        </row>
        <row r="537">
          <cell r="A537" t="str">
            <v>RHES-SHLTHCHPWOD</v>
          </cell>
          <cell r="B537" t="str">
            <v>VAR_cap</v>
          </cell>
          <cell r="C537" t="str">
            <v>-</v>
          </cell>
          <cell r="G537">
            <v>1.3123960338326599E-4</v>
          </cell>
          <cell r="H537">
            <v>2.4357948526299893E-4</v>
          </cell>
          <cell r="I537">
            <v>2.4895836602535903E-4</v>
          </cell>
          <cell r="J537">
            <v>2.4169435765505806E-4</v>
          </cell>
          <cell r="K537">
            <v>4.0547678031759005E-4</v>
          </cell>
          <cell r="L537">
            <v>3.6661220450541601E-4</v>
          </cell>
          <cell r="M537">
            <v>4.3880948902895103E-4</v>
          </cell>
          <cell r="N537">
            <v>4.8826385043553906E-4</v>
          </cell>
          <cell r="O537">
            <v>9.9997746656351198E-4</v>
          </cell>
        </row>
        <row r="538">
          <cell r="A538" t="str">
            <v>RHES-SHSTG-NGAHP</v>
          </cell>
          <cell r="B538" t="str">
            <v>VAR_fout</v>
          </cell>
          <cell r="C538" t="str">
            <v>RHES-SHANGAH</v>
          </cell>
          <cell r="F538">
            <v>9.6906911056098899E-5</v>
          </cell>
          <cell r="G538">
            <v>1.1835155719769635E-4</v>
          </cell>
          <cell r="H538">
            <v>1.5394355793402917E-3</v>
          </cell>
          <cell r="I538">
            <v>1.8166979720206629E-3</v>
          </cell>
          <cell r="J538">
            <v>1.5653738429032176E-3</v>
          </cell>
          <cell r="K538">
            <v>0.16653076336754249</v>
          </cell>
          <cell r="L538">
            <v>0.16549425442725488</v>
          </cell>
          <cell r="M538">
            <v>0.15551422052214869</v>
          </cell>
          <cell r="N538">
            <v>0.5794258980371223</v>
          </cell>
          <cell r="O538">
            <v>0.41352210404986761</v>
          </cell>
        </row>
        <row r="539">
          <cell r="A539" t="str">
            <v>RHES-SHSTG-NGAHP</v>
          </cell>
          <cell r="B539" t="str">
            <v>VAR_fin</v>
          </cell>
          <cell r="C539" t="str">
            <v>RHES-SHANGAH</v>
          </cell>
          <cell r="F539">
            <v>1.1237587986775123E-4</v>
          </cell>
          <cell r="G539">
            <v>1.1551148938778697E-4</v>
          </cell>
          <cell r="H539">
            <v>1.5454732696920167E-3</v>
          </cell>
          <cell r="I539">
            <v>1.8303567863217852E-3</v>
          </cell>
          <cell r="J539">
            <v>1.6095807676831933E-3</v>
          </cell>
          <cell r="K539">
            <v>0.16658470617577775</v>
          </cell>
          <cell r="L539">
            <v>0.16551877322381475</v>
          </cell>
          <cell r="M539">
            <v>0.15557048192021966</v>
          </cell>
          <cell r="N539">
            <v>0.57947902898303805</v>
          </cell>
          <cell r="O539">
            <v>0.41359914824589195</v>
          </cell>
        </row>
        <row r="540">
          <cell r="A540" t="str">
            <v>RHES-SHSTG-NGAHP</v>
          </cell>
          <cell r="B540" t="str">
            <v>VAR_ncap</v>
          </cell>
          <cell r="C540" t="str">
            <v>-</v>
          </cell>
          <cell r="D540">
            <v>7.0022479165729596E-6</v>
          </cell>
          <cell r="E540">
            <v>8.6393355595823804E-6</v>
          </cell>
          <cell r="F540">
            <v>3.1343295097388197E-5</v>
          </cell>
          <cell r="G540">
            <v>2.1501837981661E-5</v>
          </cell>
          <cell r="H540">
            <v>2.8298571995449102E-4</v>
          </cell>
          <cell r="I540">
            <v>8.5934535147688906E-5</v>
          </cell>
          <cell r="J540">
            <v>8.0723131006843699E-5</v>
          </cell>
          <cell r="K540">
            <v>2.3170445336101301E-2</v>
          </cell>
          <cell r="L540">
            <v>1.5305684170046201E-4</v>
          </cell>
          <cell r="M540">
            <v>2.9918400044708901E-4</v>
          </cell>
          <cell r="N540">
            <v>6.8671682722280802E-2</v>
          </cell>
          <cell r="O540">
            <v>4.1330634290320202E-3</v>
          </cell>
        </row>
        <row r="541">
          <cell r="A541" t="str">
            <v>RHES-SHSTG-NGAHP</v>
          </cell>
          <cell r="B541" t="str">
            <v>VAR_cap</v>
          </cell>
          <cell r="C541" t="str">
            <v>-</v>
          </cell>
          <cell r="D541">
            <v>7.0022479165729596E-6</v>
          </cell>
          <cell r="E541">
            <v>1.4750109414097065E-8</v>
          </cell>
          <cell r="F541">
            <v>2.3756354150418204E-5</v>
          </cell>
          <cell r="G541">
            <v>2.8026201420477105E-5</v>
          </cell>
          <cell r="H541">
            <v>3.0973258230715069E-4</v>
          </cell>
          <cell r="I541">
            <v>3.5434688855003738E-4</v>
          </cell>
          <cell r="J541">
            <v>3.580521146666312E-4</v>
          </cell>
          <cell r="K541">
            <v>2.3270076338633566E-2</v>
          </cell>
          <cell r="L541">
            <v>2.3272448650451E-2</v>
          </cell>
          <cell r="M541">
            <v>2.326957910148619E-2</v>
          </cell>
          <cell r="N541">
            <v>7.293938589678696E-2</v>
          </cell>
          <cell r="O541">
            <v>7.2916041730571687E-2</v>
          </cell>
        </row>
        <row r="542">
          <cell r="A542" t="str">
            <v>D-RHNS_SOLELC</v>
          </cell>
          <cell r="B542" t="str">
            <v>VAR_fout</v>
          </cell>
          <cell r="C542" t="str">
            <v>RHNS_ELC</v>
          </cell>
          <cell r="E542">
            <v>1.6183186425754388E-5</v>
          </cell>
          <cell r="F542">
            <v>1.0141644943694476E-3</v>
          </cell>
          <cell r="G542">
            <v>1.2585591655199365E-3</v>
          </cell>
          <cell r="H542">
            <v>1.285897156224977E-3</v>
          </cell>
          <cell r="I542">
            <v>1.3626531492140629E-3</v>
          </cell>
          <cell r="J542">
            <v>1.4367527979361713E-3</v>
          </cell>
          <cell r="K542">
            <v>1.396628188302401E-3</v>
          </cell>
          <cell r="L542">
            <v>1.5709178960776565E-3</v>
          </cell>
          <cell r="M542">
            <v>1.5251905647639535E-3</v>
          </cell>
          <cell r="N542">
            <v>1.6214651494652942E-3</v>
          </cell>
          <cell r="O542">
            <v>1.6366718822521942E-3</v>
          </cell>
        </row>
        <row r="543">
          <cell r="A543" t="str">
            <v>D-RHNS_SOLELC</v>
          </cell>
          <cell r="B543" t="str">
            <v>VAR_fout</v>
          </cell>
          <cell r="C543" t="str">
            <v>ELC5</v>
          </cell>
          <cell r="E543">
            <v>1.6181741096729973E-5</v>
          </cell>
          <cell r="F543">
            <v>1.0336402953953808E-3</v>
          </cell>
          <cell r="G543">
            <v>1.2960848333898151E-3</v>
          </cell>
          <cell r="H543">
            <v>1.3192366801817973E-3</v>
          </cell>
          <cell r="I543">
            <v>1.3771062108661246E-3</v>
          </cell>
          <cell r="J543">
            <v>1.4588331944466067E-3</v>
          </cell>
          <cell r="K543">
            <v>1.3776056201414456E-3</v>
          </cell>
          <cell r="L543">
            <v>1.5629870279185879E-3</v>
          </cell>
          <cell r="M543">
            <v>1.5056268827118352E-3</v>
          </cell>
          <cell r="N543">
            <v>1.6045125586347732E-3</v>
          </cell>
          <cell r="O543">
            <v>1.6044036286845674E-3</v>
          </cell>
        </row>
        <row r="544">
          <cell r="A544" t="str">
            <v>D-RHNS_SOLELC</v>
          </cell>
          <cell r="B544" t="str">
            <v>VAR_fin</v>
          </cell>
          <cell r="C544" t="str">
            <v>RHNS_SOL_ELC</v>
          </cell>
          <cell r="E544">
            <v>3.1636437198465019E-5</v>
          </cell>
          <cell r="F544">
            <v>2.0478047897648293E-3</v>
          </cell>
          <cell r="G544">
            <v>2.5546439989097532E-3</v>
          </cell>
          <cell r="H544">
            <v>2.6051338364067749E-3</v>
          </cell>
          <cell r="I544">
            <v>2.7397593600801897E-3</v>
          </cell>
          <cell r="J544">
            <v>2.8955859923827779E-3</v>
          </cell>
          <cell r="K544">
            <v>2.7742338084438441E-3</v>
          </cell>
          <cell r="L544">
            <v>3.1339049239962435E-3</v>
          </cell>
          <cell r="M544">
            <v>3.0308174474757889E-3</v>
          </cell>
          <cell r="N544">
            <v>3.2259777081000696E-3</v>
          </cell>
          <cell r="O544">
            <v>3.2410755109367629E-3</v>
          </cell>
        </row>
        <row r="545">
          <cell r="A545" t="str">
            <v>D-IHFO</v>
          </cell>
          <cell r="B545" t="str">
            <v>VAR_fout</v>
          </cell>
          <cell r="C545" t="str">
            <v>CO2</v>
          </cell>
          <cell r="D545">
            <v>213.78071173619699</v>
          </cell>
          <cell r="E545">
            <v>177.64135892721501</v>
          </cell>
          <cell r="F545">
            <v>0.24920234802098901</v>
          </cell>
          <cell r="G545">
            <v>7.0518207378904504E-2</v>
          </cell>
          <cell r="H545">
            <v>0.11036419989893</v>
          </cell>
          <cell r="I545">
            <v>9.9600929900093907E-2</v>
          </cell>
          <cell r="J545">
            <v>0.11292900342852701</v>
          </cell>
        </row>
        <row r="546">
          <cell r="A546" t="str">
            <v>D-IHFO</v>
          </cell>
          <cell r="B546" t="str">
            <v>VAR_fout</v>
          </cell>
          <cell r="C546" t="str">
            <v>IHFO</v>
          </cell>
          <cell r="D546">
            <v>2.7300042170278207</v>
          </cell>
          <cell r="E546">
            <v>2.2685005352039722</v>
          </cell>
          <cell r="F546">
            <v>3.1823425764904607E-3</v>
          </cell>
          <cell r="G546">
            <v>9.0052559914391547E-4</v>
          </cell>
          <cell r="H546">
            <v>1.4093634953595583E-3</v>
          </cell>
          <cell r="I546">
            <v>1.2719153025492918E-3</v>
          </cell>
          <cell r="J546">
            <v>1.4421163307055563E-3</v>
          </cell>
        </row>
        <row r="547">
          <cell r="A547" t="str">
            <v>D-IHFO</v>
          </cell>
          <cell r="B547" t="str">
            <v>VAR_fin</v>
          </cell>
          <cell r="C547" t="str">
            <v>HFO</v>
          </cell>
          <cell r="D547">
            <v>2.7763728796908738</v>
          </cell>
          <cell r="E547">
            <v>2.3070306354183776</v>
          </cell>
          <cell r="F547">
            <v>3.2363941301427105E-3</v>
          </cell>
          <cell r="G547">
            <v>9.1582087505070846E-4</v>
          </cell>
          <cell r="H547">
            <v>1.4333012973887045E-3</v>
          </cell>
          <cell r="I547">
            <v>1.2935185701310884E-3</v>
          </cell>
          <cell r="J547">
            <v>1.4666104341367115E-3</v>
          </cell>
        </row>
        <row r="548">
          <cell r="A548" t="str">
            <v>RHEM-SHCONBR</v>
          </cell>
          <cell r="B548" t="str">
            <v>VAR_fout</v>
          </cell>
          <cell r="C548" t="str">
            <v>RHEM-SHCON</v>
          </cell>
          <cell r="F548">
            <v>1.4238372923470769E-4</v>
          </cell>
          <cell r="G548">
            <v>9.4515688269062619E-5</v>
          </cell>
          <cell r="H548">
            <v>1.3137154715386098E-4</v>
          </cell>
          <cell r="I548">
            <v>1.3077114705639173E-4</v>
          </cell>
          <cell r="J548">
            <v>1.2990510211571146E-4</v>
          </cell>
          <cell r="K548">
            <v>4.6632882426623752E-4</v>
          </cell>
          <cell r="L548">
            <v>4.3530247067301146E-4</v>
          </cell>
          <cell r="M548">
            <v>4.71167144450831E-4</v>
          </cell>
          <cell r="N548">
            <v>4.3884197457532445E-4</v>
          </cell>
          <cell r="O548">
            <v>5.5517136979645206E-4</v>
          </cell>
        </row>
        <row r="549">
          <cell r="A549" t="str">
            <v>RHEM-SHCONBR</v>
          </cell>
          <cell r="B549" t="str">
            <v>VAR_fin</v>
          </cell>
          <cell r="C549" t="str">
            <v>CON</v>
          </cell>
          <cell r="F549">
            <v>1.4238372923470769E-4</v>
          </cell>
          <cell r="G549">
            <v>9.4515688269062619E-5</v>
          </cell>
          <cell r="H549">
            <v>1.3137154715386098E-4</v>
          </cell>
          <cell r="I549">
            <v>1.3077114705639173E-4</v>
          </cell>
          <cell r="J549">
            <v>1.2990510211571146E-4</v>
          </cell>
          <cell r="K549">
            <v>4.6632882426623752E-4</v>
          </cell>
          <cell r="L549">
            <v>4.3530247067301146E-4</v>
          </cell>
          <cell r="M549">
            <v>4.71167144450831E-4</v>
          </cell>
          <cell r="N549">
            <v>4.3884197457532445E-4</v>
          </cell>
          <cell r="O549">
            <v>5.5517136979645206E-4</v>
          </cell>
        </row>
        <row r="550">
          <cell r="A550" t="str">
            <v>RHEM-SHCONBR</v>
          </cell>
          <cell r="B550" t="str">
            <v>VAR_ncap</v>
          </cell>
          <cell r="C550" t="str">
            <v>-</v>
          </cell>
          <cell r="D550">
            <v>2.4655175063128701E-8</v>
          </cell>
          <cell r="E550">
            <v>4.57658991978097E-8</v>
          </cell>
          <cell r="F550">
            <v>3.8540547388466704E-6</v>
          </cell>
          <cell r="G550">
            <v>2.08680231155305E-7</v>
          </cell>
          <cell r="H550">
            <v>5.7171432388585304E-7</v>
          </cell>
          <cell r="I550">
            <v>1.9299778730434401E-7</v>
          </cell>
          <cell r="J550">
            <v>1.3235654353977901E-7</v>
          </cell>
          <cell r="K550">
            <v>2.0900001203981799E-5</v>
          </cell>
          <cell r="L550">
            <v>1.0017350226310801E-6</v>
          </cell>
          <cell r="M550">
            <v>1.4944562642045399E-7</v>
          </cell>
          <cell r="N550">
            <v>2.6569381488730498E-7</v>
          </cell>
          <cell r="O550">
            <v>3.6617361916800901E-6</v>
          </cell>
        </row>
        <row r="551">
          <cell r="A551" t="str">
            <v>RHEM-SHCONBR</v>
          </cell>
          <cell r="B551" t="str">
            <v>VAR_cap</v>
          </cell>
          <cell r="C551" t="str">
            <v>-</v>
          </cell>
          <cell r="D551">
            <v>2.4655175063128701E-8</v>
          </cell>
          <cell r="E551">
            <v>-2.0438701176704617E-6</v>
          </cell>
          <cell r="F551">
            <v>3.8545021112023001E-6</v>
          </cell>
          <cell r="G551">
            <v>4.0623124020090462E-6</v>
          </cell>
          <cell r="H551">
            <v>4.5330532333499262E-6</v>
          </cell>
          <cell r="I551">
            <v>4.6923410379438442E-6</v>
          </cell>
          <cell r="J551">
            <v>4.7159784953896909E-6</v>
          </cell>
          <cell r="K551">
            <v>2.5342686791644821E-5</v>
          </cell>
          <cell r="L551">
            <v>2.6650891736289069E-5</v>
          </cell>
          <cell r="M551">
            <v>2.6071717353369379E-5</v>
          </cell>
          <cell r="N551">
            <v>2.6731131588182915E-5</v>
          </cell>
          <cell r="O551">
            <v>3.085048487503367E-5</v>
          </cell>
        </row>
        <row r="552">
          <cell r="A552" t="str">
            <v>RHEM-SHSOLBR</v>
          </cell>
          <cell r="B552" t="str">
            <v>VAR_fout</v>
          </cell>
          <cell r="C552" t="str">
            <v>RHEM-SHASOL</v>
          </cell>
          <cell r="D552">
            <v>0.40802191979294267</v>
          </cell>
          <cell r="E552">
            <v>0.47088396993197967</v>
          </cell>
          <cell r="F552">
            <v>0.47060716384390344</v>
          </cell>
          <cell r="G552">
            <v>0.47071668900168168</v>
          </cell>
          <cell r="H552">
            <v>0.44275254138322634</v>
          </cell>
          <cell r="I552">
            <v>0.47061014116291983</v>
          </cell>
          <cell r="J552">
            <v>0.46954424718317378</v>
          </cell>
          <cell r="K552">
            <v>0.42511739637301876</v>
          </cell>
          <cell r="L552">
            <v>0.46171671783227453</v>
          </cell>
          <cell r="M552">
            <v>0.40364576051247752</v>
          </cell>
          <cell r="N552">
            <v>0.43610109192282531</v>
          </cell>
          <cell r="O552">
            <v>0.36982031805709448</v>
          </cell>
        </row>
        <row r="553">
          <cell r="A553" t="str">
            <v>RHEM-SHSOLBR</v>
          </cell>
          <cell r="B553" t="str">
            <v>VAR_fin</v>
          </cell>
          <cell r="C553" t="str">
            <v>SOL</v>
          </cell>
          <cell r="D553">
            <v>0.40802191979294267</v>
          </cell>
          <cell r="E553">
            <v>0.47088396993197967</v>
          </cell>
          <cell r="F553">
            <v>0.47060716384390344</v>
          </cell>
          <cell r="G553">
            <v>0.47071668900168168</v>
          </cell>
          <cell r="H553">
            <v>0.44275254138322634</v>
          </cell>
          <cell r="I553">
            <v>0.47061014116291983</v>
          </cell>
          <cell r="J553">
            <v>0.46954424718317378</v>
          </cell>
          <cell r="K553">
            <v>0.42511739637301876</v>
          </cell>
          <cell r="L553">
            <v>0.46171671783227453</v>
          </cell>
          <cell r="M553">
            <v>0.40364576051247752</v>
          </cell>
          <cell r="N553">
            <v>0.43610109192282531</v>
          </cell>
          <cell r="O553">
            <v>0.36982031805709448</v>
          </cell>
        </row>
        <row r="554">
          <cell r="A554" t="str">
            <v>RHEM-SHSOLBR</v>
          </cell>
          <cell r="B554" t="str">
            <v>VAR_ncap</v>
          </cell>
          <cell r="C554" t="str">
            <v>-</v>
          </cell>
          <cell r="D554">
            <v>1.5291634358154999E-4</v>
          </cell>
          <cell r="E554">
            <v>8.9871940834789395E-3</v>
          </cell>
          <cell r="F554">
            <v>2.18936158662648E-7</v>
          </cell>
          <cell r="G554">
            <v>3.81133777610623E-7</v>
          </cell>
          <cell r="H554">
            <v>4.8382783828872601E-2</v>
          </cell>
          <cell r="I554">
            <v>2.0011362221087601E-2</v>
          </cell>
          <cell r="J554">
            <v>7.6260507337807897E-7</v>
          </cell>
          <cell r="K554">
            <v>4.83804959456915E-2</v>
          </cell>
          <cell r="L554">
            <v>1.69359261291494E-2</v>
          </cell>
          <cell r="M554">
            <v>3.0754981565098301E-3</v>
          </cell>
          <cell r="N554">
            <v>4.51789773331625E-2</v>
          </cell>
          <cell r="O554">
            <v>2.0138301771104199E-2</v>
          </cell>
        </row>
        <row r="555">
          <cell r="A555" t="str">
            <v>RHEM-SHSOLBR</v>
          </cell>
          <cell r="B555" t="str">
            <v>VAR_cap</v>
          </cell>
          <cell r="C555" t="str">
            <v>-</v>
          </cell>
          <cell r="D555">
            <v>5.940783776061985E-2</v>
          </cell>
          <cell r="E555">
            <v>6.8395031844098786E-2</v>
          </cell>
          <cell r="F555">
            <v>6.8395250780257447E-2</v>
          </cell>
          <cell r="G555">
            <v>6.8395631914035054E-2</v>
          </cell>
          <cell r="H555">
            <v>6.8394419876811094E-2</v>
          </cell>
          <cell r="I555">
            <v>6.8394500650156606E-2</v>
          </cell>
          <cell r="J555">
            <v>6.8394908655033601E-2</v>
          </cell>
          <cell r="K555">
            <v>6.83926207718525E-2</v>
          </cell>
          <cell r="L555">
            <v>6.8391911047886195E-2</v>
          </cell>
          <cell r="M555">
            <v>6.8391920231350697E-2</v>
          </cell>
          <cell r="N555">
            <v>6.8390727667448095E-2</v>
          </cell>
          <cell r="O555">
            <v>6.8392777260776499E-2</v>
          </cell>
        </row>
        <row r="556">
          <cell r="A556" t="str">
            <v>SCOM-SHH2BR</v>
          </cell>
          <cell r="B556" t="str">
            <v>VAR_fout</v>
          </cell>
          <cell r="C556" t="str">
            <v>SCOM-SHH2B</v>
          </cell>
          <cell r="G556">
            <v>5.6722351448929378E-4</v>
          </cell>
          <cell r="H556">
            <v>1.3654498035103398E-3</v>
          </cell>
          <cell r="I556">
            <v>2.0001463008748228E-3</v>
          </cell>
          <cell r="J556">
            <v>1.5438396505406621E-3</v>
          </cell>
          <cell r="K556">
            <v>7.7520118735975134E-3</v>
          </cell>
          <cell r="L556">
            <v>6.4890560428250794E-3</v>
          </cell>
          <cell r="M556">
            <v>0.10490354676480908</v>
          </cell>
          <cell r="N556">
            <v>0.147041215000807</v>
          </cell>
          <cell r="O556">
            <v>0.12534401805110076</v>
          </cell>
        </row>
        <row r="557">
          <cell r="A557" t="str">
            <v>SCOM-SHH2BR</v>
          </cell>
          <cell r="B557" t="str">
            <v>VAR_fin</v>
          </cell>
          <cell r="C557" t="str">
            <v>RSH2</v>
          </cell>
          <cell r="G557">
            <v>5.9909000406734275E-4</v>
          </cell>
          <cell r="H557">
            <v>1.442160466628897E-3</v>
          </cell>
          <cell r="I557">
            <v>2.1125140705868877E-3</v>
          </cell>
          <cell r="J557">
            <v>1.6305722151777771E-3</v>
          </cell>
          <cell r="K557">
            <v>8.1875181586310835E-3</v>
          </cell>
          <cell r="L557">
            <v>6.8536097530961584E-3</v>
          </cell>
          <cell r="M557">
            <v>0.11079700444822541</v>
          </cell>
          <cell r="N557">
            <v>0.15530195741658262</v>
          </cell>
          <cell r="O557">
            <v>0.13238581681801659</v>
          </cell>
        </row>
        <row r="558">
          <cell r="A558" t="str">
            <v>SCOM-SHH2BR</v>
          </cell>
          <cell r="B558" t="str">
            <v>VAR_ncap</v>
          </cell>
          <cell r="C558" t="str">
            <v>-</v>
          </cell>
          <cell r="G558">
            <v>7.3302661562923797E-5</v>
          </cell>
          <cell r="H558">
            <v>1.02039090785304E-4</v>
          </cell>
          <cell r="I558">
            <v>9.3289888770518804E-5</v>
          </cell>
          <cell r="J558">
            <v>7.2612564449546097E-6</v>
          </cell>
          <cell r="K558">
            <v>7.4623836462307303E-4</v>
          </cell>
          <cell r="L558">
            <v>9.3477263342216705E-6</v>
          </cell>
          <cell r="M558">
            <v>7.9342241612790493E-3</v>
          </cell>
          <cell r="N558">
            <v>5.3441458502852196E-3</v>
          </cell>
          <cell r="O558">
            <v>1.0322671387876801E-4</v>
          </cell>
        </row>
        <row r="559">
          <cell r="A559" t="str">
            <v>SCOM-SHH2BR</v>
          </cell>
          <cell r="B559" t="str">
            <v>VAR_cap</v>
          </cell>
          <cell r="C559" t="str">
            <v>-</v>
          </cell>
          <cell r="G559">
            <v>7.3302661562923797E-5</v>
          </cell>
          <cell r="H559">
            <v>1.7476948449127324E-4</v>
          </cell>
          <cell r="I559">
            <v>2.5314205955444139E-4</v>
          </cell>
          <cell r="J559">
            <v>1.9949632247219046E-4</v>
          </cell>
          <cell r="K559">
            <v>8.4430553099922555E-4</v>
          </cell>
          <cell r="L559">
            <v>7.7244603744062448E-4</v>
          </cell>
          <cell r="M559">
            <v>8.6864447331000648E-3</v>
          </cell>
          <cell r="N559">
            <v>1.3412405571911023E-2</v>
          </cell>
          <cell r="O559">
            <v>1.3377935104533641E-2</v>
          </cell>
        </row>
        <row r="560">
          <cell r="A560" t="str">
            <v>ITOT-SWHCONBR1</v>
          </cell>
          <cell r="B560" t="str">
            <v>VAR_fout</v>
          </cell>
          <cell r="C560" t="str">
            <v>ITOT-ELS</v>
          </cell>
          <cell r="E560">
            <v>0.85059929871419693</v>
          </cell>
          <cell r="F560">
            <v>0.85059996268234628</v>
          </cell>
          <cell r="G560">
            <v>0.85051616307650679</v>
          </cell>
          <cell r="H560">
            <v>0.84967467671200003</v>
          </cell>
          <cell r="I560">
            <v>0.84943031349511888</v>
          </cell>
          <cell r="J560">
            <v>0.84942304473058361</v>
          </cell>
          <cell r="K560">
            <v>0.84895620029794483</v>
          </cell>
          <cell r="L560">
            <v>0.84908910168567708</v>
          </cell>
          <cell r="M560">
            <v>0.84839617417311208</v>
          </cell>
          <cell r="N560">
            <v>0.84871839950752115</v>
          </cell>
          <cell r="O560">
            <v>0.84680518265346416</v>
          </cell>
        </row>
        <row r="561">
          <cell r="A561" t="str">
            <v>ITOT-SWHCONBR1</v>
          </cell>
          <cell r="B561" t="str">
            <v>VAR_fout</v>
          </cell>
          <cell r="C561" t="str">
            <v>ITOT-SWHC</v>
          </cell>
          <cell r="E561">
            <v>4.0436220042820583</v>
          </cell>
          <cell r="F561">
            <v>4.0436251606874549</v>
          </cell>
          <cell r="G561">
            <v>4.0432267898792089</v>
          </cell>
          <cell r="H561">
            <v>4.0392264894028651</v>
          </cell>
          <cell r="I561">
            <v>4.0380648231725855</v>
          </cell>
          <cell r="J561">
            <v>4.0380302685517862</v>
          </cell>
          <cell r="K561">
            <v>4.0358109598558478</v>
          </cell>
          <cell r="L561">
            <v>4.0364427532004301</v>
          </cell>
          <cell r="M561">
            <v>4.033148679314623</v>
          </cell>
          <cell r="N561">
            <v>4.034680490420655</v>
          </cell>
          <cell r="O561">
            <v>4.0255853432911897</v>
          </cell>
        </row>
        <row r="562">
          <cell r="A562" t="str">
            <v>ITOT-SWHCONBR1</v>
          </cell>
          <cell r="B562" t="str">
            <v>VAR_fin</v>
          </cell>
          <cell r="C562" t="str">
            <v>CON</v>
          </cell>
          <cell r="E562">
            <v>4.8942213029962556</v>
          </cell>
          <cell r="F562">
            <v>4.8942251233698046</v>
          </cell>
          <cell r="G562">
            <v>4.8937429529557193</v>
          </cell>
          <cell r="H562">
            <v>4.8889011661148665</v>
          </cell>
          <cell r="I562">
            <v>4.887495136667706</v>
          </cell>
          <cell r="J562">
            <v>4.8874533132823714</v>
          </cell>
          <cell r="K562">
            <v>4.8847671601537952</v>
          </cell>
          <cell r="L562">
            <v>4.8855318548861053</v>
          </cell>
          <cell r="M562">
            <v>4.8815448534877381</v>
          </cell>
          <cell r="N562">
            <v>4.8833988899281717</v>
          </cell>
          <cell r="O562">
            <v>4.8723905259446489</v>
          </cell>
        </row>
        <row r="563">
          <cell r="A563" t="str">
            <v>ITOT-SWHCONBR1</v>
          </cell>
          <cell r="B563" t="str">
            <v>VAR_ncap</v>
          </cell>
          <cell r="C563" t="str">
            <v>-</v>
          </cell>
          <cell r="E563">
            <v>0.26616392934524302</v>
          </cell>
          <cell r="F563">
            <v>1.4257553084821499E-7</v>
          </cell>
          <cell r="G563">
            <v>8.1416639419820903E-8</v>
          </cell>
          <cell r="H563">
            <v>0.12951288494070201</v>
          </cell>
          <cell r="I563">
            <v>0.13628907136753199</v>
          </cell>
          <cell r="J563">
            <v>3.5478451636827799E-7</v>
          </cell>
          <cell r="K563">
            <v>0.12936719762681101</v>
          </cell>
          <cell r="L563">
            <v>0.115387237397011</v>
          </cell>
          <cell r="M563">
            <v>2.0728654109873401E-2</v>
          </cell>
          <cell r="N563">
            <v>0.143133164462071</v>
          </cell>
          <cell r="O563">
            <v>0.101128235560903</v>
          </cell>
        </row>
        <row r="564">
          <cell r="A564" t="str">
            <v>ITOT-SWHCONBR1</v>
          </cell>
          <cell r="B564" t="str">
            <v>VAR_cap</v>
          </cell>
          <cell r="C564" t="str">
            <v>-</v>
          </cell>
          <cell r="E564">
            <v>0.26616392934524302</v>
          </cell>
          <cell r="F564">
            <v>0.26616407192077401</v>
          </cell>
          <cell r="G564">
            <v>0.266164153337413</v>
          </cell>
          <cell r="H564">
            <v>0.265880547608147</v>
          </cell>
          <cell r="I564">
            <v>0.26580205217603797</v>
          </cell>
          <cell r="J564">
            <v>0.26580231109274999</v>
          </cell>
          <cell r="K564">
            <v>0.26565662377886001</v>
          </cell>
          <cell r="L564">
            <v>0.26569611439020402</v>
          </cell>
          <cell r="M564">
            <v>0.265483089133696</v>
          </cell>
          <cell r="N564">
            <v>0.26558348887366001</v>
          </cell>
          <cell r="O564">
            <v>0.26499005413284799</v>
          </cell>
        </row>
        <row r="565">
          <cell r="A565" t="str">
            <v>SCOM-SHLTHCHPWOD</v>
          </cell>
          <cell r="B565" t="str">
            <v>VAR_fout</v>
          </cell>
          <cell r="C565" t="str">
            <v>SCOM-SHLTHC-WOD</v>
          </cell>
          <cell r="G565">
            <v>4.7683038398639785E-3</v>
          </cell>
          <cell r="H565">
            <v>3.632620103447992E-3</v>
          </cell>
          <cell r="I565">
            <v>2.8219927940610358E-3</v>
          </cell>
          <cell r="J565">
            <v>4.0311734237266257E-3</v>
          </cell>
          <cell r="K565">
            <v>7.8062459757593334E-3</v>
          </cell>
          <cell r="L565">
            <v>7.0937129893072588E-3</v>
          </cell>
          <cell r="M565">
            <v>9.1231088871684615E-3</v>
          </cell>
          <cell r="N565">
            <v>9.329791623556254E-3</v>
          </cell>
          <cell r="O565">
            <v>2.042057822118553E-2</v>
          </cell>
        </row>
        <row r="566">
          <cell r="A566" t="str">
            <v>SCOM-SHLTHCHPWOD</v>
          </cell>
          <cell r="B566" t="str">
            <v>VAR_fin</v>
          </cell>
          <cell r="C566" t="str">
            <v>SCOM_LTH_CHPWOD_ON</v>
          </cell>
          <cell r="G566">
            <v>4.8164685251151276E-3</v>
          </cell>
          <cell r="H566">
            <v>3.6693132358060544E-3</v>
          </cell>
          <cell r="I566">
            <v>2.8504977717788253E-3</v>
          </cell>
          <cell r="J566">
            <v>4.0718923471986098E-3</v>
          </cell>
          <cell r="K566">
            <v>7.8850969452114398E-3</v>
          </cell>
          <cell r="L566">
            <v>7.1653666558659174E-3</v>
          </cell>
          <cell r="M566">
            <v>9.2152615021903576E-3</v>
          </cell>
          <cell r="N566">
            <v>9.4240319429861191E-3</v>
          </cell>
          <cell r="O566">
            <v>2.0626846688066188E-2</v>
          </cell>
        </row>
        <row r="567">
          <cell r="A567" t="str">
            <v>SCOM-SHLTHCHPWOD</v>
          </cell>
          <cell r="B567" t="str">
            <v>VAR_fin</v>
          </cell>
          <cell r="C567" t="str">
            <v>SCOMLTHCHPC</v>
          </cell>
          <cell r="G567">
            <v>4.7683038398639785E-3</v>
          </cell>
          <cell r="H567">
            <v>3.632620103447992E-3</v>
          </cell>
          <cell r="I567">
            <v>2.8219927940610358E-3</v>
          </cell>
          <cell r="J567">
            <v>4.0311734237266257E-3</v>
          </cell>
          <cell r="K567">
            <v>7.8062459757593334E-3</v>
          </cell>
          <cell r="L567">
            <v>7.0937129893072588E-3</v>
          </cell>
          <cell r="M567">
            <v>9.1231088871684615E-3</v>
          </cell>
          <cell r="N567">
            <v>9.329791623556254E-3</v>
          </cell>
          <cell r="O567">
            <v>2.042057822118553E-2</v>
          </cell>
        </row>
        <row r="568">
          <cell r="A568" t="str">
            <v>SCOM-SHLTHCHPWOD</v>
          </cell>
          <cell r="B568" t="str">
            <v>VAR_ncap</v>
          </cell>
          <cell r="C568" t="str">
            <v>-</v>
          </cell>
          <cell r="G568">
            <v>3.8018907975039798E-4</v>
          </cell>
          <cell r="H568">
            <v>2.8214500130591802E-4</v>
          </cell>
          <cell r="I568">
            <v>2.3240932565663801E-4</v>
          </cell>
          <cell r="J568">
            <v>2.4496380061085198E-4</v>
          </cell>
          <cell r="K568">
            <v>4.9906023401130703E-4</v>
          </cell>
          <cell r="L568">
            <v>3.87875137018448E-4</v>
          </cell>
          <cell r="M568">
            <v>5.5594083747025004E-4</v>
          </cell>
          <cell r="N568">
            <v>4.9974488023392697E-4</v>
          </cell>
          <cell r="O568">
            <v>1.3360976481638499E-3</v>
          </cell>
        </row>
        <row r="569">
          <cell r="A569" t="str">
            <v>SCOM-SHLTHCHPWOD</v>
          </cell>
          <cell r="B569" t="str">
            <v>VAR_cap</v>
          </cell>
          <cell r="C569" t="str">
            <v>-</v>
          </cell>
          <cell r="G569">
            <v>3.8018907975039798E-4</v>
          </cell>
          <cell r="H569">
            <v>3.7569428069161696E-4</v>
          </cell>
          <cell r="I569">
            <v>3.1447035928787405E-4</v>
          </cell>
          <cell r="J569">
            <v>3.5830376941375496E-4</v>
          </cell>
          <cell r="K569">
            <v>6.4261966609114305E-4</v>
          </cell>
          <cell r="L569">
            <v>5.8629830626446102E-4</v>
          </cell>
          <cell r="M569">
            <v>7.923454572799811E-4</v>
          </cell>
          <cell r="N569">
            <v>7.5569844772865598E-4</v>
          </cell>
          <cell r="O569">
            <v>1.655018040142332E-3</v>
          </cell>
        </row>
        <row r="570">
          <cell r="A570" t="str">
            <v>SCOM-SHSTG-NGAHP</v>
          </cell>
          <cell r="B570" t="str">
            <v>VAR_fout</v>
          </cell>
          <cell r="C570" t="str">
            <v>SCOM-SHANGAH</v>
          </cell>
          <cell r="D570">
            <v>3.069350885120172E-4</v>
          </cell>
          <cell r="E570">
            <v>7.2628310743354501E-4</v>
          </cell>
          <cell r="F570">
            <v>2.0654412115347297E-3</v>
          </cell>
          <cell r="G570">
            <v>1.9149164911695662E-3</v>
          </cell>
          <cell r="H570">
            <v>4.9933803002207774E-3</v>
          </cell>
          <cell r="I570">
            <v>5.3313066792337474E-3</v>
          </cell>
          <cell r="J570">
            <v>9.6074994863370074E-3</v>
          </cell>
          <cell r="K570">
            <v>1.9649382215534545E-2</v>
          </cell>
          <cell r="L570">
            <v>1.0776473524561313E-2</v>
          </cell>
          <cell r="M570">
            <v>2.5175791428690926E-2</v>
          </cell>
          <cell r="N570">
            <v>1.9137800914969742E-2</v>
          </cell>
          <cell r="O570">
            <v>4.0189825956907572E-2</v>
          </cell>
        </row>
        <row r="571">
          <cell r="A571" t="str">
            <v>SCOM-SHSTG-NGAHP</v>
          </cell>
          <cell r="B571" t="str">
            <v>VAR_fin</v>
          </cell>
          <cell r="C571" t="str">
            <v>SCOM-SHANGAH</v>
          </cell>
          <cell r="D571">
            <v>3.069350885120172E-4</v>
          </cell>
          <cell r="E571">
            <v>7.2628310743354501E-4</v>
          </cell>
          <cell r="F571">
            <v>2.6506684689424111E-3</v>
          </cell>
          <cell r="G571">
            <v>2.3819322509440518E-3</v>
          </cell>
          <cell r="H571">
            <v>6.0445686580217544E-3</v>
          </cell>
          <cell r="I571">
            <v>6.2617542817104098E-3</v>
          </cell>
          <cell r="J571">
            <v>1.0972589411800435E-2</v>
          </cell>
          <cell r="K571">
            <v>2.1820045322521159E-2</v>
          </cell>
          <cell r="L571">
            <v>1.196813476882742E-2</v>
          </cell>
          <cell r="M571">
            <v>2.7960609552905608E-2</v>
          </cell>
          <cell r="N571">
            <v>2.1260254076750789E-2</v>
          </cell>
          <cell r="O571">
            <v>4.4642912947975046E-2</v>
          </cell>
        </row>
        <row r="572">
          <cell r="A572" t="str">
            <v>SCOM-SHSTG-NGAHP</v>
          </cell>
          <cell r="B572" t="str">
            <v>VAR_ncap</v>
          </cell>
          <cell r="C572" t="str">
            <v>-</v>
          </cell>
          <cell r="D572">
            <v>1.0665743403676701E-3</v>
          </cell>
          <cell r="E572">
            <v>7.6671710016919202E-6</v>
          </cell>
          <cell r="F572">
            <v>3.9035640856772199E-5</v>
          </cell>
          <cell r="G572">
            <v>2.47902027411687E-5</v>
          </cell>
          <cell r="H572">
            <v>1.41427722488771E-4</v>
          </cell>
          <cell r="I572">
            <v>1.33376457108061E-4</v>
          </cell>
          <cell r="J572">
            <v>3.1025006705458902E-4</v>
          </cell>
          <cell r="K572">
            <v>1.8560898775822301E-4</v>
          </cell>
          <cell r="L572">
            <v>1.6703718290767599E-4</v>
          </cell>
          <cell r="M572">
            <v>8.9337918563716897E-4</v>
          </cell>
          <cell r="N572">
            <v>2.4149863283125201E-4</v>
          </cell>
          <cell r="O572">
            <v>1.17022839397661E-3</v>
          </cell>
        </row>
        <row r="573">
          <cell r="A573" t="str">
            <v>SCOM-SHSTG-NGAHP</v>
          </cell>
          <cell r="B573" t="str">
            <v>VAR_cap</v>
          </cell>
          <cell r="C573" t="str">
            <v>-</v>
          </cell>
          <cell r="D573">
            <v>1.0665743403676701E-3</v>
          </cell>
          <cell r="E573">
            <v>6.8452539747198421E-6</v>
          </cell>
          <cell r="F573">
            <v>4.1278856656150158E-5</v>
          </cell>
          <cell r="G573">
            <v>4.1316380644979955E-5</v>
          </cell>
          <cell r="H573">
            <v>1.6149450344102502E-4</v>
          </cell>
          <cell r="I573">
            <v>2.533141326953613E-4</v>
          </cell>
          <cell r="J573">
            <v>5.2183728804762496E-4</v>
          </cell>
          <cell r="K573">
            <v>4.2786069625243501E-4</v>
          </cell>
          <cell r="L573">
            <v>3.0907056184783295E-4</v>
          </cell>
          <cell r="M573">
            <v>1.059494150398785E-3</v>
          </cell>
          <cell r="N573">
            <v>1.039608456003949E-3</v>
          </cell>
          <cell r="O573">
            <v>1.9516447474812347E-3</v>
          </cell>
        </row>
        <row r="574">
          <cell r="A574" t="str">
            <v>ITOT-SWHCONBR2</v>
          </cell>
          <cell r="B574" t="str">
            <v>VAR_fout</v>
          </cell>
          <cell r="C574" t="str">
            <v>ITOT-ELS</v>
          </cell>
          <cell r="G574">
            <v>1.3645523861763309E-4</v>
          </cell>
          <cell r="H574">
            <v>1.1068151787066453E-3</v>
          </cell>
          <cell r="I574">
            <v>1.1736872368335296E-3</v>
          </cell>
          <cell r="J574">
            <v>1.0715782424922673E-3</v>
          </cell>
          <cell r="K574">
            <v>1.1090788261710186E-3</v>
          </cell>
          <cell r="L574">
            <v>1.2237127746235132E-3</v>
          </cell>
          <cell r="M574">
            <v>1.4750023940727818E-3</v>
          </cell>
          <cell r="N574">
            <v>1.536631890962919E-3</v>
          </cell>
          <cell r="O574">
            <v>2.8003370179830252E-3</v>
          </cell>
        </row>
        <row r="575">
          <cell r="A575" t="str">
            <v>ITOT-SWHCONBR2</v>
          </cell>
          <cell r="B575" t="str">
            <v>VAR_fout</v>
          </cell>
          <cell r="C575" t="str">
            <v>ITOT-SWHC</v>
          </cell>
          <cell r="G575">
            <v>2.1093368527789119E-4</v>
          </cell>
          <cell r="H575">
            <v>1.7109244535514047E-3</v>
          </cell>
          <cell r="I575">
            <v>1.814295858018674E-3</v>
          </cell>
          <cell r="J575">
            <v>1.6564548935044795E-3</v>
          </cell>
          <cell r="K575">
            <v>1.7144236193340266E-3</v>
          </cell>
          <cell r="L575">
            <v>1.8916257659866511E-3</v>
          </cell>
          <cell r="M575">
            <v>2.2800714280183003E-3</v>
          </cell>
          <cell r="N575">
            <v>2.3753388360896461E-3</v>
          </cell>
          <cell r="O575">
            <v>4.3287851254904487E-3</v>
          </cell>
        </row>
        <row r="576">
          <cell r="A576" t="str">
            <v>ITOT-SWHCONBR2</v>
          </cell>
          <cell r="B576" t="str">
            <v>VAR_fin</v>
          </cell>
          <cell r="C576" t="str">
            <v>CON</v>
          </cell>
          <cell r="G576">
            <v>3.4738892389552434E-4</v>
          </cell>
          <cell r="H576">
            <v>2.8177396322580524E-3</v>
          </cell>
          <cell r="I576">
            <v>2.9879830948522038E-3</v>
          </cell>
          <cell r="J576">
            <v>2.7280331359967472E-3</v>
          </cell>
          <cell r="K576">
            <v>2.8235024455050468E-3</v>
          </cell>
          <cell r="L576">
            <v>3.115338540610163E-3</v>
          </cell>
          <cell r="M576">
            <v>3.7550738220910808E-3</v>
          </cell>
          <cell r="N576">
            <v>3.911970727052563E-3</v>
          </cell>
          <cell r="O576">
            <v>7.1291221434734778E-3</v>
          </cell>
        </row>
        <row r="577">
          <cell r="A577" t="str">
            <v>ITOT-SWHCONBR2</v>
          </cell>
          <cell r="B577" t="str">
            <v>VAR_ncap</v>
          </cell>
          <cell r="C577" t="str">
            <v>-</v>
          </cell>
          <cell r="G577">
            <v>1.8202094631704999E-5</v>
          </cell>
          <cell r="H577">
            <v>1.3459738299285401E-4</v>
          </cell>
          <cell r="I577">
            <v>1.2708947584611799E-5</v>
          </cell>
          <cell r="J577">
            <v>8.0705107360310995E-7</v>
          </cell>
          <cell r="K577">
            <v>1.3959903687691099E-4</v>
          </cell>
          <cell r="L577">
            <v>2.6398181983626001E-5</v>
          </cell>
          <cell r="M577">
            <v>3.7777234177944303E-5</v>
          </cell>
          <cell r="N577">
            <v>1.31845195041717E-4</v>
          </cell>
          <cell r="O577">
            <v>2.16606392297039E-4</v>
          </cell>
        </row>
        <row r="578">
          <cell r="A578" t="str">
            <v>ITOT-SWHCONBR2</v>
          </cell>
          <cell r="B578" t="str">
            <v>VAR_cap</v>
          </cell>
          <cell r="C578" t="str">
            <v>-</v>
          </cell>
          <cell r="G578">
            <v>1.8202094631704999E-5</v>
          </cell>
          <cell r="H578">
            <v>1.52799477624559E-4</v>
          </cell>
          <cell r="I578">
            <v>1.6204553387123E-4</v>
          </cell>
          <cell r="J578">
            <v>1.4811338165106899E-4</v>
          </cell>
          <cell r="K578">
            <v>1.53115035535126E-4</v>
          </cell>
          <cell r="L578">
            <v>1.6865012097854099E-4</v>
          </cell>
          <cell r="M578">
            <v>2.0377445303848099E-4</v>
          </cell>
          <cell r="N578">
            <v>2.1237807601131101E-4</v>
          </cell>
          <cell r="O578">
            <v>3.8622882151670001E-4</v>
          </cell>
        </row>
        <row r="579">
          <cell r="A579" t="str">
            <v>RHES-SHCONBR1</v>
          </cell>
          <cell r="B579" t="str">
            <v>VAR_fout</v>
          </cell>
          <cell r="C579" t="str">
            <v>RHES-SHCON</v>
          </cell>
          <cell r="D579">
            <v>0.56347585875072603</v>
          </cell>
          <cell r="E579">
            <v>1.1277550936600902</v>
          </cell>
          <cell r="F579">
            <v>1.127621189906677</v>
          </cell>
          <cell r="G579">
            <v>1.1276149100028969</v>
          </cell>
          <cell r="H579">
            <v>1.127671648123711</v>
          </cell>
          <cell r="I579">
            <v>1.1276926984104829</v>
          </cell>
          <cell r="J579">
            <v>1.127616576081067</v>
          </cell>
          <cell r="K579">
            <v>2.2014679457781932</v>
          </cell>
          <cell r="L579">
            <v>3.5148312665060666</v>
          </cell>
          <cell r="M579">
            <v>3.5145431476837903</v>
          </cell>
          <cell r="N579">
            <v>3.5147224406330886</v>
          </cell>
          <cell r="O579">
            <v>3.5146340674607206</v>
          </cell>
        </row>
        <row r="580">
          <cell r="A580" t="str">
            <v>RHES-SHCONBR1</v>
          </cell>
          <cell r="B580" t="str">
            <v>VAR_fin</v>
          </cell>
          <cell r="C580" t="str">
            <v>CON</v>
          </cell>
          <cell r="D580">
            <v>0.56347585875072603</v>
          </cell>
          <cell r="E580">
            <v>1.1277550936600902</v>
          </cell>
          <cell r="F580">
            <v>1.127621189906677</v>
          </cell>
          <cell r="G580">
            <v>1.1276149100028969</v>
          </cell>
          <cell r="H580">
            <v>1.127671648123711</v>
          </cell>
          <cell r="I580">
            <v>1.1276926984104829</v>
          </cell>
          <cell r="J580">
            <v>1.127616576081067</v>
          </cell>
          <cell r="K580">
            <v>2.2014679457781932</v>
          </cell>
          <cell r="L580">
            <v>3.5148312665060666</v>
          </cell>
          <cell r="M580">
            <v>3.5145431476837903</v>
          </cell>
          <cell r="N580">
            <v>3.5147224406330886</v>
          </cell>
          <cell r="O580">
            <v>3.5146340674607206</v>
          </cell>
        </row>
        <row r="581">
          <cell r="A581" t="str">
            <v>RHES-SHCONBR1</v>
          </cell>
          <cell r="B581" t="str">
            <v>VAR_ncap</v>
          </cell>
          <cell r="C581" t="str">
            <v>-</v>
          </cell>
          <cell r="D581">
            <v>4.5550206086677598E-2</v>
          </cell>
          <cell r="E581">
            <v>4.5550200784537198E-2</v>
          </cell>
          <cell r="F581">
            <v>1.1556045895152601E-7</v>
          </cell>
          <cell r="G581">
            <v>2.2473323939702099E-7</v>
          </cell>
          <cell r="H581">
            <v>8.2134257173594405E-8</v>
          </cell>
          <cell r="I581">
            <v>8.9712632649256001E-8</v>
          </cell>
          <cell r="J581">
            <v>4.9255232320105703E-8</v>
          </cell>
          <cell r="K581">
            <v>0.13155917502658401</v>
          </cell>
          <cell r="L581">
            <v>0.15240063702331699</v>
          </cell>
          <cell r="M581">
            <v>6.9200421438359101E-8</v>
          </cell>
          <cell r="N581">
            <v>1.4237025341419701E-7</v>
          </cell>
          <cell r="O581">
            <v>4.1736175473006599E-7</v>
          </cell>
        </row>
        <row r="582">
          <cell r="A582" t="str">
            <v>RHES-SHCONBR1</v>
          </cell>
          <cell r="B582" t="str">
            <v>VAR_cap</v>
          </cell>
          <cell r="C582" t="str">
            <v>-</v>
          </cell>
          <cell r="D582">
            <v>4.5550206086677598E-2</v>
          </cell>
          <cell r="E582">
            <v>9.1100406871214804E-2</v>
          </cell>
          <cell r="F582">
            <v>9.1100522431673797E-2</v>
          </cell>
          <cell r="G582">
            <v>9.1100747164913204E-2</v>
          </cell>
          <cell r="H582">
            <v>9.1100829299170294E-2</v>
          </cell>
          <cell r="I582">
            <v>9.1100919011803005E-2</v>
          </cell>
          <cell r="J582">
            <v>9.1100968267035301E-2</v>
          </cell>
          <cell r="K582">
            <v>0.17785969861887799</v>
          </cell>
          <cell r="L582">
            <v>0.28396023266819598</v>
          </cell>
          <cell r="M582">
            <v>0.28396010235244501</v>
          </cell>
          <cell r="N582">
            <v>0.28396016309170902</v>
          </cell>
          <cell r="O582">
            <v>0.28396049023756298</v>
          </cell>
        </row>
        <row r="583">
          <cell r="A583" t="str">
            <v>ITOT-SWHCONBR3</v>
          </cell>
          <cell r="B583" t="str">
            <v>VAR_fout</v>
          </cell>
          <cell r="C583" t="str">
            <v>ITOT-ELS</v>
          </cell>
          <cell r="G583">
            <v>1.0387319492626659E-4</v>
          </cell>
          <cell r="H583">
            <v>3.6479070293646986E-4</v>
          </cell>
          <cell r="I583">
            <v>4.320235953401831E-4</v>
          </cell>
          <cell r="J583">
            <v>3.4971392394465806E-4</v>
          </cell>
          <cell r="K583">
            <v>4.9341157156465305E-4</v>
          </cell>
          <cell r="L583">
            <v>4.452162669521923E-4</v>
          </cell>
          <cell r="M583">
            <v>6.3322213577250122E-4</v>
          </cell>
          <cell r="N583">
            <v>5.519669419180765E-4</v>
          </cell>
          <cell r="O583">
            <v>1.109783321875137E-3</v>
          </cell>
        </row>
        <row r="584">
          <cell r="A584" t="str">
            <v>ITOT-SWHCONBR3</v>
          </cell>
          <cell r="B584" t="str">
            <v>VAR_fout</v>
          </cell>
          <cell r="C584" t="str">
            <v>ITOT-SWHC</v>
          </cell>
          <cell r="G584">
            <v>2.0614224770359324E-4</v>
          </cell>
          <cell r="H584">
            <v>7.2394784331103652E-4</v>
          </cell>
          <cell r="I584">
            <v>8.5737533217910612E-4</v>
          </cell>
          <cell r="J584">
            <v>6.940271201474849E-4</v>
          </cell>
          <cell r="K584">
            <v>9.7920325332728785E-4</v>
          </cell>
          <cell r="L584">
            <v>8.8355693736844759E-4</v>
          </cell>
          <cell r="M584">
            <v>1.2566652489746897E-3</v>
          </cell>
          <cell r="N584">
            <v>1.0954097074402985E-3</v>
          </cell>
          <cell r="O584">
            <v>2.2024279564876498E-3</v>
          </cell>
        </row>
        <row r="585">
          <cell r="A585" t="str">
            <v>ITOT-SWHCONBR3</v>
          </cell>
          <cell r="B585" t="str">
            <v>VAR_fin</v>
          </cell>
          <cell r="C585" t="str">
            <v>CON</v>
          </cell>
          <cell r="G585">
            <v>3.1001544262985992E-4</v>
          </cell>
          <cell r="H585">
            <v>1.0887385462475059E-3</v>
          </cell>
          <cell r="I585">
            <v>1.2893989275192888E-3</v>
          </cell>
          <cell r="J585">
            <v>1.0437410440921433E-3</v>
          </cell>
          <cell r="K585">
            <v>1.4726148248919405E-3</v>
          </cell>
          <cell r="L585">
            <v>1.3287732043206399E-3</v>
          </cell>
          <cell r="M585">
            <v>1.8898873847471918E-3</v>
          </cell>
          <cell r="N585">
            <v>1.6473766493583747E-3</v>
          </cell>
          <cell r="O585">
            <v>3.3122112783627879E-3</v>
          </cell>
        </row>
        <row r="586">
          <cell r="A586" t="str">
            <v>ITOT-SWHCONBR3</v>
          </cell>
          <cell r="B586" t="str">
            <v>VAR_ncap</v>
          </cell>
          <cell r="C586" t="str">
            <v>-</v>
          </cell>
          <cell r="G586">
            <v>1.6160260714900499E-5</v>
          </cell>
          <cell r="H586">
            <v>4.2489756206976601E-5</v>
          </cell>
          <cell r="I586">
            <v>1.33941941511195E-5</v>
          </cell>
          <cell r="J586">
            <v>5.89591158851964E-7</v>
          </cell>
          <cell r="K586">
            <v>6.4693238912555604E-5</v>
          </cell>
          <cell r="L586">
            <v>4.1723743322102697E-6</v>
          </cell>
          <cell r="M586">
            <v>3.2507670342423903E-5</v>
          </cell>
          <cell r="N586">
            <v>4.2336928616096801E-5</v>
          </cell>
          <cell r="O586">
            <v>1.03685957967965E-4</v>
          </cell>
        </row>
        <row r="587">
          <cell r="A587" t="str">
            <v>ITOT-SWHCONBR3</v>
          </cell>
          <cell r="B587" t="str">
            <v>VAR_cap</v>
          </cell>
          <cell r="C587" t="str">
            <v>-</v>
          </cell>
          <cell r="G587">
            <v>1.6160260714900499E-5</v>
          </cell>
          <cell r="H587">
            <v>5.8650016921877103E-5</v>
          </cell>
          <cell r="I587">
            <v>6.8969772225117696E-5</v>
          </cell>
          <cell r="J587">
            <v>5.6473541516948097E-5</v>
          </cell>
          <cell r="K587">
            <v>7.8677024222526998E-5</v>
          </cell>
          <cell r="L587">
            <v>7.1435158821920496E-5</v>
          </cell>
          <cell r="M587">
            <v>1.0137328358719001E-4</v>
          </cell>
          <cell r="N587">
            <v>8.9152864404359197E-5</v>
          </cell>
          <cell r="O587">
            <v>1.7853055692648601E-4</v>
          </cell>
        </row>
        <row r="588">
          <cell r="A588" t="str">
            <v>ITOT-ELCSPECADV</v>
          </cell>
          <cell r="B588" t="str">
            <v>VAR_fout</v>
          </cell>
          <cell r="C588" t="str">
            <v>ITOT-ELS</v>
          </cell>
          <cell r="G588">
            <v>6.2300759859451095E-4</v>
          </cell>
          <cell r="H588">
            <v>1.2222579605730981E-3</v>
          </cell>
          <cell r="I588">
            <v>1.3767767426675316E-3</v>
          </cell>
          <cell r="J588">
            <v>1.6599949617165286E-3</v>
          </cell>
          <cell r="K588">
            <v>2.8077086279704984E-3</v>
          </cell>
          <cell r="L588">
            <v>2.2249909769611518E-3</v>
          </cell>
          <cell r="M588">
            <v>3.4971532091674327E-3</v>
          </cell>
          <cell r="N588">
            <v>3.439528756268552E-3</v>
          </cell>
          <cell r="O588">
            <v>6.6772651688963318E-3</v>
          </cell>
        </row>
        <row r="589">
          <cell r="A589" t="str">
            <v>ITOT-ELCSPECADV</v>
          </cell>
          <cell r="B589" t="str">
            <v>VAR_fin</v>
          </cell>
          <cell r="C589" t="str">
            <v>ITOT_ELC</v>
          </cell>
          <cell r="G589">
            <v>5.3642806451448689E-4</v>
          </cell>
          <cell r="H589">
            <v>1.0261614265708731E-3</v>
          </cell>
          <cell r="I589">
            <v>1.127771332398839E-3</v>
          </cell>
          <cell r="J589">
            <v>1.2854016191077703E-3</v>
          </cell>
          <cell r="K589">
            <v>2.0613870418258948E-3</v>
          </cell>
          <cell r="L589">
            <v>1.6335625151398196E-3</v>
          </cell>
          <cell r="M589">
            <v>2.5675692402129637E-3</v>
          </cell>
          <cell r="N589">
            <v>2.525262036639663E-3</v>
          </cell>
          <cell r="O589">
            <v>4.9023704799267803E-3</v>
          </cell>
        </row>
        <row r="590">
          <cell r="A590" t="str">
            <v>ITOT-ELCSPECADV</v>
          </cell>
          <cell r="B590" t="str">
            <v>VAR_ncap</v>
          </cell>
          <cell r="C590" t="str">
            <v>-</v>
          </cell>
          <cell r="G590">
            <v>4.0680657623063498E-5</v>
          </cell>
          <cell r="H590">
            <v>3.5064750965636303E-5</v>
          </cell>
          <cell r="I590">
            <v>7.1808399106606104E-6</v>
          </cell>
          <cell r="J590">
            <v>1.0023536160375201E-5</v>
          </cell>
          <cell r="K590">
            <v>6.8297872176271201E-5</v>
          </cell>
          <cell r="L590">
            <v>4.8241640756520702E-6</v>
          </cell>
          <cell r="M590">
            <v>1.09026594974216E-4</v>
          </cell>
          <cell r="N590">
            <v>3.8006414174504198E-6</v>
          </cell>
          <cell r="O590">
            <v>1.9271142800477201E-4</v>
          </cell>
        </row>
        <row r="591">
          <cell r="A591" t="str">
            <v>ITOT-ELCSPECADV</v>
          </cell>
          <cell r="B591" t="str">
            <v>VAR_cap</v>
          </cell>
          <cell r="C591" t="str">
            <v>-</v>
          </cell>
          <cell r="G591">
            <v>4.0680657623063498E-5</v>
          </cell>
          <cell r="H591">
            <v>7.5636753224944241E-5</v>
          </cell>
          <cell r="I591">
            <v>8.248592157154406E-5</v>
          </cell>
          <cell r="J591">
            <v>9.1989998560109982E-5</v>
          </cell>
          <cell r="K591">
            <v>1.5907044276319856E-4</v>
          </cell>
          <cell r="L591">
            <v>1.2346820552985806E-4</v>
          </cell>
          <cell r="M591">
            <v>1.9688710063636331E-4</v>
          </cell>
          <cell r="N591">
            <v>1.9201225647682397E-4</v>
          </cell>
          <cell r="O591">
            <v>3.7621696907261286E-4</v>
          </cell>
        </row>
        <row r="592">
          <cell r="A592" t="str">
            <v>RHES-SHELCBR</v>
          </cell>
          <cell r="B592" t="str">
            <v>VAR_fout</v>
          </cell>
          <cell r="C592" t="str">
            <v>RHES-SHAELCB</v>
          </cell>
          <cell r="D592">
            <v>4.2799941060649065</v>
          </cell>
          <cell r="E592">
            <v>3.7501628934758977</v>
          </cell>
          <cell r="F592">
            <v>3.8358019030919976</v>
          </cell>
          <cell r="G592">
            <v>2.7116042204393627</v>
          </cell>
          <cell r="H592">
            <v>3.2784397759786224</v>
          </cell>
          <cell r="I592">
            <v>2.5660110769705131</v>
          </cell>
          <cell r="J592">
            <v>1.4281961689852836</v>
          </cell>
          <cell r="K592">
            <v>0.64468700857716021</v>
          </cell>
          <cell r="L592">
            <v>0.2560493154649322</v>
          </cell>
          <cell r="M592">
            <v>0.23727245487445861</v>
          </cell>
          <cell r="N592">
            <v>0.23210162974724374</v>
          </cell>
          <cell r="O592">
            <v>0.19368998856213879</v>
          </cell>
        </row>
        <row r="593">
          <cell r="A593" t="str">
            <v>RHES-SHELCBR</v>
          </cell>
          <cell r="B593" t="str">
            <v>VAR_fin</v>
          </cell>
          <cell r="C593" t="str">
            <v>RHES_ELC</v>
          </cell>
          <cell r="D593">
            <v>4.505256953752534</v>
          </cell>
          <cell r="E593">
            <v>3.9475398878693677</v>
          </cell>
          <cell r="F593">
            <v>4.0376862137810505</v>
          </cell>
          <cell r="G593">
            <v>2.8543202320414336</v>
          </cell>
          <cell r="H593">
            <v>3.4509892378722355</v>
          </cell>
          <cell r="I593">
            <v>2.7010642915479077</v>
          </cell>
          <cell r="J593">
            <v>1.503364388405561</v>
          </cell>
          <cell r="K593">
            <v>0.67861790376543207</v>
          </cell>
          <cell r="L593">
            <v>0.26952559522624459</v>
          </cell>
          <cell r="M593">
            <v>0.24976047881521957</v>
          </cell>
          <cell r="N593">
            <v>0.24431750499709873</v>
          </cell>
          <cell r="O593">
            <v>0.20388419848646186</v>
          </cell>
        </row>
        <row r="594">
          <cell r="A594" t="str">
            <v>RHES-SHELCBR</v>
          </cell>
          <cell r="B594" t="str">
            <v>VAR_ncap</v>
          </cell>
          <cell r="C594" t="str">
            <v>-</v>
          </cell>
          <cell r="D594">
            <v>5.4244393102584798E-8</v>
          </cell>
          <cell r="E594">
            <v>6.7589076901396401E-7</v>
          </cell>
          <cell r="F594">
            <v>9.2216874899554097E-7</v>
          </cell>
          <cell r="G594">
            <v>9.1151633475790204E-7</v>
          </cell>
          <cell r="H594">
            <v>0.175634773979324</v>
          </cell>
          <cell r="I594">
            <v>3.3783397367342399E-2</v>
          </cell>
          <cell r="J594">
            <v>6.9648495822543198E-7</v>
          </cell>
          <cell r="K594">
            <v>1.8736360697772299E-2</v>
          </cell>
          <cell r="L594">
            <v>2.6035829414437502E-6</v>
          </cell>
          <cell r="M594">
            <v>9.8363695654066696E-4</v>
          </cell>
          <cell r="N594">
            <v>1.4787900492736801E-2</v>
          </cell>
          <cell r="O594">
            <v>9.8604808450731998E-4</v>
          </cell>
        </row>
        <row r="595">
          <cell r="A595" t="str">
            <v>RHES-SHELCBR</v>
          </cell>
          <cell r="B595" t="str">
            <v>VAR_cap</v>
          </cell>
          <cell r="C595" t="str">
            <v>-</v>
          </cell>
          <cell r="D595">
            <v>0.34576935412072607</v>
          </cell>
          <cell r="E595">
            <v>0.34576921961111334</v>
          </cell>
          <cell r="F595">
            <v>0.34576977940255871</v>
          </cell>
          <cell r="G595">
            <v>0.3457693165216349</v>
          </cell>
          <cell r="H595">
            <v>0.26530535316438891</v>
          </cell>
          <cell r="I595">
            <v>0.20941842980385497</v>
          </cell>
          <cell r="J595">
            <v>0.20930049933993217</v>
          </cell>
          <cell r="K595">
            <v>5.2519503154199905E-2</v>
          </cell>
          <cell r="L595">
            <v>2.3928846429498777E-2</v>
          </cell>
          <cell r="M595">
            <v>1.9718609692699722E-2</v>
          </cell>
          <cell r="N595">
            <v>1.9089992275116423E-2</v>
          </cell>
          <cell r="O595">
            <v>1.6756291619906653E-2</v>
          </cell>
        </row>
        <row r="596">
          <cell r="A596" t="str">
            <v>RHSA-WHELCBR</v>
          </cell>
          <cell r="B596" t="str">
            <v>VAR_fout</v>
          </cell>
          <cell r="C596" t="str">
            <v>RHSA-WHAELCB</v>
          </cell>
          <cell r="D596">
            <v>6.6447099636336278</v>
          </cell>
          <cell r="E596">
            <v>6.968711274017287</v>
          </cell>
          <cell r="F596">
            <v>6.9065258059606656</v>
          </cell>
          <cell r="G596">
            <v>5.1397594048475703</v>
          </cell>
          <cell r="H596">
            <v>4.1009468642722471</v>
          </cell>
          <cell r="I596">
            <v>3.587516152804779</v>
          </cell>
          <cell r="J596">
            <v>2.9941684780567179</v>
          </cell>
          <cell r="K596">
            <v>1.8930855359251673</v>
          </cell>
          <cell r="L596">
            <v>0.49785174444481117</v>
          </cell>
          <cell r="M596">
            <v>0.46630767446736227</v>
          </cell>
          <cell r="N596">
            <v>0.42457477723371889</v>
          </cell>
          <cell r="O596">
            <v>0.34723708567750633</v>
          </cell>
        </row>
        <row r="597">
          <cell r="A597" t="str">
            <v>RHSA-WHELCBR</v>
          </cell>
          <cell r="B597" t="str">
            <v>VAR_fin</v>
          </cell>
          <cell r="C597" t="str">
            <v>RHSA_ELC</v>
          </cell>
          <cell r="D597">
            <v>8.4110252704223214</v>
          </cell>
          <cell r="E597">
            <v>8.7988778712339588</v>
          </cell>
          <cell r="F597">
            <v>8.6874538439756854</v>
          </cell>
          <cell r="G597">
            <v>6.4246992560594585</v>
          </cell>
          <cell r="H597">
            <v>5.0943439307729745</v>
          </cell>
          <cell r="I597">
            <v>4.429032287413305</v>
          </cell>
          <cell r="J597">
            <v>3.6738263534438267</v>
          </cell>
          <cell r="K597">
            <v>2.3086408974697172</v>
          </cell>
          <cell r="L597">
            <v>0.60713627371318435</v>
          </cell>
          <cell r="M597">
            <v>0.56866789569190501</v>
          </cell>
          <cell r="N597">
            <v>0.51777411857770606</v>
          </cell>
          <cell r="O597">
            <v>0.42345986058232554</v>
          </cell>
        </row>
        <row r="598">
          <cell r="A598" t="str">
            <v>RHSA-WHELCBR</v>
          </cell>
          <cell r="B598" t="str">
            <v>VAR_ncap</v>
          </cell>
          <cell r="C598" t="str">
            <v>-</v>
          </cell>
          <cell r="D598">
            <v>8.2218642408317092E-6</v>
          </cell>
          <cell r="E598">
            <v>3.5280443870640298E-2</v>
          </cell>
          <cell r="F598">
            <v>2.0291975304093102E-6</v>
          </cell>
          <cell r="G598">
            <v>1.2683068270217199E-6</v>
          </cell>
          <cell r="H598">
            <v>0.14911877681890401</v>
          </cell>
          <cell r="I598">
            <v>9.9391406049783401E-2</v>
          </cell>
          <cell r="J598">
            <v>5.2293847028026298E-6</v>
          </cell>
          <cell r="K598">
            <v>3.0096305866519301E-2</v>
          </cell>
          <cell r="L598">
            <v>5.3746159674212898E-6</v>
          </cell>
          <cell r="M598">
            <v>5.2746681542704702E-3</v>
          </cell>
          <cell r="N598">
            <v>2.10596683687139E-2</v>
          </cell>
          <cell r="O598">
            <v>1.8546410123262801E-4</v>
          </cell>
        </row>
        <row r="599">
          <cell r="A599" t="str">
            <v>RHSA-WHELCBR</v>
          </cell>
          <cell r="B599" t="str">
            <v>VAR_cap</v>
          </cell>
          <cell r="C599" t="str">
            <v>-</v>
          </cell>
          <cell r="D599">
            <v>0.43757681063791781</v>
          </cell>
          <cell r="E599">
            <v>0.47285677117867825</v>
          </cell>
          <cell r="F599">
            <v>0.47285794730622499</v>
          </cell>
          <cell r="G599">
            <v>0.47285704295354269</v>
          </cell>
          <cell r="H599">
            <v>0.28067360163502147</v>
          </cell>
          <cell r="I599">
            <v>0.24851051031888433</v>
          </cell>
          <cell r="J599">
            <v>0.24851293250154088</v>
          </cell>
          <cell r="K599">
            <v>0.12949141993830512</v>
          </cell>
          <cell r="L599">
            <v>4.5374864382657067E-2</v>
          </cell>
          <cell r="M599">
            <v>3.5373764607939749E-2</v>
          </cell>
          <cell r="N599">
            <v>3.1665992603014045E-2</v>
          </cell>
          <cell r="O599">
            <v>2.6517592680273955E-2</v>
          </cell>
        </row>
        <row r="600">
          <cell r="A600" t="str">
            <v>ITOT-SWHLTHDH</v>
          </cell>
          <cell r="B600" t="str">
            <v>VAR_fout</v>
          </cell>
          <cell r="C600" t="str">
            <v>ITOT-SWH</v>
          </cell>
          <cell r="D600">
            <v>6.5822946519730525</v>
          </cell>
          <cell r="E600">
            <v>7.0678587556973822</v>
          </cell>
          <cell r="F600">
            <v>6.8712692162456168</v>
          </cell>
          <cell r="G600">
            <v>7.2980688185094946</v>
          </cell>
          <cell r="H600">
            <v>6.8896901848015242</v>
          </cell>
          <cell r="I600">
            <v>7.373182506504361</v>
          </cell>
          <cell r="J600">
            <v>8.411999182687472</v>
          </cell>
          <cell r="K600">
            <v>8.7652840931403482</v>
          </cell>
          <cell r="L600">
            <v>8.6878080478111617</v>
          </cell>
          <cell r="M600">
            <v>8.9161019735671676</v>
          </cell>
          <cell r="N600">
            <v>8.5907072804345024</v>
          </cell>
          <cell r="O600">
            <v>8.5155394226290699</v>
          </cell>
        </row>
        <row r="601">
          <cell r="A601" t="str">
            <v>ITOT-SWHLTHDH</v>
          </cell>
          <cell r="B601" t="str">
            <v>VAR_fin</v>
          </cell>
          <cell r="C601" t="str">
            <v>ITOT_LTH_DH</v>
          </cell>
          <cell r="D601">
            <v>7.1200255971190005</v>
          </cell>
          <cell r="E601">
            <v>7.6289170535816035</v>
          </cell>
          <cell r="F601">
            <v>7.3930204187738093</v>
          </cell>
          <cell r="G601">
            <v>7.8106274081554652</v>
          </cell>
          <cell r="H601">
            <v>7.3347087831452509</v>
          </cell>
          <cell r="I601">
            <v>7.8082811720037464</v>
          </cell>
          <cell r="J601">
            <v>8.8814866456378443</v>
          </cell>
          <cell r="K601">
            <v>9.2266148348845718</v>
          </cell>
          <cell r="L601">
            <v>9.1450611029591169</v>
          </cell>
          <cell r="M601">
            <v>9.3853704984917599</v>
          </cell>
          <cell r="N601">
            <v>9.0428497688784226</v>
          </cell>
          <cell r="O601">
            <v>8.9637257080306068</v>
          </cell>
        </row>
        <row r="602">
          <cell r="A602" t="str">
            <v>ITOT-SWHLTHDH</v>
          </cell>
          <cell r="B602" t="str">
            <v>VAR_fin</v>
          </cell>
          <cell r="C602" t="str">
            <v>ITOTLTHDHC</v>
          </cell>
          <cell r="D602">
            <v>6.5822946519730525</v>
          </cell>
          <cell r="E602">
            <v>7.0678587556973822</v>
          </cell>
          <cell r="F602">
            <v>6.8712692162456168</v>
          </cell>
          <cell r="G602">
            <v>7.2980688185094946</v>
          </cell>
          <cell r="H602">
            <v>6.8896901848015242</v>
          </cell>
          <cell r="I602">
            <v>7.373182506504361</v>
          </cell>
          <cell r="J602">
            <v>8.411999182687472</v>
          </cell>
          <cell r="K602">
            <v>8.7652840931403482</v>
          </cell>
          <cell r="L602">
            <v>8.6878080478111617</v>
          </cell>
          <cell r="M602">
            <v>8.9161019735671676</v>
          </cell>
          <cell r="N602">
            <v>8.5907072804345024</v>
          </cell>
          <cell r="O602">
            <v>8.5155394226290699</v>
          </cell>
        </row>
        <row r="603">
          <cell r="A603" t="str">
            <v>ITOT-SWHLTHDH</v>
          </cell>
          <cell r="B603" t="str">
            <v>VAR_ncap</v>
          </cell>
          <cell r="C603" t="str">
            <v>-</v>
          </cell>
          <cell r="E603">
            <v>3.5058092636353198E-2</v>
          </cell>
          <cell r="F603">
            <v>6.6060078949481904E-2</v>
          </cell>
          <cell r="G603">
            <v>9.2594056232229396E-2</v>
          </cell>
          <cell r="H603">
            <v>0.490784473628532</v>
          </cell>
          <cell r="I603">
            <v>0.26813466174911199</v>
          </cell>
          <cell r="J603">
            <v>0.10729054440604301</v>
          </cell>
          <cell r="K603">
            <v>0.50207739969651599</v>
          </cell>
          <cell r="L603">
            <v>0.24074160515110299</v>
          </cell>
          <cell r="M603">
            <v>0.18716040585760599</v>
          </cell>
          <cell r="N603">
            <v>0.48191670010001503</v>
          </cell>
          <cell r="O603">
            <v>0.226372474334051</v>
          </cell>
        </row>
        <row r="604">
          <cell r="A604" t="str">
            <v>ITOT-SWHLTHDH</v>
          </cell>
          <cell r="B604" t="str">
            <v>VAR_cap</v>
          </cell>
          <cell r="C604" t="str">
            <v>-</v>
          </cell>
          <cell r="D604">
            <v>0.79547229253225304</v>
          </cell>
          <cell r="E604">
            <v>0.56503457870724816</v>
          </cell>
          <cell r="F604">
            <v>0.59412281222609409</v>
          </cell>
          <cell r="G604">
            <v>0.63819670799384709</v>
          </cell>
          <cell r="H604">
            <v>0.71049331090862899</v>
          </cell>
          <cell r="I604">
            <v>0.79339034780987583</v>
          </cell>
          <cell r="J604">
            <v>0.74971491151265002</v>
          </cell>
          <cell r="K604">
            <v>0.79536372219236895</v>
          </cell>
          <cell r="L604">
            <v>0.79539885542892552</v>
          </cell>
          <cell r="M604">
            <v>0.79532319931150308</v>
          </cell>
          <cell r="N604">
            <v>0.79534882237221605</v>
          </cell>
          <cell r="O604">
            <v>0.79519825528529497</v>
          </cell>
        </row>
        <row r="605">
          <cell r="A605" t="str">
            <v>RHES-SHCONBR2</v>
          </cell>
          <cell r="B605" t="str">
            <v>VAR_fout</v>
          </cell>
          <cell r="C605" t="str">
            <v>RHES-SHCON</v>
          </cell>
          <cell r="D605">
            <v>0.41011564568646297</v>
          </cell>
          <cell r="E605">
            <v>0.82077465530245952</v>
          </cell>
          <cell r="F605">
            <v>0.8206581999927145</v>
          </cell>
          <cell r="G605">
            <v>0.82064002455897578</v>
          </cell>
          <cell r="H605">
            <v>0.82069706734795145</v>
          </cell>
          <cell r="I605">
            <v>0.82071527348727469</v>
          </cell>
          <cell r="J605">
            <v>0.82064806481256214</v>
          </cell>
          <cell r="K605">
            <v>0.41744728008015747</v>
          </cell>
          <cell r="L605">
            <v>1.1217445329445259E-2</v>
          </cell>
          <cell r="M605">
            <v>1.1244838748949462E-2</v>
          </cell>
          <cell r="N605">
            <v>1.1212219473972617E-2</v>
          </cell>
          <cell r="O605">
            <v>1.1312672959451571E-2</v>
          </cell>
        </row>
        <row r="606">
          <cell r="A606" t="str">
            <v>RHES-SHCONBR2</v>
          </cell>
          <cell r="B606" t="str">
            <v>VAR_fin</v>
          </cell>
          <cell r="C606" t="str">
            <v>CON</v>
          </cell>
          <cell r="D606">
            <v>0.41011564568646297</v>
          </cell>
          <cell r="E606">
            <v>0.82077465530245952</v>
          </cell>
          <cell r="F606">
            <v>0.8206581999927145</v>
          </cell>
          <cell r="G606">
            <v>0.82064002455897578</v>
          </cell>
          <cell r="H606">
            <v>0.82069706734795145</v>
          </cell>
          <cell r="I606">
            <v>0.82071527348727469</v>
          </cell>
          <cell r="J606">
            <v>0.82064806481256214</v>
          </cell>
          <cell r="K606">
            <v>0.41744728008015747</v>
          </cell>
          <cell r="L606">
            <v>1.1217445329445259E-2</v>
          </cell>
          <cell r="M606">
            <v>1.1244838748949462E-2</v>
          </cell>
          <cell r="N606">
            <v>1.1212219473972617E-2</v>
          </cell>
          <cell r="O606">
            <v>1.1312672959451571E-2</v>
          </cell>
        </row>
        <row r="607">
          <cell r="A607" t="str">
            <v>RHES-SHCONBR2</v>
          </cell>
          <cell r="B607" t="str">
            <v>VAR_ncap</v>
          </cell>
          <cell r="C607" t="str">
            <v>-</v>
          </cell>
          <cell r="D607">
            <v>3.3150084392701701E-2</v>
          </cell>
          <cell r="E607">
            <v>3.3150079284485399E-2</v>
          </cell>
          <cell r="F607">
            <v>1.19666521128306E-7</v>
          </cell>
          <cell r="G607">
            <v>2.0735414486385199E-7</v>
          </cell>
          <cell r="H607">
            <v>9.9496325937526103E-8</v>
          </cell>
          <cell r="I607">
            <v>8.7909670653776602E-8</v>
          </cell>
          <cell r="J607">
            <v>4.8613560011430802E-8</v>
          </cell>
          <cell r="K607">
            <v>3.0317483808700399E-5</v>
          </cell>
          <cell r="L607">
            <v>8.7306359418062396E-4</v>
          </cell>
          <cell r="M607">
            <v>7.0325473936753004E-8</v>
          </cell>
          <cell r="N607">
            <v>1.4373809018655199E-7</v>
          </cell>
          <cell r="O607">
            <v>4.3970549250367201E-7</v>
          </cell>
        </row>
        <row r="608">
          <cell r="A608" t="str">
            <v>RHES-SHCONBR2</v>
          </cell>
          <cell r="B608" t="str">
            <v>VAR_cap</v>
          </cell>
          <cell r="C608" t="str">
            <v>-</v>
          </cell>
          <cell r="D608">
            <v>3.3150084392701701E-2</v>
          </cell>
          <cell r="E608">
            <v>6.6300163677187204E-2</v>
          </cell>
          <cell r="F608">
            <v>6.6300283343708299E-2</v>
          </cell>
          <cell r="G608">
            <v>6.6300490697853195E-2</v>
          </cell>
          <cell r="H608">
            <v>6.6300590194179096E-2</v>
          </cell>
          <cell r="I608">
            <v>6.6300678103849806E-2</v>
          </cell>
          <cell r="J608">
            <v>6.6300726717409803E-2</v>
          </cell>
          <cell r="K608">
            <v>3.3726614257095902E-2</v>
          </cell>
          <cell r="L608">
            <v>9.0380514392948501E-4</v>
          </cell>
          <cell r="M608">
            <v>9.0368742301986395E-4</v>
          </cell>
          <cell r="N608">
            <v>9.03735525508438E-4</v>
          </cell>
          <cell r="O608">
            <v>9.0408346060596295E-4</v>
          </cell>
        </row>
        <row r="609">
          <cell r="A609" t="str">
            <v>ITOT-SWHCONBR4</v>
          </cell>
          <cell r="B609" t="str">
            <v>VAR_fout</v>
          </cell>
          <cell r="C609" t="str">
            <v>ITOT-ELS</v>
          </cell>
          <cell r="H609">
            <v>1.3194133049675421E-4</v>
          </cell>
          <cell r="I609">
            <v>1.6397077455699099E-4</v>
          </cell>
          <cell r="J609">
            <v>1.6344449857039431E-4</v>
          </cell>
          <cell r="K609">
            <v>2.3803612743257305E-4</v>
          </cell>
          <cell r="L609">
            <v>2.1051213866710481E-4</v>
          </cell>
          <cell r="M609">
            <v>3.3085418435419256E-4</v>
          </cell>
          <cell r="N609">
            <v>2.4293747342566592E-4</v>
          </cell>
          <cell r="O609">
            <v>5.2655759076297292E-4</v>
          </cell>
        </row>
        <row r="610">
          <cell r="A610" t="str">
            <v>ITOT-SWHCONBR4</v>
          </cell>
          <cell r="B610" t="str">
            <v>VAR_fout</v>
          </cell>
          <cell r="C610" t="str">
            <v>ITOT-SWHC</v>
          </cell>
          <cell r="H610">
            <v>1.4179125792498988E-3</v>
          </cell>
          <cell r="I610">
            <v>1.7621182308710033E-3</v>
          </cell>
          <cell r="J610">
            <v>1.7564625857540159E-3</v>
          </cell>
          <cell r="K610">
            <v>2.5580643921949858E-3</v>
          </cell>
          <cell r="L610">
            <v>2.262276789062921E-3</v>
          </cell>
          <cell r="M610">
            <v>3.5555372082958911E-3</v>
          </cell>
          <cell r="N610">
            <v>2.6107368952893312E-3</v>
          </cell>
          <cell r="O610">
            <v>5.6586713869821535E-3</v>
          </cell>
        </row>
        <row r="611">
          <cell r="A611" t="str">
            <v>ITOT-SWHCONBR4</v>
          </cell>
          <cell r="B611" t="str">
            <v>VAR_fin</v>
          </cell>
          <cell r="C611" t="str">
            <v>CON</v>
          </cell>
          <cell r="H611">
            <v>1.5498539097466534E-3</v>
          </cell>
          <cell r="I611">
            <v>1.9260890054279937E-3</v>
          </cell>
          <cell r="J611">
            <v>1.9199070843244096E-3</v>
          </cell>
          <cell r="K611">
            <v>2.7961005196275594E-3</v>
          </cell>
          <cell r="L611">
            <v>2.4727889277300261E-3</v>
          </cell>
          <cell r="M611">
            <v>3.8863913926500807E-3</v>
          </cell>
          <cell r="N611">
            <v>2.853674368715E-3</v>
          </cell>
          <cell r="O611">
            <v>6.1852289777451254E-3</v>
          </cell>
        </row>
        <row r="612">
          <cell r="A612" t="str">
            <v>ITOT-SWHCONBR4</v>
          </cell>
          <cell r="B612" t="str">
            <v>VAR_ncap</v>
          </cell>
          <cell r="C612" t="str">
            <v>-</v>
          </cell>
          <cell r="H612">
            <v>8.1434030393021494E-5</v>
          </cell>
          <cell r="I612">
            <v>2.0435226755444699E-5</v>
          </cell>
          <cell r="J612">
            <v>2.8119350762847903E-7</v>
          </cell>
          <cell r="K612">
            <v>1.2709746972838201E-4</v>
          </cell>
          <cell r="L612">
            <v>2.3118218936150299E-6</v>
          </cell>
          <cell r="M612">
            <v>7.77338265148554E-5</v>
          </cell>
          <cell r="N612">
            <v>5.1350196025159099E-5</v>
          </cell>
          <cell r="O612">
            <v>2.0064689658050799E-4</v>
          </cell>
        </row>
        <row r="613">
          <cell r="A613" t="str">
            <v>ITOT-SWHCONBR4</v>
          </cell>
          <cell r="B613" t="str">
            <v>VAR_cap</v>
          </cell>
          <cell r="C613" t="str">
            <v>-</v>
          </cell>
          <cell r="H613">
            <v>8.1434030393021494E-5</v>
          </cell>
          <cell r="I613">
            <v>1.01869257148466E-4</v>
          </cell>
          <cell r="J613">
            <v>1.02150450656095E-4</v>
          </cell>
          <cell r="K613">
            <v>1.47813889991456E-4</v>
          </cell>
          <cell r="L613">
            <v>1.32793184199179E-4</v>
          </cell>
          <cell r="M613">
            <v>2.0714311813685299E-4</v>
          </cell>
          <cell r="N613">
            <v>1.5317471352362301E-4</v>
          </cell>
          <cell r="O613">
            <v>3.2973091912052202E-4</v>
          </cell>
        </row>
        <row r="614">
          <cell r="A614" t="str">
            <v>D-ITOT_NKEV_GAS_ELC_CHP</v>
          </cell>
          <cell r="B614" t="str">
            <v>VAR_fout</v>
          </cell>
          <cell r="C614" t="str">
            <v>ITOT_ELC</v>
          </cell>
          <cell r="D614">
            <v>0.66667966484622387</v>
          </cell>
          <cell r="E614">
            <v>8.841856422588952E-2</v>
          </cell>
          <cell r="F614">
            <v>5.5835207680057571E-2</v>
          </cell>
          <cell r="G614">
            <v>0.65328813486032444</v>
          </cell>
          <cell r="H614">
            <v>0.64082577246028039</v>
          </cell>
          <cell r="I614">
            <v>0.16279575191030943</v>
          </cell>
          <cell r="J614">
            <v>0.10547881276840539</v>
          </cell>
          <cell r="K614">
            <v>6.7659828564766655E-2</v>
          </cell>
          <cell r="L614">
            <v>3.5834834464982014E-2</v>
          </cell>
          <cell r="M614">
            <v>4.0381036297597539E-2</v>
          </cell>
          <cell r="N614">
            <v>5.6913546063554941E-2</v>
          </cell>
          <cell r="O614">
            <v>9.6366539093645273E-2</v>
          </cell>
        </row>
        <row r="615">
          <cell r="A615" t="str">
            <v>D-ITOT_NKEV_GAS_ELC_CHP</v>
          </cell>
          <cell r="B615" t="str">
            <v>VAR_fout</v>
          </cell>
          <cell r="C615" t="str">
            <v>ELC5</v>
          </cell>
          <cell r="D615">
            <v>3.3007628421588926E-3</v>
          </cell>
          <cell r="E615">
            <v>1.9411830632613417E-3</v>
          </cell>
          <cell r="F615">
            <v>1.6645211949342113E-3</v>
          </cell>
          <cell r="G615">
            <v>1.650044344993459E-3</v>
          </cell>
          <cell r="H615">
            <v>4.3744674968771964E-3</v>
          </cell>
          <cell r="I615">
            <v>1.9680642425878858E-3</v>
          </cell>
          <cell r="J615">
            <v>2.6335760121813734E-3</v>
          </cell>
          <cell r="K615">
            <v>4.0432987948305832E-3</v>
          </cell>
          <cell r="L615">
            <v>2.7416140697945571E-3</v>
          </cell>
          <cell r="M615">
            <v>4.8732859108436685E-3</v>
          </cell>
          <cell r="N615">
            <v>5.2911364147520921E-3</v>
          </cell>
          <cell r="O615">
            <v>1.0371058721057071E-2</v>
          </cell>
        </row>
        <row r="616">
          <cell r="A616" t="str">
            <v>D-ITOT_NKEV_GAS_ELC_CHP</v>
          </cell>
          <cell r="B616" t="str">
            <v>VAR_fin</v>
          </cell>
          <cell r="C616" t="str">
            <v>ITOT_NKEV_GAS_ELC_CHP</v>
          </cell>
          <cell r="D616">
            <v>0.66998042768838351</v>
          </cell>
          <cell r="E616">
            <v>9.0359747289150819E-2</v>
          </cell>
          <cell r="F616">
            <v>5.7496925907562023E-2</v>
          </cell>
          <cell r="G616">
            <v>0.65493817920531816</v>
          </cell>
          <cell r="H616">
            <v>0.6452002399571577</v>
          </cell>
          <cell r="I616">
            <v>0.16476381615289731</v>
          </cell>
          <cell r="J616">
            <v>0.10811238878058672</v>
          </cell>
          <cell r="K616">
            <v>7.1703127359597177E-2</v>
          </cell>
          <cell r="L616">
            <v>3.8576448534776556E-2</v>
          </cell>
          <cell r="M616">
            <v>4.5254322208441215E-2</v>
          </cell>
          <cell r="N616">
            <v>6.2204682478307037E-2</v>
          </cell>
          <cell r="O616">
            <v>0.10673759781470238</v>
          </cell>
        </row>
        <row r="617">
          <cell r="A617" t="str">
            <v>SCOM-SHELCBR</v>
          </cell>
          <cell r="B617" t="str">
            <v>VAR_fout</v>
          </cell>
          <cell r="C617" t="str">
            <v>SCOM-SHAELCB</v>
          </cell>
          <cell r="D617">
            <v>2.3940507120941446</v>
          </cell>
          <cell r="E617">
            <v>0.36710274971164675</v>
          </cell>
          <cell r="F617">
            <v>2.2488535152660698</v>
          </cell>
          <cell r="G617">
            <v>1.9617838956123663</v>
          </cell>
          <cell r="H617">
            <v>1.6499707051300647</v>
          </cell>
          <cell r="I617">
            <v>1.3549037697050008</v>
          </cell>
          <cell r="J617">
            <v>1.0710378202385173</v>
          </cell>
          <cell r="K617">
            <v>0.81020175794373506</v>
          </cell>
          <cell r="L617">
            <v>0.79076927952343645</v>
          </cell>
          <cell r="M617">
            <v>0.77227773762237051</v>
          </cell>
          <cell r="N617">
            <v>0.75552828408797401</v>
          </cell>
          <cell r="O617">
            <v>0.72220085438853909</v>
          </cell>
        </row>
        <row r="618">
          <cell r="A618" t="str">
            <v>SCOM-SHELCBR</v>
          </cell>
          <cell r="B618" t="str">
            <v>VAR_fin</v>
          </cell>
          <cell r="C618" t="str">
            <v>SCOM_ELC</v>
          </cell>
          <cell r="D618">
            <v>2.6236172187333069</v>
          </cell>
          <cell r="E618">
            <v>0.40120519094169044</v>
          </cell>
          <cell r="F618">
            <v>2.4477317172964002</v>
          </cell>
          <cell r="G618">
            <v>2.1208474547160732</v>
          </cell>
          <cell r="H618">
            <v>1.7717806229584598</v>
          </cell>
          <cell r="I618">
            <v>1.4452306876853362</v>
          </cell>
          <cell r="J618">
            <v>1.1348745115110115</v>
          </cell>
          <cell r="K618">
            <v>0.85284395573024663</v>
          </cell>
          <cell r="L618">
            <v>0.83238871528782754</v>
          </cell>
          <cell r="M618">
            <v>0.81292393433933807</v>
          </cell>
          <cell r="N618">
            <v>0.79529293061892103</v>
          </cell>
          <cell r="O618">
            <v>0.76021142567214672</v>
          </cell>
        </row>
        <row r="619">
          <cell r="A619" t="str">
            <v>SCOM-SHELCBR</v>
          </cell>
          <cell r="B619" t="str">
            <v>VAR_ncap</v>
          </cell>
          <cell r="C619" t="str">
            <v>-</v>
          </cell>
          <cell r="D619">
            <v>1.7195153841418599E-6</v>
          </cell>
          <cell r="E619">
            <v>8.2401389363939401E-7</v>
          </cell>
          <cell r="F619">
            <v>0.11098426137959599</v>
          </cell>
          <cell r="G619">
            <v>8.6581496105893701E-6</v>
          </cell>
          <cell r="H619">
            <v>3.2961135146912603E-2</v>
          </cell>
          <cell r="I619">
            <v>7.7553770130768501E-2</v>
          </cell>
          <cell r="J619">
            <v>2.0425206351474501E-5</v>
          </cell>
          <cell r="K619">
            <v>4.0385444435106603E-3</v>
          </cell>
          <cell r="L619">
            <v>6.8837136988861805E-2</v>
          </cell>
          <cell r="M619">
            <v>1.0887203312786999E-2</v>
          </cell>
          <cell r="N619">
            <v>2.7484302567343601E-2</v>
          </cell>
          <cell r="O619">
            <v>4.49733513341612E-2</v>
          </cell>
        </row>
        <row r="620">
          <cell r="A620" t="str">
            <v>SCOM-SHELCBR</v>
          </cell>
          <cell r="B620" t="str">
            <v>VAR_cap</v>
          </cell>
          <cell r="C620" t="str">
            <v>-</v>
          </cell>
          <cell r="D620">
            <v>0.18498976786682614</v>
          </cell>
          <cell r="E620">
            <v>6.2840994556593782E-2</v>
          </cell>
          <cell r="F620">
            <v>0.17382584258668504</v>
          </cell>
          <cell r="G620">
            <v>0.17383201182144303</v>
          </cell>
          <cell r="H620">
            <v>0.16024262130072151</v>
          </cell>
          <cell r="I620">
            <v>0.13382349934356383</v>
          </cell>
          <cell r="J620">
            <v>0.11053135296531623</v>
          </cell>
          <cell r="K620">
            <v>8.1605352148787211E-2</v>
          </cell>
          <cell r="L620">
            <v>8.4804281484319871E-2</v>
          </cell>
          <cell r="M620">
            <v>8.3757041226695292E-2</v>
          </cell>
          <cell r="N620">
            <v>8.6093158957520691E-2</v>
          </cell>
          <cell r="O620">
            <v>8.3339201220965664E-2</v>
          </cell>
        </row>
        <row r="621">
          <cell r="A621" t="str">
            <v>RHES-SHCONBR3</v>
          </cell>
          <cell r="B621" t="str">
            <v>VAR_fout</v>
          </cell>
          <cell r="C621" t="str">
            <v>RHES-SHCON</v>
          </cell>
          <cell r="D621">
            <v>0.47301545503313808</v>
          </cell>
          <cell r="E621">
            <v>1.15115143698276</v>
          </cell>
          <cell r="F621">
            <v>1.151014159713589</v>
          </cell>
          <cell r="G621">
            <v>1.1510067990257558</v>
          </cell>
          <cell r="H621">
            <v>1.1510631057808123</v>
          </cell>
          <cell r="I621">
            <v>1.1510840448578468</v>
          </cell>
          <cell r="J621">
            <v>1.1510060513830842</v>
          </cell>
          <cell r="K621">
            <v>0.61903418668229782</v>
          </cell>
          <cell r="L621">
            <v>3.054176835922324E-4</v>
          </cell>
          <cell r="M621">
            <v>3.3805525376080515E-4</v>
          </cell>
          <cell r="N621">
            <v>3.0739501770876378E-4</v>
          </cell>
          <cell r="O621">
            <v>4.2169992264896449E-4</v>
          </cell>
        </row>
        <row r="622">
          <cell r="A622" t="str">
            <v>RHES-SHCONBR3</v>
          </cell>
          <cell r="B622" t="str">
            <v>VAR_fin</v>
          </cell>
          <cell r="C622" t="str">
            <v>CON</v>
          </cell>
          <cell r="D622">
            <v>0.47301545503313808</v>
          </cell>
          <cell r="E622">
            <v>1.15115143698276</v>
          </cell>
          <cell r="F622">
            <v>1.151014159713589</v>
          </cell>
          <cell r="G622">
            <v>1.1510067990257558</v>
          </cell>
          <cell r="H622">
            <v>1.1510631057808123</v>
          </cell>
          <cell r="I622">
            <v>1.1510840448578468</v>
          </cell>
          <cell r="J622">
            <v>1.1510060513830842</v>
          </cell>
          <cell r="K622">
            <v>0.61903418668229782</v>
          </cell>
          <cell r="L622">
            <v>3.054176835922324E-4</v>
          </cell>
          <cell r="M622">
            <v>3.3805525376080515E-4</v>
          </cell>
          <cell r="N622">
            <v>3.0739501770876378E-4</v>
          </cell>
          <cell r="O622">
            <v>4.2169992264896449E-4</v>
          </cell>
        </row>
        <row r="623">
          <cell r="A623" t="str">
            <v>RHES-SHCONBR3</v>
          </cell>
          <cell r="B623" t="str">
            <v>VAR_ncap</v>
          </cell>
          <cell r="C623" t="str">
            <v>-</v>
          </cell>
          <cell r="D623">
            <v>3.8235856503859099E-2</v>
          </cell>
          <cell r="E623">
            <v>5.4754687112724201E-2</v>
          </cell>
          <cell r="F623">
            <v>2.9121991656588099E-8</v>
          </cell>
          <cell r="G623">
            <v>3.8218710647663302E-8</v>
          </cell>
          <cell r="H623">
            <v>2.0028757604130999E-8</v>
          </cell>
          <cell r="I623">
            <v>3.4935677541233303E-8</v>
          </cell>
          <cell r="J623">
            <v>2.83485513764648E-8</v>
          </cell>
          <cell r="K623">
            <v>3.8896760633054197E-7</v>
          </cell>
          <cell r="L623">
            <v>2.1556357726617701E-5</v>
          </cell>
          <cell r="M623">
            <v>9.3344576882778998E-8</v>
          </cell>
          <cell r="N623">
            <v>2.35685503438325E-7</v>
          </cell>
          <cell r="O623">
            <v>1.0780535572757199E-6</v>
          </cell>
        </row>
        <row r="624">
          <cell r="A624" t="str">
            <v>RHES-SHCONBR3</v>
          </cell>
          <cell r="B624" t="str">
            <v>VAR_cap</v>
          </cell>
          <cell r="C624" t="str">
            <v>-</v>
          </cell>
          <cell r="D624">
            <v>3.8235856503859099E-2</v>
          </cell>
          <cell r="E624">
            <v>9.2990543616583293E-2</v>
          </cell>
          <cell r="F624">
            <v>9.2990572738575E-2</v>
          </cell>
          <cell r="G624">
            <v>9.2990610957285599E-2</v>
          </cell>
          <cell r="H624">
            <v>9.2990630986043196E-2</v>
          </cell>
          <cell r="I624">
            <v>9.2990665921720797E-2</v>
          </cell>
          <cell r="J624">
            <v>9.2990694270272206E-2</v>
          </cell>
          <cell r="K624">
            <v>5.00137059441393E-2</v>
          </cell>
          <cell r="L624">
            <v>2.20654431122801E-5</v>
          </cell>
          <cell r="M624">
            <v>2.2121982896352901E-5</v>
          </cell>
          <cell r="N624">
            <v>2.23357179949919E-5</v>
          </cell>
          <cell r="O624">
            <v>2.3380757521921499E-5</v>
          </cell>
        </row>
        <row r="625">
          <cell r="A625" t="str">
            <v>ITOT-SWHCONBR5</v>
          </cell>
          <cell r="B625" t="str">
            <v>VAR_fout</v>
          </cell>
          <cell r="C625" t="str">
            <v>ITOT-ELS</v>
          </cell>
          <cell r="H625">
            <v>1.3336814206564376E-4</v>
          </cell>
          <cell r="I625">
            <v>1.561795851854515E-4</v>
          </cell>
          <cell r="J625">
            <v>1.5048816341367178E-4</v>
          </cell>
          <cell r="K625">
            <v>2.0488596894998232E-4</v>
          </cell>
          <cell r="L625">
            <v>1.8659357179155774E-4</v>
          </cell>
          <cell r="M625">
            <v>2.781349347712858E-4</v>
          </cell>
          <cell r="N625">
            <v>2.2196642777874942E-4</v>
          </cell>
          <cell r="O625">
            <v>4.6510316783571052E-4</v>
          </cell>
        </row>
        <row r="626">
          <cell r="A626" t="str">
            <v>ITOT-SWHCONBR5</v>
          </cell>
          <cell r="B626" t="str">
            <v>VAR_fout</v>
          </cell>
          <cell r="C626" t="str">
            <v>ITOT-SWHC</v>
          </cell>
          <cell r="H626">
            <v>6.5415426289792988E-4</v>
          </cell>
          <cell r="I626">
            <v>7.6604157367962439E-4</v>
          </cell>
          <cell r="J626">
            <v>7.3812585290631389E-4</v>
          </cell>
          <cell r="K626">
            <v>1.004940369722147E-3</v>
          </cell>
          <cell r="L626">
            <v>9.1521842117827724E-4</v>
          </cell>
          <cell r="M626">
            <v>1.3642174991979883E-3</v>
          </cell>
          <cell r="N626">
            <v>1.0887179104604077E-3</v>
          </cell>
          <cell r="O626">
            <v>2.2812735876406691E-3</v>
          </cell>
        </row>
        <row r="627">
          <cell r="A627" t="str">
            <v>ITOT-SWHCONBR5</v>
          </cell>
          <cell r="B627" t="str">
            <v>VAR_fin</v>
          </cell>
          <cell r="C627" t="str">
            <v>CON</v>
          </cell>
          <cell r="H627">
            <v>7.8752240496357355E-4</v>
          </cell>
          <cell r="I627">
            <v>9.2222115886507678E-4</v>
          </cell>
          <cell r="J627">
            <v>8.8861401631998641E-4</v>
          </cell>
          <cell r="K627">
            <v>1.2098263386721281E-3</v>
          </cell>
          <cell r="L627">
            <v>1.1018119929698347E-3</v>
          </cell>
          <cell r="M627">
            <v>1.6423524339692745E-3</v>
          </cell>
          <cell r="N627">
            <v>1.3106843382391584E-3</v>
          </cell>
          <cell r="O627">
            <v>2.7463767554763816E-3</v>
          </cell>
        </row>
        <row r="628">
          <cell r="A628" t="str">
            <v>ITOT-SWHCONBR5</v>
          </cell>
          <cell r="B628" t="str">
            <v>VAR_ncap</v>
          </cell>
          <cell r="C628" t="str">
            <v>-</v>
          </cell>
          <cell r="H628">
            <v>4.0989794550457699E-5</v>
          </cell>
          <cell r="I628">
            <v>5.9001854700323802E-6</v>
          </cell>
          <cell r="J628">
            <v>3.1802898117260102E-7</v>
          </cell>
          <cell r="K628">
            <v>5.5949235252639298E-5</v>
          </cell>
          <cell r="L628">
            <v>1.0925509361593299E-6</v>
          </cell>
          <cell r="M628">
            <v>2.8804046787699499E-5</v>
          </cell>
          <cell r="N628">
            <v>3.0661141865237199E-5</v>
          </cell>
          <cell r="O628">
            <v>8.5528980172289699E-5</v>
          </cell>
        </row>
        <row r="629">
          <cell r="A629" t="str">
            <v>ITOT-SWHCONBR5</v>
          </cell>
          <cell r="B629" t="str">
            <v>VAR_cap</v>
          </cell>
          <cell r="C629" t="str">
            <v>-</v>
          </cell>
          <cell r="H629">
            <v>4.0989794550457699E-5</v>
          </cell>
          <cell r="I629">
            <v>4.6889980020490098E-5</v>
          </cell>
          <cell r="J629">
            <v>4.7208009001662703E-5</v>
          </cell>
          <cell r="K629">
            <v>6.2167449703844302E-5</v>
          </cell>
          <cell r="L629">
            <v>5.8224265341685198E-5</v>
          </cell>
          <cell r="M629">
            <v>8.5845832976498204E-5</v>
          </cell>
          <cell r="N629">
            <v>7.0121222137868702E-5</v>
          </cell>
          <cell r="O629">
            <v>1.44994168825226E-4</v>
          </cell>
        </row>
        <row r="630">
          <cell r="A630" t="str">
            <v>RHES-SHSTG-ELC</v>
          </cell>
          <cell r="B630" t="str">
            <v>VAR_fout</v>
          </cell>
          <cell r="C630" t="str">
            <v>RHES-SHAELCB</v>
          </cell>
          <cell r="D630">
            <v>1.0281098677051351E-6</v>
          </cell>
          <cell r="E630">
            <v>0.70551205156490815</v>
          </cell>
          <cell r="F630">
            <v>0.63012769956354386</v>
          </cell>
          <cell r="G630">
            <v>0.66088242611633918</v>
          </cell>
          <cell r="H630">
            <v>0.49023290204394404</v>
          </cell>
          <cell r="I630">
            <v>0.43005053166068929</v>
          </cell>
          <cell r="J630">
            <v>0.3618469513967722</v>
          </cell>
          <cell r="K630">
            <v>9.9670035650723798E-2</v>
          </cell>
          <cell r="L630">
            <v>4.591576024731852E-2</v>
          </cell>
          <cell r="M630">
            <v>3.3498326358212857E-2</v>
          </cell>
          <cell r="N630">
            <v>3.4221820803864704E-2</v>
          </cell>
          <cell r="O630">
            <v>2.5668605974357148E-2</v>
          </cell>
        </row>
        <row r="631">
          <cell r="A631" t="str">
            <v>RHES-SHSTG-ELC</v>
          </cell>
          <cell r="B631" t="str">
            <v>VAR_fin</v>
          </cell>
          <cell r="C631" t="str">
            <v>RHES-SHAELCB</v>
          </cell>
          <cell r="D631">
            <v>8.8561830294491623E-6</v>
          </cell>
          <cell r="E631">
            <v>0.70553058579915562</v>
          </cell>
          <cell r="F631">
            <v>0.63014558516536501</v>
          </cell>
          <cell r="G631">
            <v>0.66090128228066725</v>
          </cell>
          <cell r="H631">
            <v>0.49025066071296514</v>
          </cell>
          <cell r="I631">
            <v>0.43007169626836189</v>
          </cell>
          <cell r="J631">
            <v>0.36185997438330708</v>
          </cell>
          <cell r="K631">
            <v>9.967956295067143E-2</v>
          </cell>
          <cell r="L631">
            <v>4.5921758876321543E-2</v>
          </cell>
          <cell r="M631">
            <v>3.3507714071641714E-2</v>
          </cell>
          <cell r="N631">
            <v>3.4227850938249767E-2</v>
          </cell>
          <cell r="O631">
            <v>2.5678491991934459E-2</v>
          </cell>
        </row>
        <row r="632">
          <cell r="A632" t="str">
            <v>RHES-SHSTG-ELC</v>
          </cell>
          <cell r="B632" t="str">
            <v>VAR_ncap</v>
          </cell>
          <cell r="C632" t="str">
            <v>-</v>
          </cell>
          <cell r="D632">
            <v>5.1096466092322903E-3</v>
          </cell>
          <cell r="E632">
            <v>5.5928042451382297E-2</v>
          </cell>
          <cell r="F632">
            <v>2.6657238275292799E-5</v>
          </cell>
          <cell r="G632">
            <v>3.2350040198100599E-5</v>
          </cell>
          <cell r="H632">
            <v>1.6879513654444601E-2</v>
          </cell>
          <cell r="I632">
            <v>2.0074152998080401E-2</v>
          </cell>
          <cell r="J632">
            <v>8.6590907480339405E-5</v>
          </cell>
          <cell r="K632">
            <v>2.1420102340737499E-4</v>
          </cell>
          <cell r="L632">
            <v>2.6904887067443202E-3</v>
          </cell>
          <cell r="M632">
            <v>7.6446754773724305E-4</v>
          </cell>
          <cell r="N632">
            <v>9.0947505013621601E-4</v>
          </cell>
          <cell r="O632">
            <v>1.4698545585967199E-3</v>
          </cell>
        </row>
        <row r="633">
          <cell r="A633" t="str">
            <v>RHES-SHSTG-ELC</v>
          </cell>
          <cell r="B633" t="str">
            <v>VAR_cap</v>
          </cell>
          <cell r="C633" t="str">
            <v>-</v>
          </cell>
          <cell r="D633">
            <v>5.1096466092322903E-3</v>
          </cell>
          <cell r="E633">
            <v>6.1017401269262792E-2</v>
          </cell>
          <cell r="F633">
            <v>6.1017803832690669E-2</v>
          </cell>
          <cell r="G633">
            <v>6.1018461047004258E-2</v>
          </cell>
          <cell r="H633">
            <v>4.6817382454752275E-2</v>
          </cell>
          <cell r="I633">
            <v>3.6952613033745328E-2</v>
          </cell>
          <cell r="J633">
            <v>3.6936149380582352E-2</v>
          </cell>
          <cell r="K633">
            <v>9.2667242750087003E-3</v>
          </cell>
          <cell r="L633">
            <v>4.2226417057260098E-3</v>
          </cell>
          <cell r="M633">
            <v>3.4785605838856307E-3</v>
          </cell>
          <cell r="N633">
            <v>3.3675170299879262E-3</v>
          </cell>
          <cell r="O633">
            <v>2.9571111694763051E-3</v>
          </cell>
        </row>
        <row r="634">
          <cell r="A634" t="str">
            <v>RHES-SHCONBR4</v>
          </cell>
          <cell r="B634" t="str">
            <v>VAR_fout</v>
          </cell>
          <cell r="C634" t="str">
            <v>RHES-SHCON</v>
          </cell>
          <cell r="E634">
            <v>0.42679804868406268</v>
          </cell>
          <cell r="F634">
            <v>0.42671687285659732</v>
          </cell>
          <cell r="G634">
            <v>0.42666844354379491</v>
          </cell>
          <cell r="H634">
            <v>0.42672514820586288</v>
          </cell>
          <cell r="I634">
            <v>0.42673669793736568</v>
          </cell>
          <cell r="J634">
            <v>0.42668638532627873</v>
          </cell>
          <cell r="K634">
            <v>0.28796596237225558</v>
          </cell>
          <cell r="L634">
            <v>1.9496064359609272E-4</v>
          </cell>
          <cell r="M634">
            <v>2.2992548151896857E-4</v>
          </cell>
          <cell r="N634">
            <v>2.0005917954206621E-4</v>
          </cell>
          <cell r="O634">
            <v>3.1609119331091318E-4</v>
          </cell>
        </row>
        <row r="635">
          <cell r="A635" t="str">
            <v>RHES-SHCONBR4</v>
          </cell>
          <cell r="B635" t="str">
            <v>VAR_fin</v>
          </cell>
          <cell r="C635" t="str">
            <v>CON</v>
          </cell>
          <cell r="E635">
            <v>0.42679804868406268</v>
          </cell>
          <cell r="F635">
            <v>0.42671687285659732</v>
          </cell>
          <cell r="G635">
            <v>0.42666844354379491</v>
          </cell>
          <cell r="H635">
            <v>0.42672514820586288</v>
          </cell>
          <cell r="I635">
            <v>0.42673669793736568</v>
          </cell>
          <cell r="J635">
            <v>0.42668638532627873</v>
          </cell>
          <cell r="K635">
            <v>0.28796596237225558</v>
          </cell>
          <cell r="L635">
            <v>1.9496064359609272E-4</v>
          </cell>
          <cell r="M635">
            <v>2.2992548151896857E-4</v>
          </cell>
          <cell r="N635">
            <v>2.0005917954206621E-4</v>
          </cell>
          <cell r="O635">
            <v>3.1609119331091318E-4</v>
          </cell>
        </row>
        <row r="636">
          <cell r="A636" t="str">
            <v>RHES-SHCONBR4</v>
          </cell>
          <cell r="B636" t="str">
            <v>VAR_ncap</v>
          </cell>
          <cell r="C636" t="str">
            <v>-</v>
          </cell>
          <cell r="E636">
            <v>3.4471186625277497E-2</v>
          </cell>
          <cell r="F636">
            <v>2.55413850980459E-8</v>
          </cell>
          <cell r="G636">
            <v>3.0884324195091803E-8</v>
          </cell>
          <cell r="H636">
            <v>1.7713594130868898E-8</v>
          </cell>
          <cell r="I636">
            <v>2.5701118634920999E-8</v>
          </cell>
          <cell r="J636">
            <v>2.4609238462485401E-8</v>
          </cell>
          <cell r="K636">
            <v>3.0298464063796603E-7</v>
          </cell>
          <cell r="L636">
            <v>1.2861977470702099E-5</v>
          </cell>
          <cell r="M636">
            <v>1.2364375292024001E-7</v>
          </cell>
          <cell r="N636">
            <v>2.7589009160843502E-7</v>
          </cell>
          <cell r="O636">
            <v>1.1821340149941799E-6</v>
          </cell>
        </row>
        <row r="637">
          <cell r="A637" t="str">
            <v>RHES-SHCONBR4</v>
          </cell>
          <cell r="B637" t="str">
            <v>VAR_cap</v>
          </cell>
          <cell r="C637" t="str">
            <v>-</v>
          </cell>
          <cell r="E637">
            <v>3.4471186625277497E-2</v>
          </cell>
          <cell r="F637">
            <v>3.4471212166662601E-2</v>
          </cell>
          <cell r="G637">
            <v>3.4471243050986797E-2</v>
          </cell>
          <cell r="H637">
            <v>3.4471260764580999E-2</v>
          </cell>
          <cell r="I637">
            <v>3.4471286465699601E-2</v>
          </cell>
          <cell r="J637">
            <v>3.4471311074937998E-2</v>
          </cell>
          <cell r="K637">
            <v>2.32637501634585E-2</v>
          </cell>
          <cell r="L637">
            <v>1.32633373779037E-5</v>
          </cell>
          <cell r="M637">
            <v>1.33566298154886E-5</v>
          </cell>
          <cell r="N637">
            <v>1.3613920269481399E-5</v>
          </cell>
          <cell r="O637">
            <v>1.4771239209325401E-5</v>
          </cell>
        </row>
        <row r="638">
          <cell r="A638" t="str">
            <v>ITOT-SWHCONBR6</v>
          </cell>
          <cell r="B638" t="str">
            <v>VAR_fout</v>
          </cell>
          <cell r="C638" t="str">
            <v>ITOT-SWHC</v>
          </cell>
          <cell r="I638">
            <v>5.509806435962599E-4</v>
          </cell>
          <cell r="J638">
            <v>5.3660815428419853E-4</v>
          </cell>
          <cell r="K638">
            <v>1.0861487441597268E-3</v>
          </cell>
          <cell r="L638">
            <v>6.8382304778305731E-4</v>
          </cell>
          <cell r="M638">
            <v>1.2003593620194106E-3</v>
          </cell>
          <cell r="N638">
            <v>9.3432669917832784E-4</v>
          </cell>
          <cell r="O638">
            <v>1.9925428406232814E-3</v>
          </cell>
        </row>
        <row r="639">
          <cell r="A639" t="str">
            <v>ITOT-SWHCONBR6</v>
          </cell>
          <cell r="B639" t="str">
            <v>VAR_fin</v>
          </cell>
          <cell r="C639" t="str">
            <v>CON</v>
          </cell>
          <cell r="I639">
            <v>5.509806435962599E-4</v>
          </cell>
          <cell r="J639">
            <v>5.3660815428419853E-4</v>
          </cell>
          <cell r="K639">
            <v>1.0861487441597268E-3</v>
          </cell>
          <cell r="L639">
            <v>6.8382304778305731E-4</v>
          </cell>
          <cell r="M639">
            <v>1.2003593620194106E-3</v>
          </cell>
          <cell r="N639">
            <v>9.3432669917832784E-4</v>
          </cell>
          <cell r="O639">
            <v>1.9925428406232814E-3</v>
          </cell>
        </row>
        <row r="640">
          <cell r="A640" t="str">
            <v>ITOT-SWHCONBR6</v>
          </cell>
          <cell r="B640" t="str">
            <v>VAR_ncap</v>
          </cell>
          <cell r="C640" t="str">
            <v>-</v>
          </cell>
          <cell r="I640">
            <v>2.4660854057303399E-5</v>
          </cell>
          <cell r="J640">
            <v>2.4679407325325301E-7</v>
          </cell>
          <cell r="K640">
            <v>2.9437785250145801E-5</v>
          </cell>
          <cell r="L640">
            <v>1.8917455404958099E-6</v>
          </cell>
          <cell r="M640">
            <v>2.9681029966921701E-5</v>
          </cell>
          <cell r="N640">
            <v>1.2545392243799E-5</v>
          </cell>
          <cell r="O640">
            <v>5.9795655730705201E-5</v>
          </cell>
        </row>
        <row r="641">
          <cell r="A641" t="str">
            <v>ITOT-SWHCONBR6</v>
          </cell>
          <cell r="B641" t="str">
            <v>VAR_cap</v>
          </cell>
          <cell r="C641" t="str">
            <v>-</v>
          </cell>
          <cell r="I641">
            <v>2.4660854057303399E-5</v>
          </cell>
          <cell r="J641">
            <v>2.4907648130556701E-5</v>
          </cell>
          <cell r="K641">
            <v>5.4345433380702502E-5</v>
          </cell>
          <cell r="L641">
            <v>3.5332866567873502E-5</v>
          </cell>
          <cell r="M641">
            <v>6.1010560757563302E-5</v>
          </cell>
          <cell r="N641">
            <v>4.8732535656283903E-5</v>
          </cell>
          <cell r="O641">
            <v>1.02022077941426E-4</v>
          </cell>
        </row>
        <row r="642">
          <cell r="A642" t="str">
            <v>RHNM-SHNGAHP</v>
          </cell>
          <cell r="B642" t="str">
            <v>VAR_fout</v>
          </cell>
          <cell r="C642" t="str">
            <v>CO2_R</v>
          </cell>
          <cell r="F642">
            <v>0.195127391064599</v>
          </cell>
          <cell r="G642">
            <v>0.189707336612081</v>
          </cell>
          <cell r="H642">
            <v>51.273303234906699</v>
          </cell>
          <cell r="I642">
            <v>86.224052727920693</v>
          </cell>
          <cell r="J642">
            <v>109.780092265373</v>
          </cell>
          <cell r="K642">
            <v>126.041785172958</v>
          </cell>
          <cell r="L642">
            <v>140.109071442595</v>
          </cell>
          <cell r="M642">
            <v>150.23850737014101</v>
          </cell>
          <cell r="N642">
            <v>150.236747271958</v>
          </cell>
          <cell r="O642">
            <v>150.23639643487201</v>
          </cell>
        </row>
        <row r="643">
          <cell r="A643" t="str">
            <v>RHNM-SHNGAHP</v>
          </cell>
          <cell r="B643" t="str">
            <v>VAR_fout</v>
          </cell>
          <cell r="C643" t="str">
            <v>RHNM-SHANGAH</v>
          </cell>
          <cell r="F643">
            <v>6.9194110306595412E-3</v>
          </cell>
          <cell r="G643">
            <v>6.9962989388852662E-3</v>
          </cell>
          <cell r="H643">
            <v>1.9545674105505235</v>
          </cell>
          <cell r="I643">
            <v>3.3939254797160299</v>
          </cell>
          <cell r="J643">
            <v>4.4379186234938128</v>
          </cell>
          <cell r="K643">
            <v>5.2293932146227062</v>
          </cell>
          <cell r="L643">
            <v>5.81303594283108</v>
          </cell>
          <cell r="M643">
            <v>6.2332997738675679</v>
          </cell>
          <cell r="N643">
            <v>6.2332267485173976</v>
          </cell>
          <cell r="O643">
            <v>6.2332121925106376</v>
          </cell>
        </row>
        <row r="644">
          <cell r="A644" t="str">
            <v>RHNM-SHNGAHP</v>
          </cell>
          <cell r="B644" t="str">
            <v>VAR_fin</v>
          </cell>
          <cell r="C644" t="str">
            <v>RNGA</v>
          </cell>
          <cell r="F644">
            <v>3.4597055153297693E-3</v>
          </cell>
          <cell r="G644">
            <v>3.3636052590794562E-3</v>
          </cell>
          <cell r="H644">
            <v>0.9091011211862885</v>
          </cell>
          <cell r="I644">
            <v>1.528795261133346</v>
          </cell>
          <cell r="J644">
            <v>1.9464555366200946</v>
          </cell>
          <cell r="K644">
            <v>2.2347834250524388</v>
          </cell>
          <cell r="L644">
            <v>2.4842033943722592</v>
          </cell>
          <cell r="M644">
            <v>2.6638033221656285</v>
          </cell>
          <cell r="N644">
            <v>2.6637721147510272</v>
          </cell>
          <cell r="O644">
            <v>2.6637658942353184</v>
          </cell>
        </row>
        <row r="645">
          <cell r="A645" t="str">
            <v>RHNM-SHNGAHP</v>
          </cell>
          <cell r="B645" t="str">
            <v>VAR_fin</v>
          </cell>
          <cell r="C645" t="str">
            <v>RHNMELCHPC</v>
          </cell>
          <cell r="F645">
            <v>6.9194110306595412E-3</v>
          </cell>
          <cell r="G645">
            <v>6.9962989388852662E-3</v>
          </cell>
          <cell r="H645">
            <v>1.9545674105505235</v>
          </cell>
          <cell r="I645">
            <v>3.3939254797160299</v>
          </cell>
          <cell r="J645">
            <v>4.4379186234938128</v>
          </cell>
          <cell r="K645">
            <v>5.2293932146227062</v>
          </cell>
          <cell r="L645">
            <v>5.81303594283108</v>
          </cell>
          <cell r="M645">
            <v>6.2332997738675679</v>
          </cell>
          <cell r="N645">
            <v>6.2332267485173976</v>
          </cell>
          <cell r="O645">
            <v>6.2332121925106376</v>
          </cell>
        </row>
        <row r="646">
          <cell r="A646" t="str">
            <v>RHNM-SHNGAHP</v>
          </cell>
          <cell r="B646" t="str">
            <v>VAR_ncap</v>
          </cell>
          <cell r="C646" t="str">
            <v>-</v>
          </cell>
          <cell r="E646">
            <v>3.4155729204010999E-7</v>
          </cell>
          <cell r="F646">
            <v>5.6155024340522302E-4</v>
          </cell>
          <cell r="G646">
            <v>1.1601119575482899E-6</v>
          </cell>
          <cell r="H646">
            <v>0.15119066895552699</v>
          </cell>
          <cell r="I646">
            <v>0.112163134757539</v>
          </cell>
          <cell r="J646">
            <v>8.1159467835385496E-2</v>
          </cell>
          <cell r="K646">
            <v>0.21270910879055599</v>
          </cell>
          <cell r="L646">
            <v>0.15091721027073601</v>
          </cell>
          <cell r="M646">
            <v>0.120632456519813</v>
          </cell>
          <cell r="N646">
            <v>0.222523730249823</v>
          </cell>
          <cell r="O646">
            <v>0.140786236378692</v>
          </cell>
        </row>
        <row r="647">
          <cell r="A647" t="str">
            <v>RHNM-SHNGAHP</v>
          </cell>
          <cell r="B647" t="str">
            <v>VAR_cap</v>
          </cell>
          <cell r="C647" t="str">
            <v>-</v>
          </cell>
          <cell r="E647">
            <v>3.4155729204010999E-7</v>
          </cell>
          <cell r="F647">
            <v>5.6175744454513028E-4</v>
          </cell>
          <cell r="G647">
            <v>5.6279162586839009E-4</v>
          </cell>
          <cell r="H647">
            <v>0.15175306318575738</v>
          </cell>
          <cell r="I647">
            <v>0.26347196437982284</v>
          </cell>
          <cell r="J647">
            <v>0.34451278992881146</v>
          </cell>
          <cell r="K647">
            <v>0.40603077546145083</v>
          </cell>
          <cell r="L647">
            <v>0.45126605225786032</v>
          </cell>
          <cell r="M647">
            <v>0.48425808465910336</v>
          </cell>
          <cell r="N647">
            <v>0.4839049864593522</v>
          </cell>
          <cell r="O647">
            <v>0.48394173448542466</v>
          </cell>
        </row>
        <row r="648">
          <cell r="A648" t="str">
            <v>D-SCOM_KEV_WOD_ELC_CHP</v>
          </cell>
          <cell r="B648" t="str">
            <v>VAR_fout</v>
          </cell>
          <cell r="C648" t="str">
            <v>ELC5</v>
          </cell>
          <cell r="G648">
            <v>3.6356410366432828E-3</v>
          </cell>
          <cell r="H648">
            <v>1.5575129869647728E-3</v>
          </cell>
          <cell r="I648">
            <v>1.2316357457811964E-3</v>
          </cell>
          <cell r="J648">
            <v>1.8386505108717002E-3</v>
          </cell>
          <cell r="K648">
            <v>2.9833901200410026E-3</v>
          </cell>
          <cell r="L648">
            <v>2.694277573455812E-3</v>
          </cell>
          <cell r="M648">
            <v>3.5345852273904184E-3</v>
          </cell>
          <cell r="N648">
            <v>3.5314519020401532E-3</v>
          </cell>
          <cell r="O648">
            <v>7.7279731876382617E-3</v>
          </cell>
        </row>
        <row r="649">
          <cell r="A649" t="str">
            <v>D-SCOM_KEV_WOD_ELC_CHP</v>
          </cell>
          <cell r="B649" t="str">
            <v>VAR_fout</v>
          </cell>
          <cell r="C649" t="str">
            <v>SCOM_ELC</v>
          </cell>
          <cell r="G649">
            <v>3.4396333677737067E-4</v>
          </cell>
          <cell r="H649">
            <v>1.5557213658734022E-3</v>
          </cell>
          <cell r="I649">
            <v>1.2282375217375768E-3</v>
          </cell>
          <cell r="J649">
            <v>1.8322829920673536E-3</v>
          </cell>
          <cell r="K649">
            <v>2.981140055672171E-3</v>
          </cell>
          <cell r="L649">
            <v>2.6908513736029686E-3</v>
          </cell>
          <cell r="M649">
            <v>3.5315779235008827E-3</v>
          </cell>
          <cell r="N649">
            <v>3.5261922633407277E-3</v>
          </cell>
          <cell r="O649">
            <v>7.7147453931412611E-3</v>
          </cell>
        </row>
        <row r="650">
          <cell r="A650" t="str">
            <v>D-SCOM_KEV_WOD_ELC_CHP</v>
          </cell>
          <cell r="B650" t="str">
            <v>VAR_fin</v>
          </cell>
          <cell r="C650" t="str">
            <v>SCOM_KEV_WOD_ELC_CHP</v>
          </cell>
          <cell r="G650">
            <v>3.9749258279597396E-3</v>
          </cell>
          <cell r="H650">
            <v>3.0993185991248836E-3</v>
          </cell>
          <cell r="I650">
            <v>2.4352982555070333E-3</v>
          </cell>
          <cell r="J650">
            <v>3.646891764244025E-3</v>
          </cell>
          <cell r="K650">
            <v>5.9326226555966597E-3</v>
          </cell>
          <cell r="L650">
            <v>5.353799139702041E-3</v>
          </cell>
          <cell r="M650">
            <v>7.025501060492126E-3</v>
          </cell>
          <cell r="N650">
            <v>7.0292029218229904E-3</v>
          </cell>
          <cell r="O650">
            <v>1.5385836093663754E-2</v>
          </cell>
        </row>
        <row r="651">
          <cell r="A651" t="str">
            <v>RHES-SHCONBR5</v>
          </cell>
          <cell r="B651" t="str">
            <v>VAR_fout</v>
          </cell>
          <cell r="C651" t="str">
            <v>RHES-SHCON</v>
          </cell>
          <cell r="E651">
            <v>8.4983154658028874E-4</v>
          </cell>
          <cell r="F651">
            <v>8.4485025734437353E-4</v>
          </cell>
          <cell r="G651">
            <v>7.5658380739097267E-4</v>
          </cell>
          <cell r="H651">
            <v>8.0911928521444718E-4</v>
          </cell>
          <cell r="I651">
            <v>8.0419252420134055E-4</v>
          </cell>
          <cell r="J651">
            <v>7.9876625775454299E-4</v>
          </cell>
          <cell r="K651">
            <v>5.6140700427502271E-4</v>
          </cell>
          <cell r="L651">
            <v>1.2666060657714752E-4</v>
          </cell>
          <cell r="M651">
            <v>1.6233886109678417E-4</v>
          </cell>
          <cell r="N651">
            <v>1.3318239160997511E-4</v>
          </cell>
          <cell r="O651">
            <v>2.4807405050037069E-4</v>
          </cell>
        </row>
        <row r="652">
          <cell r="A652" t="str">
            <v>RHES-SHCONBR5</v>
          </cell>
          <cell r="B652" t="str">
            <v>VAR_fin</v>
          </cell>
          <cell r="C652" t="str">
            <v>CON</v>
          </cell>
          <cell r="E652">
            <v>8.4983154658028874E-4</v>
          </cell>
          <cell r="F652">
            <v>8.4485025734437353E-4</v>
          </cell>
          <cell r="G652">
            <v>7.5658380739097267E-4</v>
          </cell>
          <cell r="H652">
            <v>8.0911928521444718E-4</v>
          </cell>
          <cell r="I652">
            <v>8.0419252420134055E-4</v>
          </cell>
          <cell r="J652">
            <v>7.9876625775454299E-4</v>
          </cell>
          <cell r="K652">
            <v>5.6140700427502271E-4</v>
          </cell>
          <cell r="L652">
            <v>1.2666060657714752E-4</v>
          </cell>
          <cell r="M652">
            <v>1.6233886109678417E-4</v>
          </cell>
          <cell r="N652">
            <v>1.3318239160997511E-4</v>
          </cell>
          <cell r="O652">
            <v>2.4807405050037069E-4</v>
          </cell>
        </row>
        <row r="653">
          <cell r="A653" t="str">
            <v>RHES-SHCONBR5</v>
          </cell>
          <cell r="B653" t="str">
            <v>VAR_ncap</v>
          </cell>
          <cell r="C653" t="str">
            <v>-</v>
          </cell>
          <cell r="E653">
            <v>5.9809868800359301E-5</v>
          </cell>
          <cell r="F653">
            <v>1.9713188941517599E-8</v>
          </cell>
          <cell r="G653">
            <v>2.51927314965553E-8</v>
          </cell>
          <cell r="H653">
            <v>1.6911385875863499E-8</v>
          </cell>
          <cell r="I653">
            <v>2.27861690805839E-8</v>
          </cell>
          <cell r="J653">
            <v>2.30462041133192E-8</v>
          </cell>
          <cell r="K653">
            <v>2.7645266808665598E-7</v>
          </cell>
          <cell r="L653">
            <v>7.3660903675357204E-6</v>
          </cell>
          <cell r="M653">
            <v>1.6206041658435499E-7</v>
          </cell>
          <cell r="N653">
            <v>3.20420703942783E-7</v>
          </cell>
          <cell r="O653">
            <v>1.0688288086658E-6</v>
          </cell>
        </row>
        <row r="654">
          <cell r="A654" t="str">
            <v>RHES-SHCONBR5</v>
          </cell>
          <cell r="B654" t="str">
            <v>VAR_cap</v>
          </cell>
          <cell r="C654" t="str">
            <v>-</v>
          </cell>
          <cell r="E654">
            <v>5.9809868800359301E-5</v>
          </cell>
          <cell r="F654">
            <v>5.98295819893008E-5</v>
          </cell>
          <cell r="G654">
            <v>5.9854774720797402E-5</v>
          </cell>
          <cell r="H654">
            <v>5.9871686106673201E-5</v>
          </cell>
          <cell r="I654">
            <v>5.9894472275753803E-5</v>
          </cell>
          <cell r="J654">
            <v>5.9917518479867102E-5</v>
          </cell>
          <cell r="K654">
            <v>4.0747559962686599E-5</v>
          </cell>
          <cell r="L654">
            <v>7.7297043800015307E-6</v>
          </cell>
          <cell r="M654">
            <v>7.8673472112765007E-6</v>
          </cell>
          <cell r="N654">
            <v>8.1702847324543007E-6</v>
          </cell>
          <cell r="O654">
            <v>9.2168991689286397E-6</v>
          </cell>
        </row>
        <row r="655">
          <cell r="A655" t="str">
            <v>RHNS-SHCONBR</v>
          </cell>
          <cell r="B655" t="str">
            <v>VAR_fout</v>
          </cell>
          <cell r="C655" t="str">
            <v>RHNS-SHCON</v>
          </cell>
          <cell r="F655">
            <v>1.0907927043210323E-4</v>
          </cell>
          <cell r="G655">
            <v>5.5420452281290275E-5</v>
          </cell>
          <cell r="H655">
            <v>9.1408020597759937E-5</v>
          </cell>
          <cell r="I655">
            <v>9.4066850150418356E-5</v>
          </cell>
          <cell r="J655">
            <v>9.6538935206492694E-5</v>
          </cell>
          <cell r="K655">
            <v>2.8405982772426009E-4</v>
          </cell>
          <cell r="L655">
            <v>2.2273978348379936E-4</v>
          </cell>
          <cell r="M655">
            <v>2.99212098688066E-4</v>
          </cell>
          <cell r="N655">
            <v>2.2624022583937981E-4</v>
          </cell>
          <cell r="O655">
            <v>3.7112894277691131E-4</v>
          </cell>
        </row>
        <row r="656">
          <cell r="A656" t="str">
            <v>RHNS-SHCONBR</v>
          </cell>
          <cell r="B656" t="str">
            <v>VAR_fin</v>
          </cell>
          <cell r="C656" t="str">
            <v>CON</v>
          </cell>
          <cell r="F656">
            <v>1.0907927043210323E-4</v>
          </cell>
          <cell r="G656">
            <v>5.5420452281290275E-5</v>
          </cell>
          <cell r="H656">
            <v>9.1408020597759937E-5</v>
          </cell>
          <cell r="I656">
            <v>9.4066850150418356E-5</v>
          </cell>
          <cell r="J656">
            <v>9.6538935206492694E-5</v>
          </cell>
          <cell r="K656">
            <v>2.8405982772426009E-4</v>
          </cell>
          <cell r="L656">
            <v>2.2273978348379936E-4</v>
          </cell>
          <cell r="M656">
            <v>2.99212098688066E-4</v>
          </cell>
          <cell r="N656">
            <v>2.2624022583937981E-4</v>
          </cell>
          <cell r="O656">
            <v>3.7112894277691131E-4</v>
          </cell>
        </row>
        <row r="657">
          <cell r="A657" t="str">
            <v>RHNS-SHCONBR</v>
          </cell>
          <cell r="B657" t="str">
            <v>VAR_ncap</v>
          </cell>
          <cell r="C657" t="str">
            <v>-</v>
          </cell>
          <cell r="E657">
            <v>3.5068358042050099E-8</v>
          </cell>
          <cell r="F657">
            <v>2.0158755560073199E-6</v>
          </cell>
          <cell r="G657">
            <v>4.57599411731123E-7</v>
          </cell>
          <cell r="H657">
            <v>9.1582747229418397E-7</v>
          </cell>
          <cell r="I657">
            <v>2.4076158135892699E-7</v>
          </cell>
          <cell r="J657">
            <v>2.2726097615963501E-7</v>
          </cell>
          <cell r="K657">
            <v>8.8447935617399106E-6</v>
          </cell>
          <cell r="L657">
            <v>4.06707403395567E-7</v>
          </cell>
          <cell r="M657">
            <v>1.76842163127794E-7</v>
          </cell>
          <cell r="N657">
            <v>2.7165927563534698E-7</v>
          </cell>
          <cell r="O657">
            <v>9.6902552598782391E-7</v>
          </cell>
        </row>
        <row r="658">
          <cell r="A658" t="str">
            <v>RHNS-SHCONBR</v>
          </cell>
          <cell r="B658" t="str">
            <v>VAR_cap</v>
          </cell>
          <cell r="C658" t="str">
            <v>-</v>
          </cell>
          <cell r="E658">
            <v>3.5068358042050099E-8</v>
          </cell>
          <cell r="F658">
            <v>2.0157095701567958E-6</v>
          </cell>
          <cell r="G658">
            <v>2.4682716308575488E-6</v>
          </cell>
          <cell r="H658">
            <v>3.3059544011489722E-6</v>
          </cell>
          <cell r="I658">
            <v>3.5174268539294809E-6</v>
          </cell>
          <cell r="J658">
            <v>3.7028432410544299E-6</v>
          </cell>
          <cell r="K658">
            <v>1.2331335653214535E-5</v>
          </cell>
          <cell r="L658">
            <v>1.2904334462449917E-5</v>
          </cell>
          <cell r="M658">
            <v>1.2772011557813858E-5</v>
          </cell>
          <cell r="N658">
            <v>1.3159587932446496E-5</v>
          </cell>
          <cell r="O658">
            <v>1.4434578983439113E-5</v>
          </cell>
        </row>
        <row r="659">
          <cell r="A659" t="str">
            <v>D-RHEM_SOLELC</v>
          </cell>
          <cell r="B659" t="str">
            <v>VAR_fout</v>
          </cell>
          <cell r="C659" t="str">
            <v>ELC5</v>
          </cell>
          <cell r="D659">
            <v>0.17894867468413006</v>
          </cell>
          <cell r="E659">
            <v>0.673650790705278</v>
          </cell>
          <cell r="F659">
            <v>1.6431360709478831</v>
          </cell>
          <cell r="G659">
            <v>4.260074235910591</v>
          </cell>
          <cell r="H659">
            <v>4.3810334064045424</v>
          </cell>
          <cell r="I659">
            <v>4.416388412734725</v>
          </cell>
          <cell r="J659">
            <v>5.0841457070293545</v>
          </cell>
          <cell r="K659">
            <v>5.3623574982933464</v>
          </cell>
          <cell r="L659">
            <v>5.4914949554338595</v>
          </cell>
          <cell r="M659">
            <v>5.837646742582808</v>
          </cell>
          <cell r="N659">
            <v>5.5279378927410319</v>
          </cell>
          <cell r="O659">
            <v>5.7397523368162124</v>
          </cell>
        </row>
        <row r="660">
          <cell r="A660" t="str">
            <v>D-RHEM_SOLELC</v>
          </cell>
          <cell r="B660" t="str">
            <v>VAR_fout</v>
          </cell>
          <cell r="C660" t="str">
            <v>RHEM_ELC</v>
          </cell>
          <cell r="D660">
            <v>0.68353455110171779</v>
          </cell>
          <cell r="E660">
            <v>0.61393228490759633</v>
          </cell>
          <cell r="F660">
            <v>1.2843415128823039</v>
          </cell>
          <cell r="G660">
            <v>2.4868471598895909</v>
          </cell>
          <cell r="H660">
            <v>2.7099194835023224</v>
          </cell>
          <cell r="I660">
            <v>3.0362804905707916</v>
          </cell>
          <cell r="J660">
            <v>2.7487140747044583</v>
          </cell>
          <cell r="K660">
            <v>2.8693838681957637</v>
          </cell>
          <cell r="L660">
            <v>3.1607245427441955</v>
          </cell>
          <cell r="M660">
            <v>3.2549630142947859</v>
          </cell>
          <cell r="N660">
            <v>4.0281994501120808</v>
          </cell>
          <cell r="O660">
            <v>4.2959918157644479</v>
          </cell>
        </row>
        <row r="661">
          <cell r="A661" t="str">
            <v>D-RHEM_SOLELC</v>
          </cell>
          <cell r="B661" t="str">
            <v>VAR_fin</v>
          </cell>
          <cell r="C661" t="str">
            <v>RHEM_SOL_ELC</v>
          </cell>
          <cell r="D661">
            <v>0.86248322578584768</v>
          </cell>
          <cell r="E661">
            <v>1.2875826910935031</v>
          </cell>
          <cell r="F661">
            <v>2.9274775838301874</v>
          </cell>
          <cell r="G661">
            <v>6.7469213958001806</v>
          </cell>
          <cell r="H661">
            <v>7.0909528899068652</v>
          </cell>
          <cell r="I661">
            <v>7.4526689033055185</v>
          </cell>
          <cell r="J661">
            <v>7.8328597817338128</v>
          </cell>
          <cell r="K661">
            <v>8.2317413664891106</v>
          </cell>
          <cell r="L661">
            <v>8.6522194981780594</v>
          </cell>
          <cell r="M661">
            <v>9.0926097568775912</v>
          </cell>
          <cell r="N661">
            <v>9.5561373428531251</v>
          </cell>
          <cell r="O661">
            <v>10.035744152580657</v>
          </cell>
        </row>
        <row r="662">
          <cell r="A662" t="str">
            <v>ITOT-SWHCONBR7</v>
          </cell>
          <cell r="B662" t="str">
            <v>VAR_fout</v>
          </cell>
          <cell r="C662" t="str">
            <v>ITOT-ELS</v>
          </cell>
          <cell r="I662">
            <v>3.4568414836937063E-4</v>
          </cell>
          <cell r="J662">
            <v>4.59972537258711E-4</v>
          </cell>
          <cell r="K662">
            <v>5.7771307328517425E-4</v>
          </cell>
          <cell r="L662">
            <v>4.5436670714287279E-4</v>
          </cell>
          <cell r="M662">
            <v>6.5813874430630914E-4</v>
          </cell>
          <cell r="N662">
            <v>6.193974209148628E-4</v>
          </cell>
          <cell r="O662">
            <v>1.2322701048334491E-3</v>
          </cell>
        </row>
        <row r="663">
          <cell r="A663" t="str">
            <v>ITOT-SWHCONBR7</v>
          </cell>
          <cell r="B663" t="str">
            <v>VAR_fout</v>
          </cell>
          <cell r="C663" t="str">
            <v>ITOT-SWHC</v>
          </cell>
          <cell r="I663">
            <v>6.0279589825818778E-5</v>
          </cell>
          <cell r="J663">
            <v>8.0208930631870911E-5</v>
          </cell>
          <cell r="K663">
            <v>1.0074024874705278E-4</v>
          </cell>
          <cell r="L663">
            <v>7.9231399143632521E-5</v>
          </cell>
          <cell r="M663">
            <v>1.1476468835034079E-4</v>
          </cell>
          <cell r="N663">
            <v>1.0800906737563972E-4</v>
          </cell>
          <cell r="O663">
            <v>2.1488036643962241E-4</v>
          </cell>
        </row>
        <row r="664">
          <cell r="A664" t="str">
            <v>ITOT-SWHCONBR7</v>
          </cell>
          <cell r="B664" t="str">
            <v>VAR_fin</v>
          </cell>
          <cell r="C664" t="str">
            <v>CON</v>
          </cell>
          <cell r="I664">
            <v>4.0596373819518951E-4</v>
          </cell>
          <cell r="J664">
            <v>5.4018146789058157E-4</v>
          </cell>
          <cell r="K664">
            <v>6.7845332203222649E-4</v>
          </cell>
          <cell r="L664">
            <v>5.3359810628650535E-4</v>
          </cell>
          <cell r="M664">
            <v>7.7290343265665022E-4</v>
          </cell>
          <cell r="N664">
            <v>7.2740648829050319E-4</v>
          </cell>
          <cell r="O664">
            <v>1.4471504712730721E-3</v>
          </cell>
        </row>
        <row r="665">
          <cell r="A665" t="str">
            <v>ITOT-SWHCONBR7</v>
          </cell>
          <cell r="B665" t="str">
            <v>VAR_ncap</v>
          </cell>
          <cell r="C665" t="str">
            <v>-</v>
          </cell>
          <cell r="I665">
            <v>2.1647772981980501E-5</v>
          </cell>
          <cell r="J665">
            <v>7.6887471039823592E-6</v>
          </cell>
          <cell r="K665">
            <v>7.7650886027702396E-6</v>
          </cell>
          <cell r="L665">
            <v>1.1156957408998099E-5</v>
          </cell>
          <cell r="M665">
            <v>2.3299634922730401E-5</v>
          </cell>
          <cell r="N665">
            <v>7.3943548325992499E-6</v>
          </cell>
          <cell r="O665">
            <v>4.757460125738E-5</v>
          </cell>
        </row>
        <row r="666">
          <cell r="A666" t="str">
            <v>ITOT-SWHCONBR7</v>
          </cell>
          <cell r="B666" t="str">
            <v>VAR_cap</v>
          </cell>
          <cell r="C666" t="str">
            <v>-</v>
          </cell>
          <cell r="I666">
            <v>2.1647772981980501E-5</v>
          </cell>
          <cell r="J666">
            <v>2.9336520085962901E-5</v>
          </cell>
          <cell r="K666">
            <v>3.71016086887331E-5</v>
          </cell>
          <cell r="L666">
            <v>2.8918337869705199E-5</v>
          </cell>
          <cell r="M666">
            <v>4.2221680934498797E-5</v>
          </cell>
          <cell r="N666">
            <v>3.96894063507032E-5</v>
          </cell>
          <cell r="O666">
            <v>7.8268591012709696E-5</v>
          </cell>
        </row>
        <row r="667">
          <cell r="A667" t="str">
            <v>RHNS-SHSTG-ELCHP</v>
          </cell>
          <cell r="B667" t="str">
            <v>VAR_fout</v>
          </cell>
          <cell r="C667" t="str">
            <v>RHNS-SHAELCH</v>
          </cell>
          <cell r="E667">
            <v>2.5098413573230192E-2</v>
          </cell>
          <cell r="F667">
            <v>7.8253982722613247E-2</v>
          </cell>
          <cell r="G667">
            <v>0.21966975303842778</v>
          </cell>
          <cell r="H667">
            <v>0.18113885841371163</v>
          </cell>
          <cell r="I667">
            <v>0.1830219586532465</v>
          </cell>
          <cell r="J667">
            <v>0.1719492541621781</v>
          </cell>
          <cell r="K667">
            <v>0.23958061371198927</v>
          </cell>
          <cell r="L667">
            <v>0.26445441253145668</v>
          </cell>
          <cell r="M667">
            <v>0.23010056597421394</v>
          </cell>
          <cell r="N667">
            <v>0.23883894109609219</v>
          </cell>
          <cell r="O667">
            <v>0.21771048151277897</v>
          </cell>
        </row>
        <row r="668">
          <cell r="A668" t="str">
            <v>RHNS-SHSTG-ELCHP</v>
          </cell>
          <cell r="B668" t="str">
            <v>VAR_fin</v>
          </cell>
          <cell r="C668" t="str">
            <v>RHNS-SHAELCH</v>
          </cell>
          <cell r="E668">
            <v>2.5107881489781089E-2</v>
          </cell>
          <cell r="F668">
            <v>7.8252841395047387E-2</v>
          </cell>
          <cell r="G668">
            <v>0.21967116948354107</v>
          </cell>
          <cell r="H668">
            <v>0.18114824935959492</v>
          </cell>
          <cell r="I668">
            <v>0.18303856903486715</v>
          </cell>
          <cell r="J668">
            <v>0.17196464690940511</v>
          </cell>
          <cell r="K668">
            <v>0.23960557697708146</v>
          </cell>
          <cell r="L668">
            <v>0.26447921093419585</v>
          </cell>
          <cell r="M668">
            <v>0.23012881638692242</v>
          </cell>
          <cell r="N668">
            <v>0.23887141848896243</v>
          </cell>
          <cell r="O668">
            <v>0.21773882805335365</v>
          </cell>
        </row>
        <row r="669">
          <cell r="A669" t="str">
            <v>RHNS-SHSTG-ELCHP</v>
          </cell>
          <cell r="B669" t="str">
            <v>VAR_ncap</v>
          </cell>
          <cell r="C669" t="str">
            <v>-</v>
          </cell>
          <cell r="D669">
            <v>4.5968575219448399E-5</v>
          </cell>
          <cell r="E669">
            <v>3.0355477449383402E-3</v>
          </cell>
          <cell r="F669">
            <v>5.3150554809948299E-3</v>
          </cell>
          <cell r="G669">
            <v>1.1305920624392601E-2</v>
          </cell>
          <cell r="H669">
            <v>1.4224053026815401E-3</v>
          </cell>
          <cell r="I669">
            <v>7.87445383777244E-3</v>
          </cell>
          <cell r="J669">
            <v>1.02557410896529E-2</v>
          </cell>
          <cell r="K669">
            <v>5.1697591233994403E-3</v>
          </cell>
          <cell r="L669">
            <v>8.0736137762115606E-3</v>
          </cell>
          <cell r="M669">
            <v>1.01141266403624E-2</v>
          </cell>
          <cell r="N669">
            <v>6.8688462880894998E-3</v>
          </cell>
          <cell r="O669">
            <v>6.4115782031254299E-3</v>
          </cell>
        </row>
        <row r="670">
          <cell r="A670" t="str">
            <v>RHNS-SHSTG-ELCHP</v>
          </cell>
          <cell r="B670" t="str">
            <v>VAR_cap</v>
          </cell>
          <cell r="C670" t="str">
            <v>-</v>
          </cell>
          <cell r="D670">
            <v>4.5968575219448399E-5</v>
          </cell>
          <cell r="E670">
            <v>3.0725353461081937E-3</v>
          </cell>
          <cell r="F670">
            <v>8.3786085418785759E-3</v>
          </cell>
          <cell r="G670">
            <v>1.9679371392375633E-2</v>
          </cell>
          <cell r="H670">
            <v>1.9541949687624821E-2</v>
          </cell>
          <cell r="I670">
            <v>1.9505779469649615E-2</v>
          </cell>
          <cell r="J670">
            <v>1.950905230314285E-2</v>
          </cell>
          <cell r="K670">
            <v>2.3164261925759648E-2</v>
          </cell>
          <cell r="L670">
            <v>2.316457175733358E-2</v>
          </cell>
          <cell r="M670">
            <v>2.3165322702628059E-2</v>
          </cell>
          <cell r="N670">
            <v>2.3164099661348105E-2</v>
          </cell>
          <cell r="O670">
            <v>2.3177226781150702E-2</v>
          </cell>
        </row>
        <row r="671">
          <cell r="A671" t="str">
            <v>RHNS-SHSOLBR</v>
          </cell>
          <cell r="B671" t="str">
            <v>VAR_fout</v>
          </cell>
          <cell r="C671" t="str">
            <v>RHNS-SHASOL</v>
          </cell>
          <cell r="E671">
            <v>1.3411472173481856E-2</v>
          </cell>
          <cell r="F671">
            <v>1.5687334274981792E-2</v>
          </cell>
          <cell r="G671">
            <v>1.390430977939845E-2</v>
          </cell>
          <cell r="H671">
            <v>1.6351393258636569E-2</v>
          </cell>
          <cell r="I671">
            <v>1.2996028271263265E-2</v>
          </cell>
          <cell r="J671">
            <v>1.3909199768623837E-2</v>
          </cell>
          <cell r="K671">
            <v>1.7869183914969868E-2</v>
          </cell>
          <cell r="L671">
            <v>1.7992615095693894E-2</v>
          </cell>
          <cell r="M671">
            <v>1.7944884989923821E-2</v>
          </cell>
          <cell r="N671">
            <v>4.8411678982794781E-3</v>
          </cell>
          <cell r="O671">
            <v>3.3232197732405719E-3</v>
          </cell>
        </row>
        <row r="672">
          <cell r="A672" t="str">
            <v>RHNS-SHSOLBR</v>
          </cell>
          <cell r="B672" t="str">
            <v>VAR_fin</v>
          </cell>
          <cell r="C672" t="str">
            <v>SOL</v>
          </cell>
          <cell r="E672">
            <v>1.3411472173481856E-2</v>
          </cell>
          <cell r="F672">
            <v>1.5687334274981792E-2</v>
          </cell>
          <cell r="G672">
            <v>1.390430977939845E-2</v>
          </cell>
          <cell r="H672">
            <v>1.6351393258636569E-2</v>
          </cell>
          <cell r="I672">
            <v>1.2996028271263265E-2</v>
          </cell>
          <cell r="J672">
            <v>1.3909199768623837E-2</v>
          </cell>
          <cell r="K672">
            <v>1.7869183914969868E-2</v>
          </cell>
          <cell r="L672">
            <v>1.7992615095693894E-2</v>
          </cell>
          <cell r="M672">
            <v>1.7944884989923821E-2</v>
          </cell>
          <cell r="N672">
            <v>4.8411678982794781E-3</v>
          </cell>
          <cell r="O672">
            <v>3.3232197732405719E-3</v>
          </cell>
        </row>
        <row r="673">
          <cell r="A673" t="str">
            <v>RHNS-SHSOLBR</v>
          </cell>
          <cell r="B673" t="str">
            <v>VAR_ncap</v>
          </cell>
          <cell r="C673" t="str">
            <v>-</v>
          </cell>
          <cell r="E673">
            <v>2.43223357592832E-3</v>
          </cell>
          <cell r="F673">
            <v>8.0851348607215295E-5</v>
          </cell>
          <cell r="G673">
            <v>4.5291505856790603E-7</v>
          </cell>
          <cell r="H673">
            <v>1.1851953446629199E-3</v>
          </cell>
          <cell r="I673">
            <v>1.3095724509202601E-3</v>
          </cell>
          <cell r="J673">
            <v>1.6148687668838301E-5</v>
          </cell>
          <cell r="K673">
            <v>1.3492424260754599E-3</v>
          </cell>
          <cell r="L673">
            <v>1.11024887099764E-3</v>
          </cell>
          <cell r="M673">
            <v>2.16648527289777E-4</v>
          </cell>
          <cell r="N673">
            <v>1.4613747432112099E-3</v>
          </cell>
          <cell r="O673">
            <v>1.0076402604513701E-3</v>
          </cell>
        </row>
        <row r="674">
          <cell r="A674" t="str">
            <v>RHNS-SHSOLBR</v>
          </cell>
          <cell r="B674" t="str">
            <v>VAR_cap</v>
          </cell>
          <cell r="C674" t="str">
            <v>-</v>
          </cell>
          <cell r="E674">
            <v>2.43223357592832E-3</v>
          </cell>
          <cell r="F674">
            <v>2.5130849245355298E-3</v>
          </cell>
          <cell r="G674">
            <v>2.5135378395941001E-3</v>
          </cell>
          <cell r="H674">
            <v>2.5126393982892298E-3</v>
          </cell>
          <cell r="I674">
            <v>2.51211308060414E-3</v>
          </cell>
          <cell r="J674">
            <v>2.5109164832520202E-3</v>
          </cell>
          <cell r="K674">
            <v>2.6749635646645602E-3</v>
          </cell>
          <cell r="L674">
            <v>2.67472150484232E-3</v>
          </cell>
          <cell r="M674">
            <v>2.6761398243628802E-3</v>
          </cell>
          <cell r="N674">
            <v>2.6752884631550599E-3</v>
          </cell>
          <cell r="O674">
            <v>2.6856635309523498E-3</v>
          </cell>
        </row>
        <row r="675">
          <cell r="A675" t="str">
            <v>RHES-SHPLTBR</v>
          </cell>
          <cell r="B675" t="str">
            <v>VAR_fout</v>
          </cell>
          <cell r="C675" t="str">
            <v>RHES-SHPLT</v>
          </cell>
          <cell r="D675">
            <v>1.2957617522100351</v>
          </cell>
          <cell r="E675">
            <v>1.4868847913908452</v>
          </cell>
          <cell r="F675">
            <v>1.4868930663875179</v>
          </cell>
          <cell r="G675">
            <v>1.486886427254253</v>
          </cell>
          <cell r="H675">
            <v>1.4868890982557936</v>
          </cell>
          <cell r="I675">
            <v>1.4868879347880006</v>
          </cell>
          <cell r="J675">
            <v>1.4868930106071032</v>
          </cell>
          <cell r="K675">
            <v>1.4868931519106627</v>
          </cell>
          <cell r="L675">
            <v>1.4868899573147001</v>
          </cell>
          <cell r="M675">
            <v>1.4868937773233275</v>
          </cell>
          <cell r="N675">
            <v>1.4868925332484955</v>
          </cell>
          <cell r="O675">
            <v>1.486902684898586</v>
          </cell>
        </row>
        <row r="676">
          <cell r="A676" t="str">
            <v>RHES-SHPLTBR</v>
          </cell>
          <cell r="B676" t="str">
            <v>VAR_fin</v>
          </cell>
          <cell r="C676" t="str">
            <v>RPLT</v>
          </cell>
          <cell r="D676">
            <v>1.4397352802333723</v>
          </cell>
          <cell r="E676">
            <v>1.6520942126564946</v>
          </cell>
          <cell r="F676">
            <v>1.6521034070972438</v>
          </cell>
          <cell r="G676">
            <v>1.6520960302825041</v>
          </cell>
          <cell r="H676">
            <v>1.652098998061992</v>
          </cell>
          <cell r="I676">
            <v>1.6520977053199997</v>
          </cell>
          <cell r="J676">
            <v>1.6521033451190024</v>
          </cell>
          <cell r="K676">
            <v>1.6521035021229589</v>
          </cell>
          <cell r="L676">
            <v>1.6520999525718889</v>
          </cell>
          <cell r="M676">
            <v>1.6521041970259163</v>
          </cell>
          <cell r="N676">
            <v>1.6521028147205488</v>
          </cell>
          <cell r="O676">
            <v>1.6521140943317634</v>
          </cell>
        </row>
        <row r="677">
          <cell r="A677" t="str">
            <v>RHES-SHPLTBR</v>
          </cell>
          <cell r="B677" t="str">
            <v>VAR_ncap</v>
          </cell>
          <cell r="C677" t="str">
            <v>-</v>
          </cell>
          <cell r="E677">
            <v>1.54699232673944E-2</v>
          </cell>
          <cell r="F677">
            <v>1.2614049706322399E-6</v>
          </cell>
          <cell r="G677">
            <v>2.61171224030949E-6</v>
          </cell>
          <cell r="H677">
            <v>8.5077322688676196E-2</v>
          </cell>
          <cell r="I677">
            <v>3.5063165632669403E-2</v>
          </cell>
          <cell r="J677">
            <v>1.2497830666562799E-6</v>
          </cell>
          <cell r="K677">
            <v>8.5096653443427595E-2</v>
          </cell>
          <cell r="L677">
            <v>2.9661528506700102E-2</v>
          </cell>
          <cell r="M677">
            <v>5.3989447764406099E-3</v>
          </cell>
          <cell r="N677">
            <v>7.9428557212702505E-2</v>
          </cell>
          <cell r="O677">
            <v>3.5356456887078003E-2</v>
          </cell>
        </row>
        <row r="678">
          <cell r="A678" t="str">
            <v>RHES-SHPLTBR</v>
          </cell>
          <cell r="B678" t="str">
            <v>VAR_cap</v>
          </cell>
          <cell r="C678" t="str">
            <v>-</v>
          </cell>
          <cell r="D678">
            <v>0.104681131456585</v>
          </cell>
          <cell r="E678">
            <v>0.12015100291067954</v>
          </cell>
          <cell r="F678">
            <v>0.12015205367491923</v>
          </cell>
          <cell r="G678">
            <v>0.12015448215493552</v>
          </cell>
          <cell r="H678">
            <v>0.12015398011781493</v>
          </cell>
          <cell r="I678">
            <v>0.12014257197237212</v>
          </cell>
          <cell r="J678">
            <v>0.12014149236598298</v>
          </cell>
          <cell r="K678">
            <v>0.1201607046663694</v>
          </cell>
          <cell r="L678">
            <v>0.12014652156336077</v>
          </cell>
          <cell r="M678">
            <v>0.12015673741172928</v>
          </cell>
          <cell r="N678">
            <v>0.12015788898727323</v>
          </cell>
          <cell r="O678">
            <v>0.12018356858894952</v>
          </cell>
        </row>
        <row r="679">
          <cell r="A679" t="str">
            <v>RHES-SHCONBR6</v>
          </cell>
          <cell r="B679" t="str">
            <v>VAR_fout</v>
          </cell>
          <cell r="C679" t="str">
            <v>RHES-SHCON</v>
          </cell>
          <cell r="E679">
            <v>2.0399344352150663E-4</v>
          </cell>
          <cell r="F679">
            <v>1.9988926231310778E-4</v>
          </cell>
          <cell r="G679">
            <v>1.1132586452851332E-4</v>
          </cell>
          <cell r="H679">
            <v>1.6375766236834612E-4</v>
          </cell>
          <cell r="I679">
            <v>1.586373682417997E-4</v>
          </cell>
          <cell r="J679">
            <v>1.5388117849123123E-4</v>
          </cell>
          <cell r="K679">
            <v>1.3634660333559627E-4</v>
          </cell>
          <cell r="L679">
            <v>7.9248270757882082E-5</v>
          </cell>
          <cell r="M679">
            <v>1.155081987777839E-4</v>
          </cell>
          <cell r="N679">
            <v>8.6457013927828145E-5</v>
          </cell>
          <cell r="O679">
            <v>1.9706095885151036E-4</v>
          </cell>
        </row>
        <row r="680">
          <cell r="A680" t="str">
            <v>RHES-SHCONBR6</v>
          </cell>
          <cell r="B680" t="str">
            <v>VAR_fin</v>
          </cell>
          <cell r="C680" t="str">
            <v>CON</v>
          </cell>
          <cell r="E680">
            <v>2.0399344352150663E-4</v>
          </cell>
          <cell r="F680">
            <v>1.9988926231310778E-4</v>
          </cell>
          <cell r="G680">
            <v>1.1132586452851332E-4</v>
          </cell>
          <cell r="H680">
            <v>1.6375766236834612E-4</v>
          </cell>
          <cell r="I680">
            <v>1.586373682417997E-4</v>
          </cell>
          <cell r="J680">
            <v>1.5388117849123123E-4</v>
          </cell>
          <cell r="K680">
            <v>1.3634660333559627E-4</v>
          </cell>
          <cell r="L680">
            <v>7.9248270757882082E-5</v>
          </cell>
          <cell r="M680">
            <v>1.155081987777839E-4</v>
          </cell>
          <cell r="N680">
            <v>8.6457013927828145E-5</v>
          </cell>
          <cell r="O680">
            <v>1.9706095885151036E-4</v>
          </cell>
        </row>
        <row r="681">
          <cell r="A681" t="str">
            <v>RHES-SHCONBR6</v>
          </cell>
          <cell r="B681" t="str">
            <v>VAR_ncap</v>
          </cell>
          <cell r="C681" t="str">
            <v>-</v>
          </cell>
          <cell r="E681">
            <v>7.6336332808772293E-6</v>
          </cell>
          <cell r="F681">
            <v>2.4132477170132901E-8</v>
          </cell>
          <cell r="G681">
            <v>3.1629370732810201E-8</v>
          </cell>
          <cell r="H681">
            <v>1.67846521953357E-8</v>
          </cell>
          <cell r="I681">
            <v>1.8967713450978098E-8</v>
          </cell>
          <cell r="J681">
            <v>2.44799877914654E-8</v>
          </cell>
          <cell r="K681">
            <v>1.07814866866141E-6</v>
          </cell>
          <cell r="L681">
            <v>2.7157165118668802E-6</v>
          </cell>
          <cell r="M681">
            <v>2.0422672798821101E-7</v>
          </cell>
          <cell r="N681">
            <v>3.1953026759626002E-7</v>
          </cell>
          <cell r="O681">
            <v>7.00998792861454E-7</v>
          </cell>
        </row>
        <row r="682">
          <cell r="A682" t="str">
            <v>RHES-SHCONBR6</v>
          </cell>
          <cell r="B682" t="str">
            <v>VAR_cap</v>
          </cell>
          <cell r="C682" t="str">
            <v>-</v>
          </cell>
          <cell r="E682">
            <v>7.6336332808772293E-6</v>
          </cell>
          <cell r="F682">
            <v>7.6577657580473596E-6</v>
          </cell>
          <cell r="G682">
            <v>7.6893951287801696E-6</v>
          </cell>
          <cell r="H682">
            <v>7.7061797809755108E-6</v>
          </cell>
          <cell r="I682">
            <v>7.7251474944264892E-6</v>
          </cell>
          <cell r="J682">
            <v>7.7496274822179507E-6</v>
          </cell>
          <cell r="K682">
            <v>6.3457982667113998E-6</v>
          </cell>
          <cell r="L682">
            <v>3.8845663086475603E-6</v>
          </cell>
          <cell r="M682">
            <v>4.0583242619542897E-6</v>
          </cell>
          <cell r="N682">
            <v>4.3610734122661896E-6</v>
          </cell>
          <cell r="O682">
            <v>5.0431009567656904E-6</v>
          </cell>
        </row>
        <row r="683">
          <cell r="A683" t="str">
            <v>RHSA-WHPLTBR</v>
          </cell>
          <cell r="B683" t="str">
            <v>VAR_fout</v>
          </cell>
          <cell r="C683" t="str">
            <v>RHSA-WHPLT</v>
          </cell>
          <cell r="D683">
            <v>0.1697943749262836</v>
          </cell>
          <cell r="E683">
            <v>0.19483745016305562</v>
          </cell>
          <cell r="F683">
            <v>0.12882769492714588</v>
          </cell>
          <cell r="G683">
            <v>0.13410816708376669</v>
          </cell>
          <cell r="H683">
            <v>0.13877439137847891</v>
          </cell>
          <cell r="I683">
            <v>0.14225983830804056</v>
          </cell>
          <cell r="J683">
            <v>0.14503932202699968</v>
          </cell>
          <cell r="K683">
            <v>0.14725251790258079</v>
          </cell>
          <cell r="L683">
            <v>0.14896477229971822</v>
          </cell>
          <cell r="M683">
            <v>0.15050471054401734</v>
          </cell>
          <cell r="N683">
            <v>0.15049945709175641</v>
          </cell>
          <cell r="O683">
            <v>0.15053453033550124</v>
          </cell>
        </row>
        <row r="684">
          <cell r="A684" t="str">
            <v>RHSA-WHPLTBR</v>
          </cell>
          <cell r="B684" t="str">
            <v>VAR_fin</v>
          </cell>
          <cell r="C684" t="str">
            <v>RPLT</v>
          </cell>
          <cell r="D684">
            <v>0.27167099988205401</v>
          </cell>
          <cell r="E684">
            <v>0.31173992026088865</v>
          </cell>
          <cell r="F684">
            <v>0.20612431188343361</v>
          </cell>
          <cell r="G684">
            <v>0.21457306733402651</v>
          </cell>
          <cell r="H684">
            <v>0.22203902620556629</v>
          </cell>
          <cell r="I684">
            <v>0.22761574129286474</v>
          </cell>
          <cell r="J684">
            <v>0.2320629152431995</v>
          </cell>
          <cell r="K684">
            <v>0.23560402864412916</v>
          </cell>
          <cell r="L684">
            <v>0.23834363567954889</v>
          </cell>
          <cell r="M684">
            <v>0.2408075368704278</v>
          </cell>
          <cell r="N684">
            <v>0.24079913134681036</v>
          </cell>
          <cell r="O684">
            <v>0.24085524853680212</v>
          </cell>
        </row>
        <row r="685">
          <cell r="A685" t="str">
            <v>RHSA-WHPLTBR</v>
          </cell>
          <cell r="B685" t="str">
            <v>VAR_ncap</v>
          </cell>
          <cell r="C685" t="str">
            <v>-</v>
          </cell>
          <cell r="E685">
            <v>1.9531093808162201E-3</v>
          </cell>
          <cell r="F685">
            <v>1.5528643625787301E-7</v>
          </cell>
          <cell r="G685">
            <v>3.14559657918078E-7</v>
          </cell>
          <cell r="H685">
            <v>5.5255611165560504E-3</v>
          </cell>
          <cell r="I685">
            <v>4.1574809499866803E-3</v>
          </cell>
          <cell r="J685">
            <v>1.6880312743165399E-4</v>
          </cell>
          <cell r="K685">
            <v>5.7018479044090896E-3</v>
          </cell>
          <cell r="L685">
            <v>3.6258386249539399E-3</v>
          </cell>
          <cell r="M685">
            <v>9.0524033597431496E-4</v>
          </cell>
          <cell r="N685">
            <v>5.8342917051563102E-3</v>
          </cell>
          <cell r="O685">
            <v>3.5240410288164101E-3</v>
          </cell>
        </row>
        <row r="686">
          <cell r="A686" t="str">
            <v>RHSA-WHPLTBR</v>
          </cell>
          <cell r="B686" t="str">
            <v>VAR_cap</v>
          </cell>
          <cell r="C686" t="str">
            <v>-</v>
          </cell>
          <cell r="D686">
            <v>1.12410901121583E-2</v>
          </cell>
          <cell r="E686">
            <v>1.3194138048644929E-2</v>
          </cell>
          <cell r="F686">
            <v>1.3192245978430927E-2</v>
          </cell>
          <cell r="G686">
            <v>1.3191537700020258E-2</v>
          </cell>
          <cell r="H686">
            <v>9.4403011456140676E-3</v>
          </cell>
          <cell r="I686">
            <v>9.6829501947125578E-3</v>
          </cell>
          <cell r="J686">
            <v>9.851500143750986E-3</v>
          </cell>
          <cell r="K686">
            <v>1.0027552022417299E-2</v>
          </cell>
          <cell r="L686">
            <v>1.0112383766254372E-2</v>
          </cell>
          <cell r="M686">
            <v>1.0232299929353539E-2</v>
          </cell>
          <cell r="N686">
            <v>1.022503247124115E-2</v>
          </cell>
          <cell r="O686">
            <v>1.0262961384050671E-2</v>
          </cell>
        </row>
        <row r="687">
          <cell r="A687" t="str">
            <v>ITOT-SWHCONBR8</v>
          </cell>
          <cell r="B687" t="str">
            <v>VAR_fout</v>
          </cell>
          <cell r="C687" t="str">
            <v>ITOT-ELS</v>
          </cell>
          <cell r="J687">
            <v>6.0884424799312637E-5</v>
          </cell>
          <cell r="K687">
            <v>1.3297837854287127E-4</v>
          </cell>
          <cell r="L687">
            <v>1.2897062632305582E-4</v>
          </cell>
          <cell r="M687">
            <v>1.84503278646668E-4</v>
          </cell>
          <cell r="N687">
            <v>1.522955817374052E-4</v>
          </cell>
          <cell r="O687">
            <v>3.1440477013834015E-4</v>
          </cell>
        </row>
        <row r="688">
          <cell r="A688" t="str">
            <v>ITOT-SWHCONBR8</v>
          </cell>
          <cell r="B688" t="str">
            <v>VAR_fout</v>
          </cell>
          <cell r="C688" t="str">
            <v>ITOT-SWHC</v>
          </cell>
          <cell r="J688">
            <v>2.3507602650458168E-4</v>
          </cell>
          <cell r="K688">
            <v>5.1343227667699411E-4</v>
          </cell>
          <cell r="L688">
            <v>4.9795826226108118E-4</v>
          </cell>
          <cell r="M688">
            <v>7.1237098427537511E-4</v>
          </cell>
          <cell r="N688">
            <v>5.8801639872661099E-4</v>
          </cell>
          <cell r="O688">
            <v>1.2139233362526867E-3</v>
          </cell>
        </row>
        <row r="689">
          <cell r="A689" t="str">
            <v>ITOT-SWHCONBR8</v>
          </cell>
          <cell r="B689" t="str">
            <v>VAR_fin</v>
          </cell>
          <cell r="C689" t="str">
            <v>CON</v>
          </cell>
          <cell r="J689">
            <v>2.9596045130389433E-4</v>
          </cell>
          <cell r="K689">
            <v>6.4641065521986528E-4</v>
          </cell>
          <cell r="L689">
            <v>6.2692888858413662E-4</v>
          </cell>
          <cell r="M689">
            <v>8.9687426292204338E-4</v>
          </cell>
          <cell r="N689">
            <v>7.4031198046401543E-4</v>
          </cell>
          <cell r="O689">
            <v>1.5283281063910264E-3</v>
          </cell>
        </row>
        <row r="690">
          <cell r="A690" t="str">
            <v>ITOT-SWHCONBR8</v>
          </cell>
          <cell r="B690" t="str">
            <v>VAR_ncap</v>
          </cell>
          <cell r="C690" t="str">
            <v>-</v>
          </cell>
          <cell r="J690">
            <v>1.43028997089726E-5</v>
          </cell>
          <cell r="K690">
            <v>1.83001069223974E-5</v>
          </cell>
          <cell r="L690">
            <v>4.6998265361949699E-7</v>
          </cell>
          <cell r="M690">
            <v>2.78197203276806E-5</v>
          </cell>
          <cell r="N690">
            <v>7.3962335971601301E-6</v>
          </cell>
          <cell r="O690">
            <v>4.34513539996198E-5</v>
          </cell>
        </row>
        <row r="691">
          <cell r="A691" t="str">
            <v>ITOT-SWHCONBR8</v>
          </cell>
          <cell r="B691" t="str">
            <v>VAR_cap</v>
          </cell>
          <cell r="C691" t="str">
            <v>-</v>
          </cell>
          <cell r="J691">
            <v>1.43028997089726E-5</v>
          </cell>
          <cell r="K691">
            <v>3.2603006631369999E-5</v>
          </cell>
          <cell r="L691">
            <v>3.1177920459129703E-5</v>
          </cell>
          <cell r="M691">
            <v>4.6589809903697497E-5</v>
          </cell>
          <cell r="N691">
            <v>3.8778295777016798E-5</v>
          </cell>
          <cell r="O691">
            <v>7.8667307924460599E-5</v>
          </cell>
        </row>
        <row r="692">
          <cell r="A692" t="str">
            <v>D-SCOM_KEV_HFC_ELC_CHP</v>
          </cell>
          <cell r="B692" t="str">
            <v>VAR_fout</v>
          </cell>
          <cell r="C692" t="str">
            <v>ELC5</v>
          </cell>
          <cell r="G692">
            <v>5.9422092651218198E-4</v>
          </cell>
          <cell r="H692">
            <v>1.4538883117848425E-3</v>
          </cell>
          <cell r="I692">
            <v>1.6397477321206128E-3</v>
          </cell>
          <cell r="J692">
            <v>1.9624092090068453E-3</v>
          </cell>
          <cell r="K692">
            <v>5.0658880489909911E-3</v>
          </cell>
          <cell r="L692">
            <v>4.6582974055465326E-3</v>
          </cell>
          <cell r="M692">
            <v>1.1359248067140863E-2</v>
          </cell>
          <cell r="N692">
            <v>8.5840890466598128E-3</v>
          </cell>
          <cell r="O692">
            <v>1.6399175942437123E-2</v>
          </cell>
        </row>
        <row r="693">
          <cell r="A693" t="str">
            <v>D-SCOM_KEV_HFC_ELC_CHP</v>
          </cell>
          <cell r="B693" t="str">
            <v>VAR_fout</v>
          </cell>
          <cell r="C693" t="str">
            <v>SCOM_ELC</v>
          </cell>
          <cell r="G693">
            <v>5.9211313640377826E-4</v>
          </cell>
          <cell r="H693">
            <v>1.4518470594833042E-3</v>
          </cell>
          <cell r="I693">
            <v>1.6352704130809764E-3</v>
          </cell>
          <cell r="J693">
            <v>1.9567590154702026E-3</v>
          </cell>
          <cell r="K693">
            <v>5.0617542929822564E-3</v>
          </cell>
          <cell r="L693">
            <v>4.6521024976440362E-3</v>
          </cell>
          <cell r="M693">
            <v>1.1344667262174807E-2</v>
          </cell>
          <cell r="N693">
            <v>8.5744074972756591E-3</v>
          </cell>
          <cell r="O693">
            <v>1.6359754632570622E-2</v>
          </cell>
        </row>
        <row r="694">
          <cell r="A694" t="str">
            <v>D-SCOM_KEV_HFC_ELC_CHP</v>
          </cell>
          <cell r="B694" t="str">
            <v>VAR_fin</v>
          </cell>
          <cell r="C694" t="str">
            <v>SCOM_KEV_HFC_ELC_CHP</v>
          </cell>
          <cell r="G694">
            <v>1.179105126916615E-3</v>
          </cell>
          <cell r="H694">
            <v>2.8953630721704183E-3</v>
          </cell>
          <cell r="I694">
            <v>3.2528650828365759E-3</v>
          </cell>
          <cell r="J694">
            <v>3.8976150945933346E-3</v>
          </cell>
          <cell r="K694">
            <v>1.0094890472438606E-2</v>
          </cell>
          <cell r="L694">
            <v>9.2836695781904639E-3</v>
          </cell>
          <cell r="M694">
            <v>2.2665986264664602E-2</v>
          </cell>
          <cell r="N694">
            <v>1.7124567029159758E-2</v>
          </cell>
          <cell r="O694">
            <v>3.2710624900402413E-2</v>
          </cell>
        </row>
        <row r="695">
          <cell r="A695" t="str">
            <v>D-EH2R</v>
          </cell>
          <cell r="B695" t="str">
            <v>VAR_fout</v>
          </cell>
          <cell r="C695" t="str">
            <v>EH2</v>
          </cell>
          <cell r="I695">
            <v>9.7927235880165549E-4</v>
          </cell>
          <cell r="J695">
            <v>9.2051158555459889E-4</v>
          </cell>
          <cell r="K695">
            <v>1.5857157897972711E-3</v>
          </cell>
          <cell r="L695">
            <v>1.2250430078453868E-3</v>
          </cell>
          <cell r="M695">
            <v>3.1774749236390745E-3</v>
          </cell>
          <cell r="N695">
            <v>2.9872846117694044E-3</v>
          </cell>
          <cell r="O695">
            <v>1.4356463244492555E-2</v>
          </cell>
        </row>
        <row r="696">
          <cell r="A696" t="str">
            <v>D-EH2R</v>
          </cell>
          <cell r="B696" t="str">
            <v>VAR_fin</v>
          </cell>
          <cell r="C696" t="str">
            <v>H2</v>
          </cell>
          <cell r="I696">
            <v>9.7927235880165549E-4</v>
          </cell>
          <cell r="J696">
            <v>9.2051158555459889E-4</v>
          </cell>
          <cell r="K696">
            <v>1.5857157897972711E-3</v>
          </cell>
          <cell r="L696">
            <v>1.2250430078453868E-3</v>
          </cell>
          <cell r="M696">
            <v>3.1774749236390745E-3</v>
          </cell>
          <cell r="N696">
            <v>2.9872846117694044E-3</v>
          </cell>
          <cell r="O696">
            <v>1.4356463244492555E-2</v>
          </cell>
        </row>
        <row r="697">
          <cell r="A697" t="str">
            <v>D-EH2R</v>
          </cell>
          <cell r="B697" t="str">
            <v>VAR_ncap</v>
          </cell>
          <cell r="C697" t="str">
            <v>-</v>
          </cell>
          <cell r="H697">
            <v>8.3385107808061801E-7</v>
          </cell>
          <cell r="I697">
            <v>2.5999086382289303E-4</v>
          </cell>
          <cell r="J697">
            <v>2.4951228674866899E-4</v>
          </cell>
          <cell r="K697">
            <v>5.6502698530256101E-5</v>
          </cell>
          <cell r="L697">
            <v>1.10920740760704E-4</v>
          </cell>
          <cell r="M697">
            <v>2.4572059464940301E-4</v>
          </cell>
          <cell r="N697">
            <v>2.32622016535978E-4</v>
          </cell>
          <cell r="O697">
            <v>1.17678820098301E-3</v>
          </cell>
        </row>
        <row r="698">
          <cell r="A698" t="str">
            <v>D-EH2R</v>
          </cell>
          <cell r="B698" t="str">
            <v>VAR_cap</v>
          </cell>
          <cell r="C698" t="str">
            <v>-</v>
          </cell>
          <cell r="H698">
            <v>8.3385107808061801E-7</v>
          </cell>
          <cell r="I698">
            <v>2.60165969995926E-4</v>
          </cell>
          <cell r="J698">
            <v>2.4951228674866899E-4</v>
          </cell>
          <cell r="K698">
            <v>3.0601498527892601E-4</v>
          </cell>
          <cell r="L698">
            <v>1.66411308261978E-4</v>
          </cell>
          <cell r="M698">
            <v>3.2992963822559202E-4</v>
          </cell>
          <cell r="N698">
            <v>2.7614452084513501E-4</v>
          </cell>
          <cell r="O698">
            <v>1.4094102175189901E-3</v>
          </cell>
        </row>
        <row r="699">
          <cell r="A699" t="str">
            <v>SCOM-ELCSPECADV</v>
          </cell>
          <cell r="B699" t="str">
            <v>VAR_fout</v>
          </cell>
          <cell r="C699" t="str">
            <v>SCOM-ELS</v>
          </cell>
          <cell r="G699">
            <v>2.7479768002363649E-4</v>
          </cell>
          <cell r="H699">
            <v>5.3926526020700377E-4</v>
          </cell>
          <cell r="I699">
            <v>5.9075229078592089E-4</v>
          </cell>
          <cell r="J699">
            <v>6.2245960977857498E-4</v>
          </cell>
          <cell r="K699">
            <v>9.355931340130567E-4</v>
          </cell>
          <cell r="L699">
            <v>6.9692090201319847E-4</v>
          </cell>
          <cell r="M699">
            <v>1.021975109433924E-3</v>
          </cell>
          <cell r="N699">
            <v>9.9411671257658581E-4</v>
          </cell>
          <cell r="O699">
            <v>1.9069288029074458E-3</v>
          </cell>
        </row>
        <row r="700">
          <cell r="A700" t="str">
            <v>SCOM-ELCSPECADV</v>
          </cell>
          <cell r="B700" t="str">
            <v>VAR_fin</v>
          </cell>
          <cell r="C700" t="str">
            <v>SCOM_ELC</v>
          </cell>
          <cell r="G700">
            <v>2.3660897228332649E-4</v>
          </cell>
          <cell r="H700">
            <v>4.5274665951421859E-4</v>
          </cell>
          <cell r="I700">
            <v>4.8390815841823737E-4</v>
          </cell>
          <cell r="J700">
            <v>4.9716823108109803E-4</v>
          </cell>
          <cell r="K700">
            <v>7.2909469488827735E-4</v>
          </cell>
          <cell r="L700">
            <v>5.4310074961226118E-4</v>
          </cell>
          <cell r="M700">
            <v>7.9641096488181529E-4</v>
          </cell>
          <cell r="N700">
            <v>7.7470130432706738E-4</v>
          </cell>
          <cell r="O700">
            <v>1.4860430492535735E-3</v>
          </cell>
        </row>
        <row r="701">
          <cell r="A701" t="str">
            <v>SCOM-ELCSPECADV</v>
          </cell>
          <cell r="B701" t="str">
            <v>VAR_ncap</v>
          </cell>
          <cell r="C701" t="str">
            <v>-</v>
          </cell>
          <cell r="G701">
            <v>2.9051951066357901E-5</v>
          </cell>
          <cell r="H701">
            <v>2.80455261905046E-5</v>
          </cell>
          <cell r="I701">
            <v>5.5315084479618603E-6</v>
          </cell>
          <cell r="J701">
            <v>3.56773642399682E-6</v>
          </cell>
          <cell r="K701">
            <v>3.4141472647997703E-5</v>
          </cell>
          <cell r="L701">
            <v>3.3237727677235502E-6</v>
          </cell>
          <cell r="M701">
            <v>6.2754179706819198E-5</v>
          </cell>
          <cell r="N701">
            <v>2.98644592985409E-6</v>
          </cell>
          <cell r="O701">
            <v>9.9934459538337405E-5</v>
          </cell>
        </row>
        <row r="702">
          <cell r="A702" t="str">
            <v>SCOM-ELCSPECADV</v>
          </cell>
          <cell r="B702" t="str">
            <v>VAR_cap</v>
          </cell>
          <cell r="C702" t="str">
            <v>-</v>
          </cell>
          <cell r="G702">
            <v>2.9051951066357901E-5</v>
          </cell>
          <cell r="H702">
            <v>5.7030415615918635E-5</v>
          </cell>
          <cell r="I702">
            <v>6.2395688129151847E-5</v>
          </cell>
          <cell r="J702">
            <v>6.5596445734697538E-5</v>
          </cell>
          <cell r="K702">
            <v>9.893371695995642E-5</v>
          </cell>
          <cell r="L702">
            <v>7.3461828048301781E-5</v>
          </cell>
          <cell r="M702">
            <v>1.0800574484379438E-4</v>
          </cell>
          <cell r="N702">
            <v>1.0487298529570522E-4</v>
          </cell>
          <cell r="O702">
            <v>2.0174172322525208E-4</v>
          </cell>
        </row>
        <row r="703">
          <cell r="A703" t="str">
            <v>RHSA-WHLTHRD</v>
          </cell>
          <cell r="B703" t="str">
            <v>VAR_fout</v>
          </cell>
          <cell r="C703" t="str">
            <v>RHSA-WHLTHRD</v>
          </cell>
          <cell r="D703">
            <v>1.3170890593454525</v>
          </cell>
          <cell r="E703">
            <v>1.4633808621146664</v>
          </cell>
          <cell r="F703">
            <v>1.453706939654432</v>
          </cell>
          <cell r="G703">
            <v>1.4418097610855591</v>
          </cell>
          <cell r="H703">
            <v>1.4642061795195356</v>
          </cell>
          <cell r="I703">
            <v>1.5964221399917478</v>
          </cell>
          <cell r="J703">
            <v>1.4890088896460418</v>
          </cell>
          <cell r="K703">
            <v>1.5993411130810766</v>
          </cell>
          <cell r="L703">
            <v>1.5703031190405687</v>
          </cell>
          <cell r="M703">
            <v>1.5024553462893557</v>
          </cell>
          <cell r="N703">
            <v>1.548541136620559</v>
          </cell>
          <cell r="O703">
            <v>1.4088431921290756</v>
          </cell>
        </row>
        <row r="704">
          <cell r="A704" t="str">
            <v>RHSA-WHLTHRD</v>
          </cell>
          <cell r="B704" t="str">
            <v>VAR_fin</v>
          </cell>
          <cell r="C704" t="str">
            <v>RHSA_LTH</v>
          </cell>
          <cell r="D704">
            <v>1.7105052718772116</v>
          </cell>
          <cell r="E704">
            <v>1.8955710649153705</v>
          </cell>
          <cell r="F704">
            <v>1.8757508898766859</v>
          </cell>
          <cell r="G704">
            <v>1.8484740526737924</v>
          </cell>
          <cell r="H704">
            <v>1.8652308019357129</v>
          </cell>
          <cell r="I704">
            <v>2.0207875189768925</v>
          </cell>
          <cell r="J704">
            <v>1.884821379298786</v>
          </cell>
          <cell r="K704">
            <v>2.0244824216216162</v>
          </cell>
          <cell r="L704">
            <v>1.9877254671399587</v>
          </cell>
          <cell r="M704">
            <v>1.901842210492853</v>
          </cell>
          <cell r="N704">
            <v>1.9601786539500767</v>
          </cell>
          <cell r="O704">
            <v>1.7833458128216135</v>
          </cell>
        </row>
        <row r="705">
          <cell r="A705" t="str">
            <v>RHSA-WHLTHRD</v>
          </cell>
          <cell r="B705" t="str">
            <v>VAR_ncap</v>
          </cell>
          <cell r="C705" t="str">
            <v>-</v>
          </cell>
          <cell r="E705">
            <v>4.80512446869229E-2</v>
          </cell>
          <cell r="F705">
            <v>4.07946313231917E-2</v>
          </cell>
          <cell r="G705">
            <v>3.6634032177071597E-2</v>
          </cell>
          <cell r="H705">
            <v>3.7595399315172501E-2</v>
          </cell>
          <cell r="I705">
            <v>4.0824737335245401E-2</v>
          </cell>
          <cell r="J705">
            <v>4.8296244822769403E-2</v>
          </cell>
          <cell r="K705">
            <v>3.7421336093527602E-2</v>
          </cell>
          <cell r="L705">
            <v>4.1141793315705999E-2</v>
          </cell>
          <cell r="M705">
            <v>3.08558546019835E-2</v>
          </cell>
          <cell r="N705">
            <v>4.8507304568353199E-2</v>
          </cell>
          <cell r="O705">
            <v>3.7642969031034597E-2</v>
          </cell>
        </row>
        <row r="706">
          <cell r="A706" t="str">
            <v>RHSA-WHLTHRD</v>
          </cell>
          <cell r="B706" t="str">
            <v>VAR_cap</v>
          </cell>
          <cell r="C706" t="str">
            <v>-</v>
          </cell>
          <cell r="D706">
            <v>0.13737412127568699</v>
          </cell>
          <cell r="E706">
            <v>0.15094219982811757</v>
          </cell>
          <cell r="F706">
            <v>0.13264009598412779</v>
          </cell>
          <cell r="G706">
            <v>0.12580239040518895</v>
          </cell>
          <cell r="H706">
            <v>0.13073595928804099</v>
          </cell>
          <cell r="I706">
            <v>0.14183376414299098</v>
          </cell>
          <cell r="J706">
            <v>0.16154280458749498</v>
          </cell>
          <cell r="K706">
            <v>0.15266660487452599</v>
          </cell>
          <cell r="L706">
            <v>0.15594656909721</v>
          </cell>
          <cell r="M706">
            <v>0.133334244671445</v>
          </cell>
          <cell r="N706">
            <v>0.13800794201863897</v>
          </cell>
          <cell r="O706">
            <v>0.12636829901889102</v>
          </cell>
        </row>
        <row r="707">
          <cell r="A707" t="str">
            <v>RHES-SHCONBR7</v>
          </cell>
          <cell r="B707" t="str">
            <v>VAR_fout</v>
          </cell>
          <cell r="C707" t="str">
            <v>RHES-SHCON</v>
          </cell>
          <cell r="E707">
            <v>1.9647722398767584E-4</v>
          </cell>
          <cell r="F707">
            <v>1.9239064952968437E-4</v>
          </cell>
          <cell r="G707">
            <v>1.0382940763319849E-4</v>
          </cell>
          <cell r="H707">
            <v>1.5625735036025636E-4</v>
          </cell>
          <cell r="I707">
            <v>1.5113185656371721E-4</v>
          </cell>
          <cell r="J707">
            <v>1.4639239520259663E-4</v>
          </cell>
          <cell r="K707">
            <v>1.3246510185060815E-4</v>
          </cell>
          <cell r="L707">
            <v>7.7448842501465871E-5</v>
          </cell>
          <cell r="M707">
            <v>1.1368735366955538E-4</v>
          </cell>
          <cell r="N707">
            <v>8.4619661251438721E-5</v>
          </cell>
          <cell r="O707">
            <v>1.9497862923108892E-4</v>
          </cell>
        </row>
        <row r="708">
          <cell r="A708" t="str">
            <v>RHES-SHCONBR7</v>
          </cell>
          <cell r="B708" t="str">
            <v>VAR_fin</v>
          </cell>
          <cell r="C708" t="str">
            <v>CON</v>
          </cell>
          <cell r="E708">
            <v>1.9647722398767584E-4</v>
          </cell>
          <cell r="F708">
            <v>1.9239064952968437E-4</v>
          </cell>
          <cell r="G708">
            <v>1.0382940763319849E-4</v>
          </cell>
          <cell r="H708">
            <v>1.5625735036025636E-4</v>
          </cell>
          <cell r="I708">
            <v>1.5113185656371721E-4</v>
          </cell>
          <cell r="J708">
            <v>1.4639239520259663E-4</v>
          </cell>
          <cell r="K708">
            <v>1.3246510185060815E-4</v>
          </cell>
          <cell r="L708">
            <v>7.7448842501465871E-5</v>
          </cell>
          <cell r="M708">
            <v>1.1368735366955538E-4</v>
          </cell>
          <cell r="N708">
            <v>8.4619661251438721E-5</v>
          </cell>
          <cell r="O708">
            <v>1.9497862923108892E-4</v>
          </cell>
        </row>
        <row r="709">
          <cell r="A709" t="str">
            <v>RHES-SHCONBR7</v>
          </cell>
          <cell r="B709" t="str">
            <v>VAR_ncap</v>
          </cell>
          <cell r="C709" t="str">
            <v>-</v>
          </cell>
          <cell r="E709">
            <v>7.0263950601103697E-6</v>
          </cell>
          <cell r="F709">
            <v>2.3776444423360001E-8</v>
          </cell>
          <cell r="G709">
            <v>3.2236180375700203E-8</v>
          </cell>
          <cell r="H709">
            <v>1.6839835182610798E-8</v>
          </cell>
          <cell r="I709">
            <v>1.8878147882901E-8</v>
          </cell>
          <cell r="J709">
            <v>2.4503897431369299E-8</v>
          </cell>
          <cell r="K709">
            <v>1.1729468388152901E-6</v>
          </cell>
          <cell r="L709">
            <v>2.4744928924714999E-6</v>
          </cell>
          <cell r="M709">
            <v>2.0257817213489401E-7</v>
          </cell>
          <cell r="N709">
            <v>3.1784262084124302E-7</v>
          </cell>
          <cell r="O709">
            <v>6.80220781050915E-7</v>
          </cell>
        </row>
        <row r="710">
          <cell r="A710" t="str">
            <v>RHES-SHCONBR7</v>
          </cell>
          <cell r="B710" t="str">
            <v>VAR_cap</v>
          </cell>
          <cell r="C710" t="str">
            <v>-</v>
          </cell>
          <cell r="E710">
            <v>7.0263950601103697E-6</v>
          </cell>
          <cell r="F710">
            <v>7.0501715045337297E-6</v>
          </cell>
          <cell r="G710">
            <v>7.0824076849094301E-6</v>
          </cell>
          <cell r="H710">
            <v>7.0992475200920396E-6</v>
          </cell>
          <cell r="I710">
            <v>7.1181256679749397E-6</v>
          </cell>
          <cell r="J710">
            <v>7.1426295654063103E-6</v>
          </cell>
          <cell r="K710">
            <v>6.0310342336790802E-6</v>
          </cell>
          <cell r="L710">
            <v>3.73846630963535E-6</v>
          </cell>
          <cell r="M710">
            <v>3.9102397839185702E-6</v>
          </cell>
          <cell r="N710">
            <v>4.2112699000919898E-6</v>
          </cell>
          <cell r="O710">
            <v>4.8725852027452103E-6</v>
          </cell>
        </row>
        <row r="711">
          <cell r="A711" t="str">
            <v>ITOT-SWHCONBR9</v>
          </cell>
          <cell r="B711" t="str">
            <v>VAR_fout</v>
          </cell>
          <cell r="C711" t="str">
            <v>ITOT-ELS</v>
          </cell>
          <cell r="J711">
            <v>1.7834192101865965E-5</v>
          </cell>
          <cell r="K711">
            <v>3.512893540840623E-5</v>
          </cell>
          <cell r="L711">
            <v>2.8399346541921949E-5</v>
          </cell>
          <cell r="M711">
            <v>4.447229792219988E-5</v>
          </cell>
          <cell r="N711">
            <v>3.7388626745079231E-5</v>
          </cell>
          <cell r="O711">
            <v>7.7561294537484651E-5</v>
          </cell>
        </row>
        <row r="712">
          <cell r="A712" t="str">
            <v>ITOT-SWHCONBR9</v>
          </cell>
          <cell r="B712" t="str">
            <v>VAR_fout</v>
          </cell>
          <cell r="C712" t="str">
            <v>ITOT-SWHC</v>
          </cell>
          <cell r="J712">
            <v>1.0350954463152062E-4</v>
          </cell>
          <cell r="K712">
            <v>2.0388813167117236E-4</v>
          </cell>
          <cell r="L712">
            <v>1.6482963801200303E-4</v>
          </cell>
          <cell r="M712">
            <v>2.5811695199596938E-4</v>
          </cell>
          <cell r="N712">
            <v>2.1700336671691035E-4</v>
          </cell>
          <cell r="O712">
            <v>4.5016529107400895E-4</v>
          </cell>
        </row>
        <row r="713">
          <cell r="A713" t="str">
            <v>ITOT-SWHCONBR9</v>
          </cell>
          <cell r="B713" t="str">
            <v>VAR_fin</v>
          </cell>
          <cell r="C713" t="str">
            <v>CON</v>
          </cell>
          <cell r="J713">
            <v>1.2134373673338664E-4</v>
          </cell>
          <cell r="K713">
            <v>2.390170670795785E-4</v>
          </cell>
          <cell r="L713">
            <v>1.9322898455392503E-4</v>
          </cell>
          <cell r="M713">
            <v>3.0258924991816925E-4</v>
          </cell>
          <cell r="N713">
            <v>2.5439199346198929E-4</v>
          </cell>
          <cell r="O713">
            <v>5.277265856114935E-4</v>
          </cell>
        </row>
        <row r="714">
          <cell r="A714" t="str">
            <v>ITOT-SWHCONBR9</v>
          </cell>
          <cell r="B714" t="str">
            <v>VAR_ncap</v>
          </cell>
          <cell r="C714" t="str">
            <v>-</v>
          </cell>
          <cell r="J714">
            <v>4.3662471602802796E-6</v>
          </cell>
          <cell r="K714">
            <v>3.55220763190248E-6</v>
          </cell>
          <cell r="L714">
            <v>2.2950137375405799E-7</v>
          </cell>
          <cell r="M714">
            <v>7.8306072759210707E-6</v>
          </cell>
          <cell r="N714">
            <v>3.6672203364244201E-6</v>
          </cell>
          <cell r="O714">
            <v>1.26316941440778E-5</v>
          </cell>
        </row>
        <row r="715">
          <cell r="A715" t="str">
            <v>ITOT-SWHCONBR9</v>
          </cell>
          <cell r="B715" t="str">
            <v>VAR_cap</v>
          </cell>
          <cell r="C715" t="str">
            <v>-</v>
          </cell>
          <cell r="J715">
            <v>4.3662471602802796E-6</v>
          </cell>
          <cell r="K715">
            <v>7.9184547921827592E-6</v>
          </cell>
          <cell r="L715">
            <v>7.5694483774598097E-6</v>
          </cell>
          <cell r="M715">
            <v>1.16123162815776E-5</v>
          </cell>
          <cell r="N715">
            <v>1.2283747756251901E-5</v>
          </cell>
          <cell r="O715">
            <v>2.4129521756423299E-5</v>
          </cell>
        </row>
        <row r="716">
          <cell r="A716" t="str">
            <v>SCOM-SHPLTBR</v>
          </cell>
          <cell r="B716" t="str">
            <v>VAR_fout</v>
          </cell>
          <cell r="C716" t="str">
            <v>SCOM-SHPLT</v>
          </cell>
          <cell r="D716">
            <v>1.8770752338903489</v>
          </cell>
          <cell r="E716">
            <v>2.160084299782115</v>
          </cell>
          <cell r="F716">
            <v>2.088285675289304</v>
          </cell>
          <cell r="G716">
            <v>2.2799817843479819</v>
          </cell>
          <cell r="H716">
            <v>2.4139693388573455</v>
          </cell>
          <cell r="I716">
            <v>2.7307896875825275</v>
          </cell>
          <cell r="J716">
            <v>2.6025783966563925</v>
          </cell>
          <cell r="K716">
            <v>2.658526008201834</v>
          </cell>
          <cell r="L716">
            <v>2.5947938084754827</v>
          </cell>
          <cell r="M716">
            <v>2.5341043097975824</v>
          </cell>
          <cell r="N716">
            <v>2.4791619913276275</v>
          </cell>
          <cell r="O716">
            <v>2.3697428065328054</v>
          </cell>
        </row>
        <row r="717">
          <cell r="A717" t="str">
            <v>SCOM-SHPLTBR</v>
          </cell>
          <cell r="B717" t="str">
            <v>VAR_fin</v>
          </cell>
          <cell r="C717" t="str">
            <v>SCOMPLTBRC</v>
          </cell>
          <cell r="D717">
            <v>1.8770752338903489</v>
          </cell>
          <cell r="E717">
            <v>2.160084299782115</v>
          </cell>
          <cell r="F717">
            <v>2.088285675289304</v>
          </cell>
          <cell r="G717">
            <v>2.2799817843479819</v>
          </cell>
          <cell r="H717">
            <v>2.4139693388573455</v>
          </cell>
          <cell r="I717">
            <v>2.7307896875825275</v>
          </cell>
          <cell r="J717">
            <v>2.6025783966563925</v>
          </cell>
          <cell r="K717">
            <v>2.658526008201834</v>
          </cell>
          <cell r="L717">
            <v>2.5947938084754827</v>
          </cell>
          <cell r="M717">
            <v>2.5341043097975824</v>
          </cell>
          <cell r="N717">
            <v>2.4791619913276275</v>
          </cell>
          <cell r="O717">
            <v>2.3697428065328054</v>
          </cell>
        </row>
        <row r="718">
          <cell r="A718" t="str">
            <v>SCOM-SHPLTBR</v>
          </cell>
          <cell r="B718" t="str">
            <v>VAR_fin</v>
          </cell>
          <cell r="C718" t="str">
            <v>SPLT</v>
          </cell>
          <cell r="D718">
            <v>2.0856391487670529</v>
          </cell>
          <cell r="E718">
            <v>2.4000936664245707</v>
          </cell>
          <cell r="F718">
            <v>2.3203174169881171</v>
          </cell>
          <cell r="G718">
            <v>2.5333130937199804</v>
          </cell>
          <cell r="H718">
            <v>2.6821881542859396</v>
          </cell>
          <cell r="I718">
            <v>3.0342107639805862</v>
          </cell>
          <cell r="J718">
            <v>2.8917537740626575</v>
          </cell>
          <cell r="K718">
            <v>2.9539177868909241</v>
          </cell>
          <cell r="L718">
            <v>2.8831042316394275</v>
          </cell>
          <cell r="M718">
            <v>2.815671455330647</v>
          </cell>
          <cell r="N718">
            <v>2.754624434808477</v>
          </cell>
          <cell r="O718">
            <v>2.6330475628142276</v>
          </cell>
        </row>
        <row r="719">
          <cell r="A719" t="str">
            <v>SCOM-SHPLTBR</v>
          </cell>
          <cell r="B719" t="str">
            <v>VAR_ncap</v>
          </cell>
          <cell r="C719" t="str">
            <v>-</v>
          </cell>
          <cell r="D719">
            <v>1.8645956505834399E-6</v>
          </cell>
          <cell r="E719">
            <v>2.2034898642666001E-2</v>
          </cell>
          <cell r="F719">
            <v>2.7362202942155499E-6</v>
          </cell>
          <cell r="G719">
            <v>1.59628129216479E-2</v>
          </cell>
          <cell r="H719">
            <v>0.135002484221875</v>
          </cell>
          <cell r="I719">
            <v>7.7400623862161497E-2</v>
          </cell>
          <cell r="J719">
            <v>2.4110101947409198E-6</v>
          </cell>
          <cell r="K719">
            <v>0.14182617654844701</v>
          </cell>
          <cell r="L719">
            <v>6.09576644711382E-2</v>
          </cell>
          <cell r="M719">
            <v>4.2452892050041198E-3</v>
          </cell>
          <cell r="N719">
            <v>0.13486501041243101</v>
          </cell>
          <cell r="O719">
            <v>5.7830321133276102E-2</v>
          </cell>
        </row>
        <row r="720">
          <cell r="A720" t="str">
            <v>SCOM-SHPLTBR</v>
          </cell>
          <cell r="B720" t="str">
            <v>VAR_cap</v>
          </cell>
          <cell r="C720" t="str">
            <v>-</v>
          </cell>
          <cell r="D720">
            <v>0.15051273271984458</v>
          </cell>
          <cell r="E720">
            <v>0.17254748772745396</v>
          </cell>
          <cell r="F720">
            <v>0.17254902412400383</v>
          </cell>
          <cell r="G720">
            <v>0.18851085576409507</v>
          </cell>
          <cell r="H720">
            <v>0.20128812364660301</v>
          </cell>
          <cell r="I720">
            <v>0.22532850323068596</v>
          </cell>
          <cell r="J720">
            <v>0.21240423749911375</v>
          </cell>
          <cell r="K720">
            <v>0.21922739192195609</v>
          </cell>
          <cell r="L720">
            <v>0.21467706687231097</v>
          </cell>
          <cell r="M720">
            <v>0.2070270048998214</v>
          </cell>
          <cell r="N720">
            <v>0.2058610129024469</v>
          </cell>
          <cell r="O720">
            <v>0.19693846295270534</v>
          </cell>
        </row>
        <row r="721">
          <cell r="A721" t="str">
            <v>ITOT-SWHELCHP</v>
          </cell>
          <cell r="B721" t="str">
            <v>VAR_fout</v>
          </cell>
          <cell r="C721" t="str">
            <v>ITOT-SWHAELCH</v>
          </cell>
          <cell r="D721">
            <v>1.1082384044597935</v>
          </cell>
          <cell r="E721">
            <v>1.40080848945522</v>
          </cell>
          <cell r="F721">
            <v>3.5501289060192747</v>
          </cell>
          <cell r="G721">
            <v>5.8184702498984375</v>
          </cell>
          <cell r="H721">
            <v>8.1691003196613821</v>
          </cell>
          <cell r="I721">
            <v>8.7996618437256799</v>
          </cell>
          <cell r="J721">
            <v>8.7997192063490282</v>
          </cell>
          <cell r="K721">
            <v>8.7997755313267252</v>
          </cell>
          <cell r="L721">
            <v>8.799847942719115</v>
          </cell>
          <cell r="M721">
            <v>9.7895321714546188</v>
          </cell>
          <cell r="N721">
            <v>9.7895471312070548</v>
          </cell>
          <cell r="O721">
            <v>9.7903897008823328</v>
          </cell>
        </row>
        <row r="722">
          <cell r="A722" t="str">
            <v>ITOT-SWHELCHP</v>
          </cell>
          <cell r="B722" t="str">
            <v>VAR_fin</v>
          </cell>
          <cell r="C722" t="str">
            <v>ITOT_ELC</v>
          </cell>
          <cell r="D722">
            <v>0.35970319148563451</v>
          </cell>
          <cell r="E722">
            <v>0.45106797121150155</v>
          </cell>
          <cell r="F722">
            <v>1.1297603535167324</v>
          </cell>
          <cell r="G722">
            <v>1.8161342166778096</v>
          </cell>
          <cell r="H722">
            <v>2.5018990126252634</v>
          </cell>
          <cell r="I722">
            <v>2.6452792093702873</v>
          </cell>
          <cell r="J722">
            <v>2.5973608318786812</v>
          </cell>
          <cell r="K722">
            <v>2.5511479086819242</v>
          </cell>
          <cell r="L722">
            <v>2.5511689015097061</v>
          </cell>
          <cell r="M722">
            <v>2.8380888168422982</v>
          </cell>
          <cell r="N722">
            <v>2.838093153832598</v>
          </cell>
          <cell r="O722">
            <v>2.8383374236844121</v>
          </cell>
        </row>
        <row r="723">
          <cell r="A723" t="str">
            <v>ITOT-SWHELCHP</v>
          </cell>
          <cell r="B723" t="str">
            <v>VAR_fin</v>
          </cell>
          <cell r="C723" t="str">
            <v>ITOTELCHPC</v>
          </cell>
          <cell r="D723">
            <v>1.1082384044597935</v>
          </cell>
          <cell r="E723">
            <v>1.40080848945522</v>
          </cell>
          <cell r="F723">
            <v>3.5501289060192747</v>
          </cell>
          <cell r="G723">
            <v>5.8184702498984375</v>
          </cell>
          <cell r="H723">
            <v>8.1691003196613821</v>
          </cell>
          <cell r="I723">
            <v>8.7996618437256799</v>
          </cell>
          <cell r="J723">
            <v>8.7997192063490282</v>
          </cell>
          <cell r="K723">
            <v>8.7997755313267252</v>
          </cell>
          <cell r="L723">
            <v>8.799847942719115</v>
          </cell>
          <cell r="M723">
            <v>9.7895321714546188</v>
          </cell>
          <cell r="N723">
            <v>9.7895471312070548</v>
          </cell>
          <cell r="O723">
            <v>9.7903897008823328</v>
          </cell>
        </row>
        <row r="724">
          <cell r="A724" t="str">
            <v>ITOT-SWHELCHP</v>
          </cell>
          <cell r="B724" t="str">
            <v>VAR_ncap</v>
          </cell>
          <cell r="C724" t="str">
            <v>-</v>
          </cell>
          <cell r="E724">
            <v>1.6052436006643699E-2</v>
          </cell>
          <cell r="F724">
            <v>0.116834966421001</v>
          </cell>
          <cell r="G724">
            <v>0.12328474366122499</v>
          </cell>
          <cell r="H724">
            <v>0.18281841300694199</v>
          </cell>
          <cell r="I724">
            <v>0.175009372072332</v>
          </cell>
          <cell r="J724">
            <v>0.12432404196453301</v>
          </cell>
          <cell r="K724">
            <v>0.18191397133847201</v>
          </cell>
          <cell r="L724">
            <v>0.164831235360647</v>
          </cell>
          <cell r="M724">
            <v>0.19446889496942901</v>
          </cell>
          <cell r="N724">
            <v>0.20072062138467001</v>
          </cell>
          <cell r="O724">
            <v>0.14368776856225501</v>
          </cell>
        </row>
        <row r="725">
          <cell r="A725" t="str">
            <v>ITOT-SWHELCHP</v>
          </cell>
          <cell r="B725" t="str">
            <v>VAR_cap</v>
          </cell>
          <cell r="C725" t="str">
            <v>-</v>
          </cell>
          <cell r="D725">
            <v>6.02631234918991E-2</v>
          </cell>
          <cell r="E725">
            <v>7.6315209243727075E-2</v>
          </cell>
          <cell r="F725">
            <v>0.19314975561656683</v>
          </cell>
          <cell r="G725">
            <v>0.31643392711979668</v>
          </cell>
          <cell r="H725">
            <v>0.44678699586074555</v>
          </cell>
          <cell r="I725">
            <v>0.48218975721307422</v>
          </cell>
          <cell r="J725">
            <v>0.48214965262611353</v>
          </cell>
          <cell r="K725">
            <v>0.48124349565668673</v>
          </cell>
          <cell r="L725">
            <v>0.48148464079714015</v>
          </cell>
          <cell r="M725">
            <v>0.54121105037427475</v>
          </cell>
          <cell r="N725">
            <v>0.53998308014258511</v>
          </cell>
          <cell r="O725">
            <v>0.53887311430872953</v>
          </cell>
        </row>
        <row r="726">
          <cell r="A726" t="str">
            <v>RHES-SHCONBR8</v>
          </cell>
          <cell r="B726" t="str">
            <v>VAR_fout</v>
          </cell>
          <cell r="C726" t="str">
            <v>RHES-SHCON</v>
          </cell>
          <cell r="E726">
            <v>1.1006220780075595E-4</v>
          </cell>
          <cell r="F726">
            <v>1.0650806844808165E-4</v>
          </cell>
          <cell r="G726">
            <v>2.2685560237790919E-5</v>
          </cell>
          <cell r="H726">
            <v>7.4904803951725572E-5</v>
          </cell>
          <cell r="I726">
            <v>6.9643268727905661E-5</v>
          </cell>
          <cell r="J726">
            <v>6.5015860495158526E-5</v>
          </cell>
          <cell r="K726">
            <v>6.6721948724842841E-5</v>
          </cell>
          <cell r="L726">
            <v>3.9354148578920512E-5</v>
          </cell>
          <cell r="M726">
            <v>7.146325932252716E-5</v>
          </cell>
          <cell r="N726">
            <v>4.1484013886456327E-5</v>
          </cell>
          <cell r="O726">
            <v>1.4539579246371329E-4</v>
          </cell>
        </row>
        <row r="727">
          <cell r="A727" t="str">
            <v>RHES-SHCONBR8</v>
          </cell>
          <cell r="B727" t="str">
            <v>VAR_fin</v>
          </cell>
          <cell r="C727" t="str">
            <v>CON</v>
          </cell>
          <cell r="E727">
            <v>1.1006220780075595E-4</v>
          </cell>
          <cell r="F727">
            <v>1.0650806844808165E-4</v>
          </cell>
          <cell r="G727">
            <v>2.2685560237790919E-5</v>
          </cell>
          <cell r="H727">
            <v>7.4904803951725572E-5</v>
          </cell>
          <cell r="I727">
            <v>6.9643268727905661E-5</v>
          </cell>
          <cell r="J727">
            <v>6.5015860495158526E-5</v>
          </cell>
          <cell r="K727">
            <v>6.6721948724842841E-5</v>
          </cell>
          <cell r="L727">
            <v>3.9354148578920512E-5</v>
          </cell>
          <cell r="M727">
            <v>7.146325932252716E-5</v>
          </cell>
          <cell r="N727">
            <v>4.1484013886456327E-5</v>
          </cell>
          <cell r="O727">
            <v>1.4539579246371329E-4</v>
          </cell>
        </row>
        <row r="728">
          <cell r="A728" t="str">
            <v>RHES-SHCONBR8</v>
          </cell>
          <cell r="B728" t="str">
            <v>VAR_ncap</v>
          </cell>
          <cell r="C728" t="str">
            <v>-</v>
          </cell>
          <cell r="E728">
            <v>4.4332015872546702E-8</v>
          </cell>
          <cell r="F728">
            <v>4.2148653462223802E-8</v>
          </cell>
          <cell r="G728">
            <v>4.1604609253646602E-7</v>
          </cell>
          <cell r="I728">
            <v>1.1238484250360499E-8</v>
          </cell>
          <cell r="J728">
            <v>1.5874775683193398E-8</v>
          </cell>
          <cell r="K728">
            <v>1.6881724232177699E-7</v>
          </cell>
          <cell r="L728">
            <v>1.2044059732207899E-7</v>
          </cell>
          <cell r="M728">
            <v>1.48962999518279E-7</v>
          </cell>
          <cell r="N728">
            <v>2.1385327138942999E-7</v>
          </cell>
          <cell r="O728">
            <v>1.3864293135393599E-7</v>
          </cell>
        </row>
        <row r="729">
          <cell r="A729" t="str">
            <v>RHES-SHCONBR8</v>
          </cell>
          <cell r="B729" t="str">
            <v>VAR_cap</v>
          </cell>
          <cell r="C729" t="str">
            <v>-</v>
          </cell>
          <cell r="E729">
            <v>4.4332015872546702E-8</v>
          </cell>
          <cell r="F729">
            <v>8.6480669334770498E-8</v>
          </cell>
          <cell r="G729">
            <v>5.0252676187123696E-7</v>
          </cell>
          <cell r="H729">
            <v>5.0252676187123696E-7</v>
          </cell>
          <cell r="I729">
            <v>5.1376524612159697E-7</v>
          </cell>
          <cell r="J729">
            <v>5.2964002180479098E-7</v>
          </cell>
          <cell r="K729">
            <v>6.8404327816370098E-7</v>
          </cell>
          <cell r="L729">
            <v>6.3358534192704001E-7</v>
          </cell>
          <cell r="M729">
            <v>4.6533409909568899E-7</v>
          </cell>
          <cell r="N729">
            <v>6.77427986115603E-7</v>
          </cell>
          <cell r="O729">
            <v>8.0659181758869404E-7</v>
          </cell>
        </row>
        <row r="730">
          <cell r="A730" t="str">
            <v>RHEM-SHWODBR</v>
          </cell>
          <cell r="B730" t="str">
            <v>VAR_fout</v>
          </cell>
          <cell r="C730" t="str">
            <v>RHEM-SHWOD</v>
          </cell>
          <cell r="D730">
            <v>4.7439228128297941</v>
          </cell>
          <cell r="E730">
            <v>4.6693915160640458</v>
          </cell>
          <cell r="F730">
            <v>3.8637159460161694</v>
          </cell>
          <cell r="G730">
            <v>2.3748511605623328</v>
          </cell>
          <cell r="H730">
            <v>2.1150661275953819</v>
          </cell>
          <cell r="I730">
            <v>1.8200180336114844</v>
          </cell>
          <cell r="J730">
            <v>1.5114198176934399</v>
          </cell>
          <cell r="K730">
            <v>1.2205259113893208</v>
          </cell>
          <cell r="L730">
            <v>1.0998320771350683</v>
          </cell>
          <cell r="M730">
            <v>0.92267370327945564</v>
          </cell>
          <cell r="N730">
            <v>0.87090367258917945</v>
          </cell>
          <cell r="O730">
            <v>0.36916778133203321</v>
          </cell>
        </row>
        <row r="731">
          <cell r="A731" t="str">
            <v>RHEM-SHWODBR</v>
          </cell>
          <cell r="B731" t="str">
            <v>VAR_fin</v>
          </cell>
          <cell r="C731" t="str">
            <v>RHEMWODBRC</v>
          </cell>
          <cell r="D731">
            <v>4.7439228128297941</v>
          </cell>
          <cell r="E731">
            <v>4.6693915160640458</v>
          </cell>
          <cell r="F731">
            <v>3.8637159460161694</v>
          </cell>
          <cell r="G731">
            <v>2.3748511605623328</v>
          </cell>
          <cell r="H731">
            <v>2.1150661275953819</v>
          </cell>
          <cell r="I731">
            <v>1.8200180336114844</v>
          </cell>
          <cell r="J731">
            <v>1.5114198176934399</v>
          </cell>
          <cell r="K731">
            <v>1.2205259113893208</v>
          </cell>
          <cell r="L731">
            <v>1.0998320771350683</v>
          </cell>
          <cell r="M731">
            <v>0.92267370327945564</v>
          </cell>
          <cell r="N731">
            <v>0.87090367258917945</v>
          </cell>
          <cell r="O731">
            <v>0.36916778133203321</v>
          </cell>
        </row>
        <row r="732">
          <cell r="A732" t="str">
            <v>RHEM-SHWODBR</v>
          </cell>
          <cell r="B732" t="str">
            <v>VAR_fin</v>
          </cell>
          <cell r="C732" t="str">
            <v>RWOD</v>
          </cell>
          <cell r="D732">
            <v>6.5887816844858289</v>
          </cell>
          <cell r="E732">
            <v>6.4852659945334015</v>
          </cell>
          <cell r="F732">
            <v>5.3662721472446808</v>
          </cell>
          <cell r="G732">
            <v>3.2984043896699058</v>
          </cell>
          <cell r="H732">
            <v>2.9375918438824731</v>
          </cell>
          <cell r="I732">
            <v>2.5278028244603949</v>
          </cell>
          <cell r="J732">
            <v>2.0991941912408887</v>
          </cell>
          <cell r="K732">
            <v>1.6951748769296142</v>
          </cell>
          <cell r="L732">
            <v>1.5275445515764836</v>
          </cell>
          <cell r="M732">
            <v>1.2814912545547996</v>
          </cell>
          <cell r="N732">
            <v>1.2095884341516385</v>
          </cell>
          <cell r="O732">
            <v>0.51273302962782397</v>
          </cell>
        </row>
        <row r="733">
          <cell r="A733" t="str">
            <v>RHEM-SHWODBR</v>
          </cell>
          <cell r="B733" t="str">
            <v>VAR_ncap</v>
          </cell>
          <cell r="C733" t="str">
            <v>-</v>
          </cell>
          <cell r="D733">
            <v>1.5324287332735899E-4</v>
          </cell>
          <cell r="E733">
            <v>1.72144093064902E-7</v>
          </cell>
          <cell r="F733">
            <v>2.3287298783493499E-7</v>
          </cell>
          <cell r="G733">
            <v>2.9292432955632598E-6</v>
          </cell>
          <cell r="H733">
            <v>6.2762741134352706E-2</v>
          </cell>
          <cell r="I733">
            <v>6.5784410254076706E-2</v>
          </cell>
          <cell r="J733">
            <v>8.6566315697015596E-7</v>
          </cell>
          <cell r="K733">
            <v>2.0511313301111E-2</v>
          </cell>
          <cell r="L733">
            <v>4.7204930674477001E-2</v>
          </cell>
          <cell r="M733">
            <v>3.25879016249841E-6</v>
          </cell>
          <cell r="N733">
            <v>2.57887396308525E-2</v>
          </cell>
          <cell r="O733">
            <v>4.3481459656141198E-4</v>
          </cell>
        </row>
        <row r="734">
          <cell r="A734" t="str">
            <v>RHEM-SHWODBR</v>
          </cell>
          <cell r="B734" t="str">
            <v>VAR_cap</v>
          </cell>
          <cell r="C734" t="str">
            <v>-</v>
          </cell>
          <cell r="D734">
            <v>0.33522502182832037</v>
          </cell>
          <cell r="E734">
            <v>0.33522246096154595</v>
          </cell>
          <cell r="F734">
            <v>0.33521534534897407</v>
          </cell>
          <cell r="G734">
            <v>0.33521205766960943</v>
          </cell>
          <cell r="H734">
            <v>0.1496968640790256</v>
          </cell>
          <cell r="I734">
            <v>0.12854909584691596</v>
          </cell>
          <cell r="J734">
            <v>0.12770013819941786</v>
          </cell>
          <cell r="K734">
            <v>8.6295702421461312E-2</v>
          </cell>
          <cell r="L734">
            <v>7.7824460179035146E-2</v>
          </cell>
          <cell r="M734">
            <v>6.7715936766365503E-2</v>
          </cell>
          <cell r="N734">
            <v>6.1663919290936488E-2</v>
          </cell>
          <cell r="O734">
            <v>2.6225622989262402E-2</v>
          </cell>
        </row>
        <row r="735">
          <cell r="A735" t="str">
            <v>RHES-SHCONBR9</v>
          </cell>
          <cell r="B735" t="str">
            <v>VAR_fout</v>
          </cell>
          <cell r="C735" t="str">
            <v>RHES-SHCON</v>
          </cell>
          <cell r="E735">
            <v>1.0954300138839472E-4</v>
          </cell>
          <cell r="F735">
            <v>1.0549883107280313E-4</v>
          </cell>
          <cell r="G735">
            <v>1.6582040956062484E-5</v>
          </cell>
          <cell r="H735">
            <v>6.8726064534411119E-5</v>
          </cell>
          <cell r="I735">
            <v>6.3350431276180087E-5</v>
          </cell>
          <cell r="J735">
            <v>5.8599755846993365E-5</v>
          </cell>
          <cell r="K735">
            <v>5.8426951952105535E-5</v>
          </cell>
          <cell r="L735">
            <v>3.1739796267504145E-5</v>
          </cell>
          <cell r="M735">
            <v>6.5932001854399031E-5</v>
          </cell>
          <cell r="N735">
            <v>3.3591852057208763E-5</v>
          </cell>
          <cell r="O735">
            <v>1.3626064956831634E-4</v>
          </cell>
        </row>
        <row r="736">
          <cell r="A736" t="str">
            <v>RHES-SHCONBR9</v>
          </cell>
          <cell r="B736" t="str">
            <v>VAR_fin</v>
          </cell>
          <cell r="C736" t="str">
            <v>CON</v>
          </cell>
          <cell r="E736">
            <v>1.0954300138839472E-4</v>
          </cell>
          <cell r="F736">
            <v>1.0549883107280313E-4</v>
          </cell>
          <cell r="G736">
            <v>1.6582040956062484E-5</v>
          </cell>
          <cell r="H736">
            <v>6.8726064534411119E-5</v>
          </cell>
          <cell r="I736">
            <v>6.3350431276180087E-5</v>
          </cell>
          <cell r="J736">
            <v>5.8599755846993365E-5</v>
          </cell>
          <cell r="K736">
            <v>5.8426951952105535E-5</v>
          </cell>
          <cell r="L736">
            <v>3.1739796267504145E-5</v>
          </cell>
          <cell r="M736">
            <v>6.5932001854399031E-5</v>
          </cell>
          <cell r="N736">
            <v>3.3591852057208763E-5</v>
          </cell>
          <cell r="O736">
            <v>1.3626064956831634E-4</v>
          </cell>
        </row>
        <row r="737">
          <cell r="A737" t="str">
            <v>RHES-SHCONBR9</v>
          </cell>
          <cell r="B737" t="str">
            <v>VAR_ncap</v>
          </cell>
          <cell r="C737" t="str">
            <v>-</v>
          </cell>
          <cell r="O737">
            <v>2.3913959471333901E-8</v>
          </cell>
        </row>
        <row r="738">
          <cell r="A738" t="str">
            <v>RHES-SHCONBR9</v>
          </cell>
          <cell r="B738" t="str">
            <v>VAR_cap</v>
          </cell>
          <cell r="C738" t="str">
            <v>-</v>
          </cell>
          <cell r="O738">
            <v>2.3913959471333901E-8</v>
          </cell>
        </row>
        <row r="739">
          <cell r="A739" t="str">
            <v>D-RHNS_LTH_CHPNGA</v>
          </cell>
          <cell r="B739" t="str">
            <v>VAR_fout</v>
          </cell>
          <cell r="C739" t="str">
            <v>RHSA_LTH</v>
          </cell>
          <cell r="D739">
            <v>3.2123743517264342E-5</v>
          </cell>
          <cell r="E739">
            <v>6.3389193183436044E-6</v>
          </cell>
          <cell r="F739">
            <v>2.1898175600342209E-5</v>
          </cell>
          <cell r="G739">
            <v>5.7609020257855787E-5</v>
          </cell>
          <cell r="H739">
            <v>3.5386000640518823E-5</v>
          </cell>
          <cell r="I739">
            <v>1.5565704754926996E-4</v>
          </cell>
          <cell r="J739">
            <v>3.929082476733464E-5</v>
          </cell>
          <cell r="K739">
            <v>6.760524551901537E-4</v>
          </cell>
          <cell r="L739">
            <v>5.5240716962485516E-4</v>
          </cell>
          <cell r="M739">
            <v>6.9316072849792806E-5</v>
          </cell>
          <cell r="N739">
            <v>9.5582236346281814E-5</v>
          </cell>
          <cell r="O739">
            <v>1.0844318512434395E-4</v>
          </cell>
        </row>
        <row r="740">
          <cell r="A740" t="str">
            <v>D-RHNS_LTH_CHPNGA</v>
          </cell>
          <cell r="B740" t="str">
            <v>VAR_fout</v>
          </cell>
          <cell r="C740" t="str">
            <v>LTH</v>
          </cell>
          <cell r="F740">
            <v>3.3991810188188601E-7</v>
          </cell>
          <cell r="G740">
            <v>1.1659425895062275E-6</v>
          </cell>
          <cell r="H740">
            <v>9.4247865665001075E-6</v>
          </cell>
          <cell r="I740">
            <v>1.2108227710548886E-5</v>
          </cell>
          <cell r="J740">
            <v>3.0446452016485087E-5</v>
          </cell>
          <cell r="K740">
            <v>4.7725563284571203E-5</v>
          </cell>
          <cell r="L740">
            <v>4.1655639999768236E-5</v>
          </cell>
          <cell r="M740">
            <v>6.0047730254167381E-5</v>
          </cell>
          <cell r="N740">
            <v>3.8353674922473239E-5</v>
          </cell>
          <cell r="O740">
            <v>4.5345146269224706E-5</v>
          </cell>
        </row>
        <row r="741">
          <cell r="A741" t="str">
            <v>D-RHNS_LTH_CHPNGA</v>
          </cell>
          <cell r="B741" t="str">
            <v>VAR_fout</v>
          </cell>
          <cell r="C741" t="str">
            <v>RHNS_LTH_CHPNGA_ON</v>
          </cell>
          <cell r="D741">
            <v>4.4261870377007401E-5</v>
          </cell>
          <cell r="E741">
            <v>1.091742768316523E-3</v>
          </cell>
          <cell r="F741">
            <v>3.182893431298124E-3</v>
          </cell>
          <cell r="G741">
            <v>3.123302888605713E-3</v>
          </cell>
          <cell r="H741">
            <v>9.7989487641516621E-3</v>
          </cell>
          <cell r="I741">
            <v>9.4195159453099326E-3</v>
          </cell>
          <cell r="J741">
            <v>1.9010162005232995E-2</v>
          </cell>
          <cell r="K741">
            <v>2.6565131681493864E-2</v>
          </cell>
          <cell r="L741">
            <v>2.2684645601848453E-2</v>
          </cell>
          <cell r="M741">
            <v>2.5514573593494617E-2</v>
          </cell>
          <cell r="N741">
            <v>1.3380134166263333E-2</v>
          </cell>
          <cell r="O741">
            <v>1.3956042362333112E-2</v>
          </cell>
        </row>
        <row r="742">
          <cell r="A742" t="str">
            <v>D-RHNS_LTH_CHPNGA</v>
          </cell>
          <cell r="B742" t="str">
            <v>VAR_fin</v>
          </cell>
          <cell r="C742" t="str">
            <v>RHNS_LTH_CHPNGA</v>
          </cell>
          <cell r="D742">
            <v>7.6385613894271715E-5</v>
          </cell>
          <cell r="E742">
            <v>1.0985368017263021E-3</v>
          </cell>
          <cell r="F742">
            <v>3.206217804722156E-3</v>
          </cell>
          <cell r="G742">
            <v>3.1831792676420599E-3</v>
          </cell>
          <cell r="H742">
            <v>9.8441325056584685E-3</v>
          </cell>
          <cell r="I742">
            <v>9.5876846094856347E-3</v>
          </cell>
          <cell r="J742">
            <v>1.9080012978588665E-2</v>
          </cell>
          <cell r="K742">
            <v>2.7288909699968562E-2</v>
          </cell>
          <cell r="L742">
            <v>2.327870841147307E-2</v>
          </cell>
          <cell r="M742">
            <v>2.5643937396598555E-2</v>
          </cell>
          <cell r="N742">
            <v>1.3514070077532081E-2</v>
          </cell>
          <cell r="O742">
            <v>1.410983069372667E-2</v>
          </cell>
        </row>
        <row r="743">
          <cell r="A743" t="str">
            <v>D-SLFO</v>
          </cell>
          <cell r="B743" t="str">
            <v>VAR_fout</v>
          </cell>
          <cell r="C743" t="str">
            <v>CO2</v>
          </cell>
          <cell r="D743">
            <v>2267.7887510718201</v>
          </cell>
          <cell r="E743">
            <v>2012.5555084586399</v>
          </cell>
          <cell r="F743">
            <v>1891.6515214026499</v>
          </cell>
          <cell r="G743">
            <v>1625.4922807862999</v>
          </cell>
          <cell r="H743">
            <v>1276.0483038372399</v>
          </cell>
          <cell r="I743">
            <v>1079.36583418754</v>
          </cell>
          <cell r="J743">
            <v>1004.7599121055</v>
          </cell>
          <cell r="K743">
            <v>775.431290094465</v>
          </cell>
          <cell r="L743">
            <v>647.12019958344001</v>
          </cell>
          <cell r="M743">
            <v>527.13805185465105</v>
          </cell>
          <cell r="N743">
            <v>309.74966449045797</v>
          </cell>
          <cell r="O743">
            <v>106.435430534944</v>
          </cell>
        </row>
        <row r="744">
          <cell r="A744" t="str">
            <v>D-SLFO</v>
          </cell>
          <cell r="B744" t="str">
            <v>VAR_fout</v>
          </cell>
          <cell r="C744" t="str">
            <v>SLFO</v>
          </cell>
          <cell r="D744">
            <v>30.256635496042268</v>
          </cell>
          <cell r="E744">
            <v>26.851336309964996</v>
          </cell>
          <cell r="F744">
            <v>25.238334744214029</v>
          </cell>
          <cell r="G744">
            <v>21.687380534066161</v>
          </cell>
          <cell r="H744">
            <v>17.025362529784346</v>
          </cell>
          <cell r="I744">
            <v>14.40101966375398</v>
          </cell>
          <cell r="J744">
            <v>13.405627170041045</v>
          </cell>
          <cell r="K744">
            <v>10.34618948895042</v>
          </cell>
          <cell r="L744">
            <v>8.6340371321382889</v>
          </cell>
          <cell r="M744">
            <v>7.0334792071369137</v>
          </cell>
          <cell r="N744">
            <v>4.1329925162609795</v>
          </cell>
          <cell r="O744">
            <v>1.4208266283965183</v>
          </cell>
        </row>
        <row r="745">
          <cell r="A745" t="str">
            <v>D-SLFO</v>
          </cell>
          <cell r="B745" t="str">
            <v>VAR_fin</v>
          </cell>
          <cell r="C745" t="str">
            <v>LFO</v>
          </cell>
          <cell r="D745">
            <v>30.770539363253999</v>
          </cell>
          <cell r="E745">
            <v>27.307401742993722</v>
          </cell>
          <cell r="F745">
            <v>25.6669134518677</v>
          </cell>
          <cell r="G745">
            <v>22.055526197914439</v>
          </cell>
          <cell r="H745">
            <v>17.314088247452322</v>
          </cell>
          <cell r="I745">
            <v>14.645398021540631</v>
          </cell>
          <cell r="J745">
            <v>13.633105998717737</v>
          </cell>
          <cell r="K745">
            <v>10.521455767903184</v>
          </cell>
          <cell r="L745">
            <v>8.7804640377671621</v>
          </cell>
          <cell r="M745">
            <v>7.1524837429396255</v>
          </cell>
          <cell r="N745">
            <v>4.202844837048282</v>
          </cell>
          <cell r="O745">
            <v>1.4441713776790217</v>
          </cell>
        </row>
        <row r="746">
          <cell r="A746" t="str">
            <v>D-SLFO</v>
          </cell>
          <cell r="B746" t="str">
            <v>VAR_fin</v>
          </cell>
          <cell r="C746" t="str">
            <v>BDS</v>
          </cell>
          <cell r="F746">
            <v>9.0007095212298407E-5</v>
          </cell>
          <cell r="G746">
            <v>2.1084848127672409E-4</v>
          </cell>
          <cell r="H746">
            <v>4.4793749651467327E-4</v>
          </cell>
          <cell r="I746">
            <v>2.2054012992837898E-4</v>
          </cell>
          <cell r="J746">
            <v>2.1341885646593078E-4</v>
          </cell>
          <cell r="K746">
            <v>4.6165297519852648E-4</v>
          </cell>
          <cell r="L746">
            <v>2.21720537696935E-4</v>
          </cell>
          <cell r="M746">
            <v>4.575197158994133E-4</v>
          </cell>
          <cell r="N746">
            <v>3.4695379348140314E-4</v>
          </cell>
          <cell r="O746">
            <v>7.8566020138050459E-4</v>
          </cell>
        </row>
        <row r="747">
          <cell r="A747" t="str">
            <v>D-RCOA</v>
          </cell>
          <cell r="B747" t="str">
            <v>VAR_fout</v>
          </cell>
          <cell r="C747" t="str">
            <v>CO2</v>
          </cell>
          <cell r="D747">
            <v>9.2700968222343505</v>
          </cell>
          <cell r="E747">
            <v>9.2700887317488796</v>
          </cell>
          <cell r="F747">
            <v>0.19195943958690601</v>
          </cell>
          <cell r="G747">
            <v>0.16352377951901401</v>
          </cell>
          <cell r="H747">
            <v>6.6685435583247701E-2</v>
          </cell>
        </row>
        <row r="748">
          <cell r="A748" t="str">
            <v>D-RCOA</v>
          </cell>
          <cell r="B748" t="str">
            <v>VAR_fout</v>
          </cell>
          <cell r="C748" t="str">
            <v>RCOA</v>
          </cell>
          <cell r="D748">
            <v>0.1000010444685473</v>
          </cell>
          <cell r="E748">
            <v>0.10000095719254458</v>
          </cell>
          <cell r="F748">
            <v>2.0707598660939116E-3</v>
          </cell>
          <cell r="G748">
            <v>1.7640105665481622E-3</v>
          </cell>
          <cell r="H748">
            <v>7.1936823714398919E-4</v>
          </cell>
        </row>
        <row r="749">
          <cell r="A749" t="str">
            <v>D-RCOA</v>
          </cell>
          <cell r="B749" t="str">
            <v>VAR_fin</v>
          </cell>
          <cell r="C749" t="str">
            <v>COA</v>
          </cell>
          <cell r="D749">
            <v>0.1000010444685473</v>
          </cell>
          <cell r="E749">
            <v>0.10000095719254458</v>
          </cell>
          <cell r="F749">
            <v>2.0707598660939116E-3</v>
          </cell>
          <cell r="G749">
            <v>1.7640105665481622E-3</v>
          </cell>
          <cell r="H749">
            <v>7.1936823714398919E-4</v>
          </cell>
        </row>
        <row r="750">
          <cell r="A750" t="str">
            <v>SCOM-ELCSPECDC</v>
          </cell>
          <cell r="B750" t="str">
            <v>VAR_fout</v>
          </cell>
          <cell r="C750" t="str">
            <v>SCOM-ELSDC</v>
          </cell>
          <cell r="F750">
            <v>10.487579723257756</v>
          </cell>
          <cell r="G750">
            <v>10.340289210629201</v>
          </cell>
          <cell r="H750">
            <v>10.170100600289807</v>
          </cell>
          <cell r="I750">
            <v>9.9999119899503377</v>
          </cell>
          <cell r="J750">
            <v>10.085006295120101</v>
          </cell>
          <cell r="K750">
            <v>9.4977989814225499</v>
          </cell>
          <cell r="L750">
            <v>9.4977989814225499</v>
          </cell>
          <cell r="M750">
            <v>9.4977989814225499</v>
          </cell>
          <cell r="N750">
            <v>9.4977989814225499</v>
          </cell>
          <cell r="O750">
            <v>9.4977989814225499</v>
          </cell>
        </row>
        <row r="751">
          <cell r="A751" t="str">
            <v>SCOM-ELCSPECDC</v>
          </cell>
          <cell r="B751" t="str">
            <v>VAR_fin</v>
          </cell>
          <cell r="C751" t="str">
            <v>SCOM_ELC</v>
          </cell>
          <cell r="F751">
            <v>10.487579723257756</v>
          </cell>
          <cell r="G751">
            <v>10.340289210629201</v>
          </cell>
          <cell r="H751">
            <v>10.170100600289807</v>
          </cell>
          <cell r="I751">
            <v>9.9999119899503377</v>
          </cell>
          <cell r="J751">
            <v>10.085006295120101</v>
          </cell>
          <cell r="K751">
            <v>9.4977989814225499</v>
          </cell>
          <cell r="L751">
            <v>9.4977989814225499</v>
          </cell>
          <cell r="M751">
            <v>9.4977989814225499</v>
          </cell>
          <cell r="N751">
            <v>9.4977989814225499</v>
          </cell>
          <cell r="O751">
            <v>9.4977989814225499</v>
          </cell>
        </row>
        <row r="752">
          <cell r="A752" t="str">
            <v>D-RHEM_KEV_WOD_ELC_CHP</v>
          </cell>
          <cell r="B752" t="str">
            <v>VAR_fout</v>
          </cell>
          <cell r="C752" t="str">
            <v>ELC5</v>
          </cell>
          <cell r="G752">
            <v>8.3244165819415495E-4</v>
          </cell>
          <cell r="H752">
            <v>1.2023837624141327E-3</v>
          </cell>
          <cell r="I752">
            <v>1.094155927154524E-3</v>
          </cell>
          <cell r="J752">
            <v>1.156924786050546E-3</v>
          </cell>
          <cell r="K752">
            <v>3.100296736766219E-3</v>
          </cell>
          <cell r="L752">
            <v>2.9673752872434759E-3</v>
          </cell>
          <cell r="M752">
            <v>2.4780921732491046E-3</v>
          </cell>
          <cell r="N752">
            <v>2.5667672460009841E-3</v>
          </cell>
          <cell r="O752">
            <v>5.300779147029454E-3</v>
          </cell>
        </row>
        <row r="753">
          <cell r="A753" t="str">
            <v>D-RHEM_KEV_WOD_ELC_CHP</v>
          </cell>
          <cell r="B753" t="str">
            <v>VAR_fout</v>
          </cell>
          <cell r="C753" t="str">
            <v>RHEM_ELC</v>
          </cell>
          <cell r="G753">
            <v>8.319059038580873E-4</v>
          </cell>
          <cell r="H753">
            <v>1.2000116355148089E-3</v>
          </cell>
          <cell r="I753">
            <v>1.0928446488214746E-3</v>
          </cell>
          <cell r="J753">
            <v>1.1541850258123853E-3</v>
          </cell>
          <cell r="K753">
            <v>3.0887444842367623E-3</v>
          </cell>
          <cell r="L753">
            <v>2.956056866873859E-3</v>
          </cell>
          <cell r="M753">
            <v>2.4719169811540783E-3</v>
          </cell>
          <cell r="N753">
            <v>2.5637531325026094E-3</v>
          </cell>
          <cell r="O753">
            <v>5.2914213100969743E-3</v>
          </cell>
        </row>
        <row r="754">
          <cell r="A754" t="str">
            <v>D-RHEM_KEV_WOD_ELC_CHP</v>
          </cell>
          <cell r="B754" t="str">
            <v>VAR_fin</v>
          </cell>
          <cell r="C754" t="str">
            <v>RHEM_KEV_WOD_ELC_CHP</v>
          </cell>
          <cell r="G754">
            <v>1.6606535069266662E-3</v>
          </cell>
          <cell r="H754">
            <v>2.3958057784980724E-3</v>
          </cell>
          <cell r="I754">
            <v>2.1746019713624778E-3</v>
          </cell>
          <cell r="J754">
            <v>2.2987112072494109E-3</v>
          </cell>
          <cell r="K754">
            <v>6.1642440117759458E-3</v>
          </cell>
          <cell r="L754">
            <v>5.9110335495038135E-3</v>
          </cell>
          <cell r="M754">
            <v>4.9252119451761471E-3</v>
          </cell>
          <cell r="N754">
            <v>5.1181662133331319E-3</v>
          </cell>
          <cell r="O754">
            <v>1.056784764232997E-2</v>
          </cell>
        </row>
        <row r="755">
          <cell r="A755" t="str">
            <v>RHES-SHSTG-SOL</v>
          </cell>
          <cell r="B755" t="str">
            <v>VAR_fout</v>
          </cell>
          <cell r="C755" t="str">
            <v>RHES-SHASOL</v>
          </cell>
          <cell r="D755">
            <v>6.705192536510875E-5</v>
          </cell>
          <cell r="E755">
            <v>5.4935618255987626E-5</v>
          </cell>
          <cell r="F755">
            <v>5.9576054278391952E-2</v>
          </cell>
          <cell r="G755">
            <v>5.6318188928757618E-2</v>
          </cell>
          <cell r="H755">
            <v>7.1202657171711703E-2</v>
          </cell>
          <cell r="I755">
            <v>7.0233795738535845E-2</v>
          </cell>
          <cell r="J755">
            <v>6.1685747000070082E-2</v>
          </cell>
          <cell r="K755">
            <v>6.4768913997940797E-2</v>
          </cell>
          <cell r="L755">
            <v>6.4320878380360005E-2</v>
          </cell>
          <cell r="M755">
            <v>4.5782685522825654E-2</v>
          </cell>
          <cell r="N755">
            <v>5.9430774012357634E-2</v>
          </cell>
          <cell r="O755">
            <v>3.56137899859491E-2</v>
          </cell>
        </row>
        <row r="756">
          <cell r="A756" t="str">
            <v>RHES-SHSTG-SOL</v>
          </cell>
          <cell r="B756" t="str">
            <v>VAR_fin</v>
          </cell>
          <cell r="C756" t="str">
            <v>RHES-SHASOL</v>
          </cell>
          <cell r="D756">
            <v>1.5370711635487913E-6</v>
          </cell>
          <cell r="E756">
            <v>2.0357554301181882E-6</v>
          </cell>
          <cell r="F756">
            <v>5.9528065773182114E-2</v>
          </cell>
          <cell r="G756">
            <v>5.6271838706962424E-2</v>
          </cell>
          <cell r="H756">
            <v>7.1150388734786546E-2</v>
          </cell>
          <cell r="I756">
            <v>7.0211459124414663E-2</v>
          </cell>
          <cell r="J756">
            <v>6.1621918009008937E-2</v>
          </cell>
          <cell r="K756">
            <v>6.4705706557050227E-2</v>
          </cell>
          <cell r="L756">
            <v>6.4298157551520699E-2</v>
          </cell>
          <cell r="M756">
            <v>4.5710111264026722E-2</v>
          </cell>
          <cell r="N756">
            <v>5.9394186950181178E-2</v>
          </cell>
          <cell r="O756">
            <v>3.5510464768217037E-2</v>
          </cell>
        </row>
        <row r="757">
          <cell r="A757" t="str">
            <v>RHES-SHSTG-SOL</v>
          </cell>
          <cell r="B757" t="str">
            <v>VAR_ncap</v>
          </cell>
          <cell r="C757" t="str">
            <v>-</v>
          </cell>
          <cell r="D757">
            <v>6.8836864746871804E-4</v>
          </cell>
          <cell r="E757">
            <v>1.0387616355063E-2</v>
          </cell>
          <cell r="F757">
            <v>5.6115245714205399E-6</v>
          </cell>
          <cell r="G757">
            <v>1.94383210727096E-5</v>
          </cell>
          <cell r="H757">
            <v>5.3031268929514402E-3</v>
          </cell>
          <cell r="I757">
            <v>5.1213155691068697E-3</v>
          </cell>
          <cell r="J757">
            <v>6.2297094671623901E-8</v>
          </cell>
          <cell r="K757">
            <v>5.0495018076878997E-3</v>
          </cell>
          <cell r="L757">
            <v>3.9713112865084601E-3</v>
          </cell>
          <cell r="M757">
            <v>8.1334092869241305E-7</v>
          </cell>
          <cell r="N757">
            <v>5.5926748058191802E-3</v>
          </cell>
          <cell r="O757">
            <v>1.9807972538797702E-6</v>
          </cell>
        </row>
        <row r="758">
          <cell r="A758" t="str">
            <v>RHES-SHSTG-SOL</v>
          </cell>
          <cell r="B758" t="str">
            <v>VAR_cap</v>
          </cell>
          <cell r="C758" t="str">
            <v>-</v>
          </cell>
          <cell r="D758">
            <v>6.8836864746871804E-4</v>
          </cell>
          <cell r="E758">
            <v>1.1075985002531701E-2</v>
          </cell>
          <cell r="F758">
            <v>1.10815965271031E-2</v>
          </cell>
          <cell r="G758">
            <v>1.11010348481758E-2</v>
          </cell>
          <cell r="H758">
            <v>1.08287253125059E-2</v>
          </cell>
          <cell r="I758">
            <v>1.04413611065719E-2</v>
          </cell>
          <cell r="J758">
            <v>1.0424504759153E-2</v>
          </cell>
          <cell r="K758">
            <v>1.01708796738894E-2</v>
          </cell>
          <cell r="L758">
            <v>9.8077781586305805E-3</v>
          </cell>
          <cell r="M758">
            <v>9.0216264351250502E-3</v>
          </cell>
          <cell r="N758">
            <v>9.2002168585025301E-3</v>
          </cell>
          <cell r="O758">
            <v>5.5954689440017502E-3</v>
          </cell>
        </row>
        <row r="759">
          <cell r="A759" t="str">
            <v>D-ITOT_LTH</v>
          </cell>
          <cell r="B759" t="str">
            <v>VAR_fout</v>
          </cell>
          <cell r="C759" t="str">
            <v>ITOT_LTH_DH</v>
          </cell>
          <cell r="D759">
            <v>7.1200255971190005</v>
          </cell>
          <cell r="E759">
            <v>7.6289170535816035</v>
          </cell>
          <cell r="F759">
            <v>7.3930204187738093</v>
          </cell>
          <cell r="G759">
            <v>7.8106274081554652</v>
          </cell>
          <cell r="H759">
            <v>7.3347087831452509</v>
          </cell>
          <cell r="I759">
            <v>7.8082811720037464</v>
          </cell>
          <cell r="J759">
            <v>8.8814866456378443</v>
          </cell>
          <cell r="K759">
            <v>9.2266148348845718</v>
          </cell>
          <cell r="L759">
            <v>9.1450611029591169</v>
          </cell>
          <cell r="M759">
            <v>9.3853704984917599</v>
          </cell>
          <cell r="N759">
            <v>9.0428497688784226</v>
          </cell>
          <cell r="O759">
            <v>8.9637257080306068</v>
          </cell>
        </row>
        <row r="760">
          <cell r="A760" t="str">
            <v>D-ITOT_LTH</v>
          </cell>
          <cell r="B760" t="str">
            <v>VAR_fin</v>
          </cell>
          <cell r="C760" t="str">
            <v>LTH</v>
          </cell>
          <cell r="D760">
            <v>7.740363517831212</v>
          </cell>
          <cell r="E760">
            <v>8.2914128927751136</v>
          </cell>
          <cell r="F760">
            <v>8.031864666402571</v>
          </cell>
          <cell r="G760">
            <v>8.4799884168964486</v>
          </cell>
          <cell r="H760">
            <v>7.9580609647319074</v>
          </cell>
          <cell r="I760">
            <v>8.4663275282398995</v>
          </cell>
          <cell r="J760">
            <v>9.6236697475571429</v>
          </cell>
          <cell r="K760">
            <v>9.9910939683590314</v>
          </cell>
          <cell r="L760">
            <v>9.9027830316049492</v>
          </cell>
          <cell r="M760">
            <v>10.16300346945919</v>
          </cell>
          <cell r="N760">
            <v>9.7921028892443438</v>
          </cell>
          <cell r="O760">
            <v>9.7064229360615428</v>
          </cell>
        </row>
        <row r="761">
          <cell r="A761" t="str">
            <v>D-ITOT_LTH</v>
          </cell>
          <cell r="B761" t="str">
            <v>VAR_ncap</v>
          </cell>
          <cell r="C761" t="str">
            <v>-</v>
          </cell>
          <cell r="D761">
            <v>0.79547455405791001</v>
          </cell>
          <cell r="E761">
            <v>4.6132829424220697E-8</v>
          </cell>
          <cell r="F761">
            <v>5.1606436688686503E-8</v>
          </cell>
          <cell r="G761">
            <v>5.793656056662E-8</v>
          </cell>
          <cell r="H761">
            <v>2.9706643734350298E-7</v>
          </cell>
          <cell r="I761">
            <v>9.3060601042553596E-8</v>
          </cell>
          <cell r="J761">
            <v>1.1824263541128699E-7</v>
          </cell>
          <cell r="K761">
            <v>2.5318042236841401E-7</v>
          </cell>
          <cell r="L761">
            <v>1.96626276459592E-7</v>
          </cell>
          <cell r="M761">
            <v>3.48246770038876E-7</v>
          </cell>
          <cell r="N761">
            <v>5.2052303470962499E-7</v>
          </cell>
          <cell r="O761">
            <v>1.91372443680372E-6</v>
          </cell>
        </row>
        <row r="762">
          <cell r="A762" t="str">
            <v>D-ITOT_LTH</v>
          </cell>
          <cell r="B762" t="str">
            <v>VAR_cap</v>
          </cell>
          <cell r="C762" t="str">
            <v>-</v>
          </cell>
          <cell r="D762">
            <v>0.79547455405791001</v>
          </cell>
          <cell r="E762">
            <v>0.79547460019073901</v>
          </cell>
          <cell r="F762">
            <v>0.79547465179717602</v>
          </cell>
          <cell r="G762">
            <v>0.79547470973373702</v>
          </cell>
          <cell r="H762">
            <v>0.79547500680017402</v>
          </cell>
          <cell r="I762">
            <v>0.79547509986077503</v>
          </cell>
          <cell r="J762">
            <v>0.79547521810341004</v>
          </cell>
          <cell r="K762">
            <v>0.795475471283833</v>
          </cell>
          <cell r="L762">
            <v>0.79547566791010904</v>
          </cell>
          <cell r="M762">
            <v>0.79547601615687902</v>
          </cell>
          <cell r="N762">
            <v>0.79547653667991403</v>
          </cell>
          <cell r="O762">
            <v>0.79547845040435095</v>
          </cell>
        </row>
        <row r="763">
          <cell r="A763" t="str">
            <v>D-IH2</v>
          </cell>
          <cell r="B763" t="str">
            <v>VAR_fout</v>
          </cell>
          <cell r="C763" t="str">
            <v>IH2</v>
          </cell>
          <cell r="G763">
            <v>6.1079631294741119E-4</v>
          </cell>
          <cell r="H763">
            <v>1.8714819253446209E-3</v>
          </cell>
          <cell r="I763">
            <v>2.4514536269114487E-3</v>
          </cell>
          <cell r="J763">
            <v>2.5006356602632219E-3</v>
          </cell>
          <cell r="K763">
            <v>7.8005844434196874E-3</v>
          </cell>
          <cell r="L763">
            <v>8.4713576463593728E-3</v>
          </cell>
          <cell r="M763">
            <v>9.7087320749915385E-2</v>
          </cell>
          <cell r="N763">
            <v>8.2342238595735223E-2</v>
          </cell>
          <cell r="O763">
            <v>8.0887983862445889E-2</v>
          </cell>
        </row>
        <row r="764">
          <cell r="A764" t="str">
            <v>D-IH2</v>
          </cell>
          <cell r="B764" t="str">
            <v>VAR_fin</v>
          </cell>
          <cell r="C764" t="str">
            <v>H2</v>
          </cell>
          <cell r="G764">
            <v>6.1544959625962339E-4</v>
          </cell>
          <cell r="H764">
            <v>1.8857396008212313E-3</v>
          </cell>
          <cell r="I764">
            <v>2.4701297518502602E-3</v>
          </cell>
          <cell r="J764">
            <v>2.5196864730156364E-3</v>
          </cell>
          <cell r="K764">
            <v>7.8600123224795895E-3</v>
          </cell>
          <cell r="L764">
            <v>8.5358957359515757E-3</v>
          </cell>
          <cell r="M764">
            <v>9.7826969631050573E-2</v>
          </cell>
          <cell r="N764">
            <v>8.2969553719657266E-2</v>
          </cell>
          <cell r="O764">
            <v>8.1504219909532286E-2</v>
          </cell>
        </row>
        <row r="765">
          <cell r="A765" t="str">
            <v>D-IH2</v>
          </cell>
          <cell r="B765" t="str">
            <v>VAR_ncap</v>
          </cell>
          <cell r="C765" t="str">
            <v>-</v>
          </cell>
          <cell r="G765">
            <v>1.65300448525461E-4</v>
          </cell>
          <cell r="H765">
            <v>1.6666247789129599E-4</v>
          </cell>
          <cell r="I765">
            <v>2.45614528336605E-5</v>
          </cell>
          <cell r="J765">
            <v>1.4784717342307201E-5</v>
          </cell>
          <cell r="K765">
            <v>5.1235909820501302E-4</v>
          </cell>
          <cell r="L765">
            <v>6.6009209966743696E-6</v>
          </cell>
          <cell r="M765">
            <v>7.8501552769919894E-3</v>
          </cell>
          <cell r="N765">
            <v>3.3181713871588902E-4</v>
          </cell>
          <cell r="O765">
            <v>1.21978622532026E-4</v>
          </cell>
        </row>
        <row r="766">
          <cell r="A766" t="str">
            <v>D-IH2</v>
          </cell>
          <cell r="B766" t="str">
            <v>VAR_cap</v>
          </cell>
          <cell r="C766" t="str">
            <v>-</v>
          </cell>
          <cell r="G766">
            <v>1.65300448525461E-4</v>
          </cell>
          <cell r="H766">
            <v>3.3196292641675699E-4</v>
          </cell>
          <cell r="I766">
            <v>3.5652437925041801E-4</v>
          </cell>
          <cell r="J766">
            <v>3.7130909659272498E-4</v>
          </cell>
          <cell r="K766">
            <v>8.8366819479773697E-4</v>
          </cell>
          <cell r="L766">
            <v>8.9026911579441199E-4</v>
          </cell>
          <cell r="M766">
            <v>8.7404243927864007E-3</v>
          </cell>
          <cell r="N766">
            <v>9.0198390262996794E-3</v>
          </cell>
          <cell r="O766">
            <v>9.0289197055088595E-3</v>
          </cell>
        </row>
        <row r="767">
          <cell r="A767" t="str">
            <v>D-RHNM_LTH_CHPWOD</v>
          </cell>
          <cell r="B767" t="str">
            <v>VAR_fout</v>
          </cell>
          <cell r="C767" t="str">
            <v>RHNM_LTH_CHPWOD_ON</v>
          </cell>
          <cell r="D767">
            <v>3.8632320595652631E-5</v>
          </cell>
          <cell r="E767">
            <v>4.7463485625916558E-5</v>
          </cell>
          <cell r="F767">
            <v>9.8343361964641288E-6</v>
          </cell>
          <cell r="G767">
            <v>4.6888583541694123E-3</v>
          </cell>
          <cell r="H767">
            <v>5.9747862592778797E-3</v>
          </cell>
          <cell r="I767">
            <v>3.9545905224677436E-3</v>
          </cell>
          <cell r="J767">
            <v>5.2331942867374749E-3</v>
          </cell>
          <cell r="K767">
            <v>1.2649538604552656E-2</v>
          </cell>
          <cell r="L767">
            <v>1.2462322382791298E-2</v>
          </cell>
          <cell r="M767">
            <v>1.2780110212101653E-2</v>
          </cell>
          <cell r="N767">
            <v>1.1115912659406377E-2</v>
          </cell>
          <cell r="O767">
            <v>1.7921306410088298E-2</v>
          </cell>
        </row>
        <row r="768">
          <cell r="A768" t="str">
            <v>D-RHNM_LTH_CHPWOD</v>
          </cell>
          <cell r="B768" t="str">
            <v>VAR_fout</v>
          </cell>
          <cell r="C768" t="str">
            <v>RHSA_LTH</v>
          </cell>
          <cell r="D768">
            <v>3.7745819422353862E-5</v>
          </cell>
          <cell r="E768">
            <v>1.0809176947902641E-4</v>
          </cell>
          <cell r="F768">
            <v>6.1704364923855989E-5</v>
          </cell>
          <cell r="G768">
            <v>4.5052180672362226E-4</v>
          </cell>
          <cell r="H768">
            <v>3.1199348670348199E-5</v>
          </cell>
          <cell r="I768">
            <v>1.4596788495477983E-3</v>
          </cell>
          <cell r="J768">
            <v>2.48650127231759E-5</v>
          </cell>
          <cell r="K768">
            <v>2.9171504924530331E-3</v>
          </cell>
          <cell r="L768">
            <v>2.8419806007623782E-3</v>
          </cell>
          <cell r="M768">
            <v>7.1665395321576404E-5</v>
          </cell>
          <cell r="N768">
            <v>1.0037904258477599E-4</v>
          </cell>
          <cell r="O768">
            <v>8.2496122258837295E-5</v>
          </cell>
        </row>
        <row r="769">
          <cell r="A769" t="str">
            <v>D-RHNM_LTH_CHPWOD</v>
          </cell>
          <cell r="B769" t="str">
            <v>VAR_fout</v>
          </cell>
          <cell r="C769" t="str">
            <v>LTH</v>
          </cell>
          <cell r="E769">
            <v>2.3262432928591288E-6</v>
          </cell>
          <cell r="F769">
            <v>4.6093405507495657E-6</v>
          </cell>
          <cell r="G769">
            <v>2.2228928588954761E-6</v>
          </cell>
          <cell r="H769">
            <v>6.0901050363734852E-6</v>
          </cell>
          <cell r="I769">
            <v>7.7093919501123725E-6</v>
          </cell>
          <cell r="J769">
            <v>9.2785357841038746E-6</v>
          </cell>
          <cell r="K769">
            <v>3.0187604398007209E-5</v>
          </cell>
          <cell r="L769">
            <v>3.2567921968125131E-5</v>
          </cell>
          <cell r="M769">
            <v>3.3580830782510535E-5</v>
          </cell>
          <cell r="N769">
            <v>3.2384456384921134E-5</v>
          </cell>
          <cell r="O769">
            <v>5.8064705564540134E-5</v>
          </cell>
        </row>
        <row r="770">
          <cell r="A770" t="str">
            <v>D-RHNM_LTH_CHPWOD</v>
          </cell>
          <cell r="B770" t="str">
            <v>VAR_fin</v>
          </cell>
          <cell r="C770" t="str">
            <v>RHNM_LTH_CHPWOD</v>
          </cell>
          <cell r="D770">
            <v>7.6378140018006486E-5</v>
          </cell>
          <cell r="E770">
            <v>1.5788149839780218E-4</v>
          </cell>
          <cell r="F770">
            <v>7.6148041671069729E-5</v>
          </cell>
          <cell r="G770">
            <v>5.1428746939358458E-3</v>
          </cell>
          <cell r="H770">
            <v>6.0122986396095599E-3</v>
          </cell>
          <cell r="I770">
            <v>5.4219787639656564E-3</v>
          </cell>
          <cell r="J770">
            <v>5.267337835244754E-3</v>
          </cell>
          <cell r="K770">
            <v>1.5596876701403696E-2</v>
          </cell>
          <cell r="L770">
            <v>1.5336870905521813E-2</v>
          </cell>
          <cell r="M770">
            <v>1.2885356438205741E-2</v>
          </cell>
          <cell r="N770">
            <v>1.1248676158376084E-2</v>
          </cell>
          <cell r="O770">
            <v>1.8061867237911658E-2</v>
          </cell>
        </row>
        <row r="771">
          <cell r="A771" t="str">
            <v>RHNS-SHWODBR</v>
          </cell>
          <cell r="B771" t="str">
            <v>VAR_fout</v>
          </cell>
          <cell r="C771" t="str">
            <v>RHNS-SHWOD</v>
          </cell>
          <cell r="E771">
            <v>2.6571052596807351E-2</v>
          </cell>
          <cell r="F771">
            <v>9.308614682615432E-2</v>
          </cell>
          <cell r="G771">
            <v>0.10558375850325737</v>
          </cell>
          <cell r="H771">
            <v>0.21735419936187206</v>
          </cell>
          <cell r="I771">
            <v>0.14701272803401713</v>
          </cell>
          <cell r="J771">
            <v>0.26604392420872963</v>
          </cell>
          <cell r="K771">
            <v>0.14883004989047219</v>
          </cell>
          <cell r="L771">
            <v>0.34322310098722103</v>
          </cell>
          <cell r="M771">
            <v>0.21393667270129851</v>
          </cell>
          <cell r="N771">
            <v>0.13741097465664895</v>
          </cell>
          <cell r="O771">
            <v>0.12744076630986698</v>
          </cell>
        </row>
        <row r="772">
          <cell r="A772" t="str">
            <v>RHNS-SHWODBR</v>
          </cell>
          <cell r="B772" t="str">
            <v>VAR_fin</v>
          </cell>
          <cell r="C772" t="str">
            <v>RHNSWODBRC</v>
          </cell>
          <cell r="E772">
            <v>2.6571052596807351E-2</v>
          </cell>
          <cell r="F772">
            <v>9.308614682615432E-2</v>
          </cell>
          <cell r="G772">
            <v>0.10558375850325737</v>
          </cell>
          <cell r="H772">
            <v>0.21735419936187206</v>
          </cell>
          <cell r="I772">
            <v>0.14701272803401713</v>
          </cell>
          <cell r="J772">
            <v>0.26604392420872963</v>
          </cell>
          <cell r="K772">
            <v>0.14883004989047219</v>
          </cell>
          <cell r="L772">
            <v>0.34322310098722103</v>
          </cell>
          <cell r="M772">
            <v>0.21393667270129851</v>
          </cell>
          <cell r="N772">
            <v>0.13741097465664895</v>
          </cell>
          <cell r="O772">
            <v>0.12744076630986698</v>
          </cell>
        </row>
        <row r="773">
          <cell r="A773" t="str">
            <v>RHNS-SHWODBR</v>
          </cell>
          <cell r="B773" t="str">
            <v>VAR_fin</v>
          </cell>
          <cell r="C773" t="str">
            <v>RWOD</v>
          </cell>
          <cell r="E773">
            <v>3.690423971778798E-2</v>
          </cell>
          <cell r="F773">
            <v>0.12928631503632562</v>
          </cell>
          <cell r="G773">
            <v>0.14664410903230185</v>
          </cell>
          <cell r="H773">
            <v>0.30188083244704428</v>
          </cell>
          <cell r="I773">
            <v>0.20418434449169054</v>
          </cell>
          <cell r="J773">
            <v>0.36950545028990239</v>
          </cell>
          <cell r="K773">
            <v>0.20670840262565571</v>
          </cell>
          <cell r="L773">
            <v>0.47669875137113987</v>
          </cell>
          <cell r="M773">
            <v>0.2971342676406924</v>
          </cell>
          <cell r="N773">
            <v>0.19084857591201221</v>
          </cell>
          <cell r="O773">
            <v>0.17700106431925969</v>
          </cell>
        </row>
        <row r="774">
          <cell r="A774" t="str">
            <v>RHNS-SHWODBR</v>
          </cell>
          <cell r="B774" t="str">
            <v>VAR_ncap</v>
          </cell>
          <cell r="C774" t="str">
            <v>-</v>
          </cell>
          <cell r="E774">
            <v>2.1255833395569502E-3</v>
          </cell>
          <cell r="F774">
            <v>5.6196338330996402E-3</v>
          </cell>
          <cell r="H774">
            <v>9.5420039883117903E-3</v>
          </cell>
          <cell r="J774">
            <v>1.0859836999006001E-2</v>
          </cell>
          <cell r="L774">
            <v>1.56235847625235E-2</v>
          </cell>
          <cell r="M774">
            <v>8.2421755655373008E-6</v>
          </cell>
          <cell r="N774">
            <v>3.5673642365567401E-6</v>
          </cell>
          <cell r="O774">
            <v>9.3526230449513404E-3</v>
          </cell>
        </row>
        <row r="775">
          <cell r="A775" t="str">
            <v>RHNS-SHWODBR</v>
          </cell>
          <cell r="B775" t="str">
            <v>VAR_cap</v>
          </cell>
          <cell r="C775" t="str">
            <v>-</v>
          </cell>
          <cell r="E775">
            <v>2.1255833395569502E-3</v>
          </cell>
          <cell r="F775">
            <v>7.744845914726013E-3</v>
          </cell>
          <cell r="G775">
            <v>7.7448979349748646E-3</v>
          </cell>
          <cell r="H775">
            <v>1.6248814842447622E-2</v>
          </cell>
          <cell r="I775">
            <v>1.0721890967949742E-2</v>
          </cell>
          <cell r="J775">
            <v>2.0398058444133591E-2</v>
          </cell>
          <cell r="K775">
            <v>1.0859753093369626E-2</v>
          </cell>
          <cell r="L775">
            <v>2.5044337840621749E-2</v>
          </cell>
          <cell r="M775">
            <v>1.5631621836616538E-2</v>
          </cell>
          <cell r="N775">
            <v>1.0679002892010871E-2</v>
          </cell>
          <cell r="O775">
            <v>9.363942972903664E-3</v>
          </cell>
        </row>
        <row r="776">
          <cell r="A776" t="str">
            <v>D-RHNM_NKEV_GAS_ELC_CHP</v>
          </cell>
          <cell r="B776" t="str">
            <v>VAR_fout</v>
          </cell>
          <cell r="C776" t="str">
            <v>ELC5</v>
          </cell>
          <cell r="E776">
            <v>6.402283191977191E-4</v>
          </cell>
          <cell r="F776">
            <v>6.3459809714818882E-3</v>
          </cell>
          <cell r="G776">
            <v>0.19129373298598673</v>
          </cell>
          <cell r="H776">
            <v>0.19852711036154</v>
          </cell>
          <cell r="I776">
            <v>0.20533410170416294</v>
          </cell>
          <cell r="J776">
            <v>0.20690057439186957</v>
          </cell>
          <cell r="K776">
            <v>0.22376403975213899</v>
          </cell>
          <cell r="L776">
            <v>0.21965246391933418</v>
          </cell>
          <cell r="M776">
            <v>0.21407066511372211</v>
          </cell>
          <cell r="N776">
            <v>0.14786924230473453</v>
          </cell>
          <cell r="O776">
            <v>2.3394968104529588E-2</v>
          </cell>
        </row>
        <row r="777">
          <cell r="A777" t="str">
            <v>D-RHNM_NKEV_GAS_ELC_CHP</v>
          </cell>
          <cell r="B777" t="str">
            <v>VAR_fout</v>
          </cell>
          <cell r="C777" t="str">
            <v>RHNM_ELC</v>
          </cell>
          <cell r="E777">
            <v>6.4111363440362437E-4</v>
          </cell>
          <cell r="F777">
            <v>6.330853899963752E-3</v>
          </cell>
          <cell r="G777">
            <v>0.18852323233285229</v>
          </cell>
          <cell r="H777">
            <v>0.19149693490017883</v>
          </cell>
          <cell r="I777">
            <v>0.20202776290627203</v>
          </cell>
          <cell r="J777">
            <v>0.20107677970323432</v>
          </cell>
          <cell r="K777">
            <v>0.21491544446852986</v>
          </cell>
          <cell r="L777">
            <v>0.2121475197718036</v>
          </cell>
          <cell r="M777">
            <v>0.20657131180917676</v>
          </cell>
          <cell r="N777">
            <v>0.14593898609166187</v>
          </cell>
          <cell r="O777">
            <v>2.289427366609291E-2</v>
          </cell>
        </row>
        <row r="778">
          <cell r="A778" t="str">
            <v>D-RHNM_NKEV_GAS_ELC_CHP</v>
          </cell>
          <cell r="B778" t="str">
            <v>VAR_fin</v>
          </cell>
          <cell r="C778" t="str">
            <v>RHNM_NKEV_GAS_ELC_CHP</v>
          </cell>
          <cell r="E778">
            <v>1.2813419536013438E-3</v>
          </cell>
          <cell r="F778">
            <v>1.2670860241482141E-2</v>
          </cell>
          <cell r="G778">
            <v>0.37981696531883896</v>
          </cell>
          <cell r="H778">
            <v>0.39002404526171902</v>
          </cell>
          <cell r="I778">
            <v>0.40736186461043489</v>
          </cell>
          <cell r="J778">
            <v>0.40797735409510422</v>
          </cell>
          <cell r="K778">
            <v>0.4386794842206691</v>
          </cell>
          <cell r="L778">
            <v>0.43179998369113792</v>
          </cell>
          <cell r="M778">
            <v>0.42064197692289901</v>
          </cell>
          <cell r="N778">
            <v>0.29380822839639653</v>
          </cell>
          <cell r="O778">
            <v>4.6289241770622491E-2</v>
          </cell>
        </row>
        <row r="779">
          <cell r="A779" t="str">
            <v>D-RLFO</v>
          </cell>
          <cell r="B779" t="str">
            <v>VAR_fout</v>
          </cell>
          <cell r="C779" t="str">
            <v>CO2</v>
          </cell>
          <cell r="D779">
            <v>4514.4841358598396</v>
          </cell>
          <cell r="E779">
            <v>3846.5254200827399</v>
          </cell>
          <cell r="F779">
            <v>3346.8997284166899</v>
          </cell>
          <cell r="G779">
            <v>3437.9928799132499</v>
          </cell>
          <cell r="H779">
            <v>2754.6783994328898</v>
          </cell>
          <cell r="I779">
            <v>2522.9673175134099</v>
          </cell>
          <cell r="J779">
            <v>2434.09816956842</v>
          </cell>
          <cell r="K779">
            <v>2089.17583760661</v>
          </cell>
          <cell r="L779">
            <v>1948.7307746834799</v>
          </cell>
          <cell r="M779">
            <v>1674.7471294412401</v>
          </cell>
          <cell r="N779">
            <v>1254.079204765</v>
          </cell>
          <cell r="O779">
            <v>483.66943325506401</v>
          </cell>
        </row>
        <row r="780">
          <cell r="A780" t="str">
            <v>D-RLFO</v>
          </cell>
          <cell r="B780" t="str">
            <v>VAR_fout</v>
          </cell>
          <cell r="C780" t="str">
            <v>RLFO</v>
          </cell>
          <cell r="D780">
            <v>60.231845178180187</v>
          </cell>
          <cell r="E780">
            <v>51.319999495851896</v>
          </cell>
          <cell r="F780">
            <v>44.654126513159405</v>
          </cell>
          <cell r="G780">
            <v>45.869603457981398</v>
          </cell>
          <cell r="H780">
            <v>36.753114741473084</v>
          </cell>
          <cell r="I780">
            <v>33.66142229776662</v>
          </cell>
          <cell r="J780">
            <v>32.47573114564134</v>
          </cell>
          <cell r="K780">
            <v>27.87405276384585</v>
          </cell>
          <cell r="L780">
            <v>26.000011497878493</v>
          </cell>
          <cell r="M780">
            <v>22.344782092061163</v>
          </cell>
          <cell r="N780">
            <v>16.732157998847843</v>
          </cell>
          <cell r="O780">
            <v>6.453866460928797</v>
          </cell>
        </row>
        <row r="781">
          <cell r="A781" t="str">
            <v>D-RLFO</v>
          </cell>
          <cell r="B781" t="str">
            <v>VAR_fin</v>
          </cell>
          <cell r="C781" t="str">
            <v>LFO</v>
          </cell>
          <cell r="D781">
            <v>61.254872942467266</v>
          </cell>
          <cell r="E781">
            <v>52.1916610594674</v>
          </cell>
          <cell r="F781">
            <v>45.412479354364862</v>
          </cell>
          <cell r="G781">
            <v>46.648478696244901</v>
          </cell>
          <cell r="H781">
            <v>37.376911796918478</v>
          </cell>
          <cell r="I781">
            <v>34.232935108730182</v>
          </cell>
          <cell r="J781">
            <v>33.027112205812998</v>
          </cell>
          <cell r="K781">
            <v>28.347026290455982</v>
          </cell>
          <cell r="L781">
            <v>26.441394500454233</v>
          </cell>
          <cell r="M781">
            <v>22.723841647778002</v>
          </cell>
          <cell r="N781">
            <v>17.016000064654076</v>
          </cell>
          <cell r="O781">
            <v>6.5626788772735996</v>
          </cell>
        </row>
        <row r="782">
          <cell r="A782" t="str">
            <v>D-RLFO</v>
          </cell>
          <cell r="B782" t="str">
            <v>VAR_fin</v>
          </cell>
          <cell r="C782" t="str">
            <v>BDS</v>
          </cell>
          <cell r="F782">
            <v>9.0047150118142432E-5</v>
          </cell>
          <cell r="G782">
            <v>2.1226495897884909E-4</v>
          </cell>
          <cell r="H782">
            <v>4.4843232168835376E-4</v>
          </cell>
          <cell r="I782">
            <v>2.2078766912030849E-4</v>
          </cell>
          <cell r="J782">
            <v>2.1380083800530856E-4</v>
          </cell>
          <cell r="K782">
            <v>4.6254433468339835E-4</v>
          </cell>
          <cell r="L782">
            <v>2.2285810537218389E-4</v>
          </cell>
          <cell r="M782">
            <v>4.62782438273051E-4</v>
          </cell>
          <cell r="N782">
            <v>3.5083354648681315E-4</v>
          </cell>
          <cell r="O782">
            <v>8.0538747512801101E-4</v>
          </cell>
        </row>
        <row r="783">
          <cell r="A783" t="str">
            <v>D-SCOM_LTH_CHPBIO</v>
          </cell>
          <cell r="B783" t="str">
            <v>VAR_fout</v>
          </cell>
          <cell r="C783" t="str">
            <v>SCOM_LTH_CHPBIO_ON</v>
          </cell>
          <cell r="D783">
            <v>1.4243199650281912</v>
          </cell>
          <cell r="E783">
            <v>1.5428049520447344</v>
          </cell>
          <cell r="F783">
            <v>1.3966249428366979</v>
          </cell>
          <cell r="G783">
            <v>1.1571513201356562</v>
          </cell>
          <cell r="H783">
            <v>0.9400186411790622</v>
          </cell>
          <cell r="I783">
            <v>0.75132832062753852</v>
          </cell>
          <cell r="J783">
            <v>0.69062546246754819</v>
          </cell>
          <cell r="K783">
            <v>0.63388324513211225</v>
          </cell>
          <cell r="L783">
            <v>0.58648517299071656</v>
          </cell>
          <cell r="M783">
            <v>0.50954845602811349</v>
          </cell>
          <cell r="N783">
            <v>0.46022487648303023</v>
          </cell>
          <cell r="O783">
            <v>0.41882489269777384</v>
          </cell>
        </row>
        <row r="784">
          <cell r="A784" t="str">
            <v>D-SCOM_LTH_CHPBIO</v>
          </cell>
          <cell r="B784" t="str">
            <v>VAR_fout</v>
          </cell>
          <cell r="C784" t="str">
            <v>LTH</v>
          </cell>
          <cell r="E784">
            <v>3.5580365158880856E-2</v>
          </cell>
          <cell r="F784">
            <v>8.4146668393514576E-2</v>
          </cell>
          <cell r="G784">
            <v>0.16456527551275243</v>
          </cell>
          <cell r="H784">
            <v>0.21655880267131108</v>
          </cell>
          <cell r="I784">
            <v>0.24924408471700488</v>
          </cell>
          <cell r="J784">
            <v>0.31251047899035833</v>
          </cell>
          <cell r="K784">
            <v>0.37076277369504063</v>
          </cell>
          <cell r="L784">
            <v>0.41841547011624203</v>
          </cell>
          <cell r="M784">
            <v>0.49502360819617963</v>
          </cell>
          <cell r="N784">
            <v>0.54448394856181948</v>
          </cell>
          <cell r="O784">
            <v>0.6305768294328965</v>
          </cell>
        </row>
        <row r="785">
          <cell r="A785" t="str">
            <v>D-SCOM_LTH_CHPBIO</v>
          </cell>
          <cell r="B785" t="str">
            <v>VAR_fin</v>
          </cell>
          <cell r="C785" t="str">
            <v>SCOM_LTH_CHPBIO</v>
          </cell>
          <cell r="D785">
            <v>1.4243199650281912</v>
          </cell>
          <cell r="E785">
            <v>1.5783853172036149</v>
          </cell>
          <cell r="F785">
            <v>1.4807716112302114</v>
          </cell>
          <cell r="G785">
            <v>1.3217165956484074</v>
          </cell>
          <cell r="H785">
            <v>1.1565774438503735</v>
          </cell>
          <cell r="I785">
            <v>1.0005724053445437</v>
          </cell>
          <cell r="J785">
            <v>1.003135941457906</v>
          </cell>
          <cell r="K785">
            <v>1.0046460188271529</v>
          </cell>
          <cell r="L785">
            <v>1.0049006431069587</v>
          </cell>
          <cell r="M785">
            <v>1.004572064224293</v>
          </cell>
          <cell r="N785">
            <v>1.0047088250448497</v>
          </cell>
          <cell r="O785">
            <v>1.0494017221306704</v>
          </cell>
        </row>
        <row r="786">
          <cell r="A786" t="str">
            <v>D-SCOM_LTH_CHPHFC</v>
          </cell>
          <cell r="B786" t="str">
            <v>VAR_fout</v>
          </cell>
          <cell r="C786" t="str">
            <v>SCOM_LTH_CHPHFC_ON</v>
          </cell>
          <cell r="G786">
            <v>6.3162566281911949E-4</v>
          </cell>
          <cell r="H786">
            <v>1.4185317471327595E-3</v>
          </cell>
          <cell r="I786">
            <v>1.4413656165180042E-3</v>
          </cell>
          <cell r="J786">
            <v>1.5932565713395557E-3</v>
          </cell>
          <cell r="K786">
            <v>4.8099012641132661E-3</v>
          </cell>
          <cell r="L786">
            <v>4.4760603659512272E-3</v>
          </cell>
          <cell r="M786">
            <v>1.1382005276890265E-2</v>
          </cell>
          <cell r="N786">
            <v>8.6077886752291242E-3</v>
          </cell>
          <cell r="O786">
            <v>1.627177477554274E-2</v>
          </cell>
        </row>
        <row r="787">
          <cell r="A787" t="str">
            <v>D-SCOM_LTH_CHPHFC</v>
          </cell>
          <cell r="B787" t="str">
            <v>VAR_fout</v>
          </cell>
          <cell r="C787" t="str">
            <v>LTH</v>
          </cell>
          <cell r="H787">
            <v>1.0442837206775689E-6</v>
          </cell>
          <cell r="I787">
            <v>1.4542716035450178E-6</v>
          </cell>
          <cell r="J787">
            <v>2.2190252455915706E-6</v>
          </cell>
          <cell r="K787">
            <v>1.0060689359445612E-5</v>
          </cell>
          <cell r="L787">
            <v>1.0318690388733961E-5</v>
          </cell>
          <cell r="M787">
            <v>3.2551161280280364E-5</v>
          </cell>
          <cell r="N787">
            <v>2.6693257514932457E-5</v>
          </cell>
          <cell r="O787">
            <v>5.5852698237959211E-5</v>
          </cell>
        </row>
        <row r="788">
          <cell r="A788" t="str">
            <v>D-SCOM_LTH_CHPHFC</v>
          </cell>
          <cell r="B788" t="str">
            <v>VAR_fin</v>
          </cell>
          <cell r="C788" t="str">
            <v>SCOM_LTH_CHPHFC</v>
          </cell>
          <cell r="G788">
            <v>6.3229704191692694E-4</v>
          </cell>
          <cell r="H788">
            <v>1.4204068975544552E-3</v>
          </cell>
          <cell r="I788">
            <v>1.4439398983080002E-3</v>
          </cell>
          <cell r="J788">
            <v>1.5967312464504821E-3</v>
          </cell>
          <cell r="K788">
            <v>4.8202928564757335E-3</v>
          </cell>
          <cell r="L788">
            <v>4.4866920071476137E-3</v>
          </cell>
          <cell r="M788">
            <v>1.141455643817053E-2</v>
          </cell>
          <cell r="N788">
            <v>8.6344919232902943E-3</v>
          </cell>
          <cell r="O788">
            <v>1.6327627473780703E-2</v>
          </cell>
        </row>
        <row r="789">
          <cell r="A789" t="str">
            <v>D-SCOM_NKEV_GAS_ELC_CHP</v>
          </cell>
          <cell r="B789" t="str">
            <v>VAR_fout</v>
          </cell>
          <cell r="C789" t="str">
            <v>ELC5</v>
          </cell>
          <cell r="D789">
            <v>0.24975541702820939</v>
          </cell>
          <cell r="E789">
            <v>0.31253726639417689</v>
          </cell>
          <cell r="F789">
            <v>0.26373828094681195</v>
          </cell>
          <cell r="G789">
            <v>1.1586716608517069</v>
          </cell>
          <cell r="H789">
            <v>2.0120329803926738</v>
          </cell>
          <cell r="I789">
            <v>2.0111605754727804</v>
          </cell>
          <cell r="J789">
            <v>1.9647097893557075</v>
          </cell>
          <cell r="K789">
            <v>1.295288193195733</v>
          </cell>
          <cell r="L789">
            <v>1.2998923401499889</v>
          </cell>
          <cell r="M789">
            <v>1.3333579049957489</v>
          </cell>
          <cell r="N789">
            <v>1.4296598006899039</v>
          </cell>
          <cell r="O789">
            <v>1.5248431619148557</v>
          </cell>
        </row>
        <row r="790">
          <cell r="A790" t="str">
            <v>D-SCOM_NKEV_GAS_ELC_CHP</v>
          </cell>
          <cell r="B790" t="str">
            <v>VAR_fout</v>
          </cell>
          <cell r="C790" t="str">
            <v>SCOM_ELC</v>
          </cell>
          <cell r="D790">
            <v>0.3446724671757993</v>
          </cell>
          <cell r="E790">
            <v>0.31335041810581221</v>
          </cell>
          <cell r="F790">
            <v>0.26270134048002675</v>
          </cell>
          <cell r="G790">
            <v>1.0799650573825579</v>
          </cell>
          <cell r="H790">
            <v>1.9391999180921782</v>
          </cell>
          <cell r="I790">
            <v>1.7570936751686705</v>
          </cell>
          <cell r="J790">
            <v>1.7432098850396116</v>
          </cell>
          <cell r="K790">
            <v>1.2895637997386269</v>
          </cell>
          <cell r="L790">
            <v>1.2892588909694243</v>
          </cell>
          <cell r="M790">
            <v>1.3194520104314909</v>
          </cell>
          <cell r="N790">
            <v>1.4242780119581575</v>
          </cell>
          <cell r="O790">
            <v>1.5092563844257612</v>
          </cell>
        </row>
        <row r="791">
          <cell r="A791" t="str">
            <v>D-SCOM_NKEV_GAS_ELC_CHP</v>
          </cell>
          <cell r="B791" t="str">
            <v>VAR_fin</v>
          </cell>
          <cell r="C791" t="str">
            <v>SCOM_NKEV_GAS_ELC_CHP</v>
          </cell>
          <cell r="D791">
            <v>0.59442788420400838</v>
          </cell>
          <cell r="E791">
            <v>0.62588768449998855</v>
          </cell>
          <cell r="F791">
            <v>0.52643581164925846</v>
          </cell>
          <cell r="G791">
            <v>2.2386367182342641</v>
          </cell>
          <cell r="H791">
            <v>3.9512328984848542</v>
          </cell>
          <cell r="I791">
            <v>3.7682542506414491</v>
          </cell>
          <cell r="J791">
            <v>3.707919674395324</v>
          </cell>
          <cell r="K791">
            <v>2.5848519929343587</v>
          </cell>
          <cell r="L791">
            <v>2.589151231119414</v>
          </cell>
          <cell r="M791">
            <v>2.6528099154272402</v>
          </cell>
          <cell r="N791">
            <v>2.8539378126480575</v>
          </cell>
          <cell r="O791">
            <v>3.0340995463406157</v>
          </cell>
        </row>
        <row r="792">
          <cell r="A792" t="str">
            <v>RHEM-SHLTHDH</v>
          </cell>
          <cell r="B792" t="str">
            <v>VAR_fout</v>
          </cell>
          <cell r="C792" t="str">
            <v>RHEM-SHLTHD</v>
          </cell>
          <cell r="D792">
            <v>2.0431343353512772</v>
          </cell>
          <cell r="E792">
            <v>3.788727716363669</v>
          </cell>
          <cell r="F792">
            <v>4.1739024465475598</v>
          </cell>
          <cell r="G792">
            <v>3.6946186725363428</v>
          </cell>
          <cell r="H792">
            <v>3.1456755527278548</v>
          </cell>
          <cell r="I792">
            <v>3.901163753225565</v>
          </cell>
          <cell r="J792">
            <v>3.7996206456840378</v>
          </cell>
          <cell r="K792">
            <v>3.6683995137955372</v>
          </cell>
          <cell r="L792">
            <v>3.5000930748755286</v>
          </cell>
          <cell r="M792">
            <v>3.112453951216605</v>
          </cell>
          <cell r="N792">
            <v>3.2148501828157348</v>
          </cell>
          <cell r="O792">
            <v>2.5641850224804896</v>
          </cell>
        </row>
        <row r="793">
          <cell r="A793" t="str">
            <v>RHEM-SHLTHDH</v>
          </cell>
          <cell r="B793" t="str">
            <v>VAR_fin</v>
          </cell>
          <cell r="C793" t="str">
            <v>RHEMLTHDHC</v>
          </cell>
          <cell r="D793">
            <v>2.0431343353512772</v>
          </cell>
          <cell r="E793">
            <v>3.788727716363669</v>
          </cell>
          <cell r="F793">
            <v>4.1739024465475598</v>
          </cell>
          <cell r="G793">
            <v>3.6946186725363428</v>
          </cell>
          <cell r="H793">
            <v>3.1456755527278548</v>
          </cell>
          <cell r="I793">
            <v>3.901163753225565</v>
          </cell>
          <cell r="J793">
            <v>3.7996206456840378</v>
          </cell>
          <cell r="K793">
            <v>3.6683995137955372</v>
          </cell>
          <cell r="L793">
            <v>3.5000930748755286</v>
          </cell>
          <cell r="M793">
            <v>3.112453951216605</v>
          </cell>
          <cell r="N793">
            <v>3.2148501828157348</v>
          </cell>
          <cell r="O793">
            <v>2.5641850224804896</v>
          </cell>
        </row>
        <row r="794">
          <cell r="A794" t="str">
            <v>RHEM-SHLTHDH</v>
          </cell>
          <cell r="B794" t="str">
            <v>VAR_fin</v>
          </cell>
          <cell r="C794" t="str">
            <v>RHEM_LTH_DH</v>
          </cell>
          <cell r="D794">
            <v>2.0637720559103818</v>
          </cell>
          <cell r="E794">
            <v>3.8269976932966365</v>
          </cell>
          <cell r="F794">
            <v>4.216063077320765</v>
          </cell>
          <cell r="G794">
            <v>3.7319380530670156</v>
          </cell>
          <cell r="H794">
            <v>3.1774500532604595</v>
          </cell>
          <cell r="I794">
            <v>3.9405694477025901</v>
          </cell>
          <cell r="J794">
            <v>3.8380006522061003</v>
          </cell>
          <cell r="K794">
            <v>3.7054540543389289</v>
          </cell>
          <cell r="L794">
            <v>3.5354475503793199</v>
          </cell>
          <cell r="M794">
            <v>3.1438928800167725</v>
          </cell>
          <cell r="N794">
            <v>3.247323416985592</v>
          </cell>
          <cell r="O794">
            <v>2.5900858812934229</v>
          </cell>
        </row>
        <row r="795">
          <cell r="A795" t="str">
            <v>RHEM-SHLTHDH</v>
          </cell>
          <cell r="B795" t="str">
            <v>VAR_ncap</v>
          </cell>
          <cell r="C795" t="str">
            <v>-</v>
          </cell>
          <cell r="D795">
            <v>2.5543762013472701E-8</v>
          </cell>
          <cell r="E795">
            <v>5.82531941696169E-8</v>
          </cell>
          <cell r="F795">
            <v>5.9918544524439995E-8</v>
          </cell>
          <cell r="G795">
            <v>4.2348255878543799E-8</v>
          </cell>
          <cell r="H795">
            <v>9.1863134192497306E-8</v>
          </cell>
          <cell r="I795">
            <v>1.10923274032095E-7</v>
          </cell>
          <cell r="J795">
            <v>1.3615375607733199E-7</v>
          </cell>
          <cell r="K795">
            <v>1.8905184184018701E-7</v>
          </cell>
          <cell r="L795">
            <v>1.7639529940626099E-7</v>
          </cell>
          <cell r="M795">
            <v>2.05631872828381E-7</v>
          </cell>
          <cell r="N795">
            <v>2.1757366435575401E-7</v>
          </cell>
          <cell r="O795">
            <v>6.6214461786320402E-7</v>
          </cell>
        </row>
        <row r="796">
          <cell r="A796" t="str">
            <v>RHEM-SHLTHDH</v>
          </cell>
          <cell r="B796" t="str">
            <v>VAR_cap</v>
          </cell>
          <cell r="C796" t="str">
            <v>-</v>
          </cell>
          <cell r="D796">
            <v>0.31562549265544998</v>
          </cell>
          <cell r="E796">
            <v>0.31562555090864419</v>
          </cell>
          <cell r="F796">
            <v>0.31562561082718871</v>
          </cell>
          <cell r="G796">
            <v>0.31562565317544455</v>
          </cell>
          <cell r="H796">
            <v>0.31562574503857876</v>
          </cell>
          <cell r="I796">
            <v>0.31562585596185277</v>
          </cell>
          <cell r="J796">
            <v>0.31562599211560888</v>
          </cell>
          <cell r="K796">
            <v>0.31562618116745073</v>
          </cell>
          <cell r="L796">
            <v>0.31562635756275009</v>
          </cell>
          <cell r="M796">
            <v>0.31562656319462296</v>
          </cell>
          <cell r="N796">
            <v>0.31562678076828732</v>
          </cell>
          <cell r="O796">
            <v>0.31562744291290518</v>
          </cell>
        </row>
        <row r="797">
          <cell r="A797" t="str">
            <v>D-ITOT_SOLELC</v>
          </cell>
          <cell r="B797" t="str">
            <v>VAR_fout</v>
          </cell>
          <cell r="C797" t="str">
            <v>ITOT_ELC</v>
          </cell>
          <cell r="D797">
            <v>3.5156983672618263</v>
          </cell>
          <cell r="E797">
            <v>4.8471412619205276</v>
          </cell>
          <cell r="F797">
            <v>11.921122474712888</v>
          </cell>
          <cell r="G797">
            <v>14.096741166343968</v>
          </cell>
          <cell r="H797">
            <v>14.803537950296382</v>
          </cell>
          <cell r="I797">
            <v>15.553708998768741</v>
          </cell>
          <cell r="J797">
            <v>16.335167731922372</v>
          </cell>
          <cell r="K797">
            <v>17.131294869823847</v>
          </cell>
          <cell r="L797">
            <v>17.967092213693842</v>
          </cell>
          <cell r="M797">
            <v>18.869238712414088</v>
          </cell>
          <cell r="N797">
            <v>19.769829690183137</v>
          </cell>
          <cell r="O797">
            <v>20.631139112007958</v>
          </cell>
        </row>
        <row r="798">
          <cell r="A798" t="str">
            <v>D-ITOT_SOLELC</v>
          </cell>
          <cell r="B798" t="str">
            <v>VAR_fout</v>
          </cell>
          <cell r="C798" t="str">
            <v>ELC5</v>
          </cell>
          <cell r="D798">
            <v>2.2556324457059713E-3</v>
          </cell>
          <cell r="E798">
            <v>1.4812942508697522E-3</v>
          </cell>
          <cell r="F798">
            <v>5.4184909121591223E-3</v>
          </cell>
          <cell r="G798">
            <v>1.9719444043235172E-2</v>
          </cell>
          <cell r="H798">
            <v>3.2871603195207877E-2</v>
          </cell>
          <cell r="I798">
            <v>3.9519510329691004E-2</v>
          </cell>
          <cell r="J798">
            <v>5.3484945762805235E-2</v>
          </cell>
          <cell r="K798">
            <v>9.2706341690999283E-2</v>
          </cell>
          <cell r="L798">
            <v>0.13605669805463186</v>
          </cell>
          <cell r="M798">
            <v>0.15654335903059696</v>
          </cell>
          <cell r="N798">
            <v>0.22621928741311725</v>
          </cell>
          <cell r="O798">
            <v>0.37743794749020537</v>
          </cell>
        </row>
        <row r="799">
          <cell r="A799" t="str">
            <v>D-ITOT_SOLELC</v>
          </cell>
          <cell r="B799" t="str">
            <v>VAR_fin</v>
          </cell>
          <cell r="C799" t="str">
            <v>ITOT_SOL_ELC</v>
          </cell>
          <cell r="D799">
            <v>3.517953999707534</v>
          </cell>
          <cell r="E799">
            <v>4.8486223629257434</v>
          </cell>
          <cell r="F799">
            <v>11.926540965625048</v>
          </cell>
          <cell r="G799">
            <v>14.116460610387195</v>
          </cell>
          <cell r="H799">
            <v>14.836409553491595</v>
          </cell>
          <cell r="I799">
            <v>15.593228509098429</v>
          </cell>
          <cell r="J799">
            <v>16.38865267768518</v>
          </cell>
          <cell r="K799">
            <v>17.224001211514857</v>
          </cell>
          <cell r="L799">
            <v>18.103148911748491</v>
          </cell>
          <cell r="M799">
            <v>19.025782071444674</v>
          </cell>
          <cell r="N799">
            <v>19.996048977596253</v>
          </cell>
          <cell r="O799">
            <v>21.008577059498148</v>
          </cell>
        </row>
        <row r="800">
          <cell r="A800" t="str">
            <v>D-SWOD</v>
          </cell>
          <cell r="B800" t="str">
            <v>VAR_fout</v>
          </cell>
          <cell r="C800" t="str">
            <v>SWOD</v>
          </cell>
          <cell r="D800">
            <v>8.5743734981499795</v>
          </cell>
          <cell r="E800">
            <v>9.3510657465569356</v>
          </cell>
          <cell r="F800">
            <v>9.2554145057482131</v>
          </cell>
          <cell r="G800">
            <v>7.4335327096613684</v>
          </cell>
          <cell r="H800">
            <v>5.1137686156220559</v>
          </cell>
          <cell r="I800">
            <v>3.2250530802261261</v>
          </cell>
          <cell r="J800">
            <v>2.0107241511513223</v>
          </cell>
          <cell r="K800">
            <v>0.66072442786993435</v>
          </cell>
          <cell r="L800">
            <v>0.63833039671154901</v>
          </cell>
          <cell r="M800">
            <v>0.62935277164166614</v>
          </cell>
          <cell r="N800">
            <v>0.61580659524597814</v>
          </cell>
          <cell r="O800">
            <v>0.61536138877472968</v>
          </cell>
        </row>
        <row r="801">
          <cell r="A801" t="str">
            <v>D-SWOD</v>
          </cell>
          <cell r="B801" t="str">
            <v>VAR_fin</v>
          </cell>
          <cell r="C801" t="str">
            <v>WOD</v>
          </cell>
          <cell r="D801">
            <v>8.5743734981499795</v>
          </cell>
          <cell r="E801">
            <v>9.3510657465569356</v>
          </cell>
          <cell r="F801">
            <v>9.2554145057482131</v>
          </cell>
          <cell r="G801">
            <v>7.4335327096613684</v>
          </cell>
          <cell r="H801">
            <v>5.1137686156220559</v>
          </cell>
          <cell r="I801">
            <v>3.2250530802261261</v>
          </cell>
          <cell r="J801">
            <v>2.0107241511513223</v>
          </cell>
          <cell r="K801">
            <v>0.66072442786993435</v>
          </cell>
          <cell r="L801">
            <v>0.63833039671154901</v>
          </cell>
          <cell r="M801">
            <v>0.62935277164166614</v>
          </cell>
          <cell r="N801">
            <v>0.61580659524597814</v>
          </cell>
          <cell r="O801">
            <v>0.61536138877472968</v>
          </cell>
        </row>
        <row r="802">
          <cell r="A802" t="str">
            <v>D-RSH2R</v>
          </cell>
          <cell r="B802" t="str">
            <v>VAR_fout</v>
          </cell>
          <cell r="C802" t="str">
            <v>RSH2</v>
          </cell>
          <cell r="G802">
            <v>3.1311003559614101E-4</v>
          </cell>
          <cell r="H802">
            <v>6.107818180773214E-4</v>
          </cell>
          <cell r="I802">
            <v>7.0331915125678975E-4</v>
          </cell>
          <cell r="J802">
            <v>7.8321947036302613E-4</v>
          </cell>
          <cell r="K802">
            <v>1.4078719663453568E-3</v>
          </cell>
          <cell r="L802">
            <v>8.9290993425274103E-4</v>
          </cell>
          <cell r="M802">
            <v>1.6766830882538283E-3</v>
          </cell>
          <cell r="N802">
            <v>1.5567254845713051E-3</v>
          </cell>
          <cell r="O802">
            <v>4.0750637958527278E-3</v>
          </cell>
        </row>
        <row r="803">
          <cell r="A803" t="str">
            <v>D-RSH2R</v>
          </cell>
          <cell r="B803" t="str">
            <v>VAR_fin</v>
          </cell>
          <cell r="C803" t="str">
            <v>H2</v>
          </cell>
          <cell r="G803">
            <v>3.1311003559614101E-4</v>
          </cell>
          <cell r="H803">
            <v>6.107818180773214E-4</v>
          </cell>
          <cell r="I803">
            <v>7.0331915125678975E-4</v>
          </cell>
          <cell r="J803">
            <v>7.8321947036302613E-4</v>
          </cell>
          <cell r="K803">
            <v>1.4078719663453568E-3</v>
          </cell>
          <cell r="L803">
            <v>8.9290993425274103E-4</v>
          </cell>
          <cell r="M803">
            <v>1.6766830882538283E-3</v>
          </cell>
          <cell r="N803">
            <v>1.5567254845713051E-3</v>
          </cell>
          <cell r="O803">
            <v>4.0750637958527278E-3</v>
          </cell>
        </row>
        <row r="804">
          <cell r="A804" t="str">
            <v>D-RSH2R</v>
          </cell>
          <cell r="B804" t="str">
            <v>VAR_ncap</v>
          </cell>
          <cell r="C804" t="str">
            <v>-</v>
          </cell>
          <cell r="G804">
            <v>4.3914028379375903E-5</v>
          </cell>
          <cell r="H804">
            <v>5.0108949798933603E-5</v>
          </cell>
          <cell r="I804">
            <v>6.9668782812389005E-5</v>
          </cell>
          <cell r="J804">
            <v>8.9594926777513006E-5</v>
          </cell>
          <cell r="K804">
            <v>3.6527643476266599E-5</v>
          </cell>
          <cell r="L804">
            <v>4.14075514916401E-5</v>
          </cell>
          <cell r="M804">
            <v>1.1524475202751099E-4</v>
          </cell>
          <cell r="N804">
            <v>1.03791242838966E-4</v>
          </cell>
          <cell r="O804">
            <v>2.36673951753097E-4</v>
          </cell>
        </row>
        <row r="805">
          <cell r="A805" t="str">
            <v>D-RSH2R</v>
          </cell>
          <cell r="B805" t="str">
            <v>VAR_cap</v>
          </cell>
          <cell r="C805" t="str">
            <v>-</v>
          </cell>
          <cell r="G805">
            <v>4.3914028379375903E-5</v>
          </cell>
          <cell r="H805">
            <v>8.3447695141273905E-5</v>
          </cell>
          <cell r="I805">
            <v>8.0191508829847795E-5</v>
          </cell>
          <cell r="J805">
            <v>8.9594926777513006E-5</v>
          </cell>
          <cell r="K805">
            <v>1.2612257025378001E-4</v>
          </cell>
          <cell r="L805">
            <v>6.6262526898705802E-5</v>
          </cell>
          <cell r="M805">
            <v>1.4668062492224099E-4</v>
          </cell>
          <cell r="N805">
            <v>1.2420361496382401E-4</v>
          </cell>
          <cell r="O805">
            <v>3.4046519459206298E-4</v>
          </cell>
        </row>
        <row r="806">
          <cell r="A806" t="str">
            <v>SCOM-SHLTHCHPBIO</v>
          </cell>
          <cell r="B806" t="str">
            <v>VAR_fout</v>
          </cell>
          <cell r="C806" t="str">
            <v>SCOM-SHLTHC-BIO</v>
          </cell>
          <cell r="D806">
            <v>1.41007676537791</v>
          </cell>
          <cell r="E806">
            <v>1.5273769025242878</v>
          </cell>
          <cell r="F806">
            <v>1.3826586934083311</v>
          </cell>
          <cell r="G806">
            <v>1.1455798069342997</v>
          </cell>
          <cell r="H806">
            <v>0.93061845476727179</v>
          </cell>
          <cell r="I806">
            <v>0.74381503742126331</v>
          </cell>
          <cell r="J806">
            <v>0.68371920784287288</v>
          </cell>
          <cell r="K806">
            <v>0.6275444126807912</v>
          </cell>
          <cell r="L806">
            <v>0.58062032126080965</v>
          </cell>
          <cell r="M806">
            <v>0.50445297146783252</v>
          </cell>
          <cell r="N806">
            <v>0.4556226277181995</v>
          </cell>
          <cell r="O806">
            <v>0.41463664377079607</v>
          </cell>
        </row>
        <row r="807">
          <cell r="A807" t="str">
            <v>SCOM-SHLTHCHPBIO</v>
          </cell>
          <cell r="B807" t="str">
            <v>VAR_fin</v>
          </cell>
          <cell r="C807" t="str">
            <v>SCOM_LTH_CHPBIO_ON</v>
          </cell>
          <cell r="D807">
            <v>1.4243199650281912</v>
          </cell>
          <cell r="E807">
            <v>1.5428049520447344</v>
          </cell>
          <cell r="F807">
            <v>1.3966249428366979</v>
          </cell>
          <cell r="G807">
            <v>1.1571513201356562</v>
          </cell>
          <cell r="H807">
            <v>0.9400186411790622</v>
          </cell>
          <cell r="I807">
            <v>0.75132832062753852</v>
          </cell>
          <cell r="J807">
            <v>0.69062546246754819</v>
          </cell>
          <cell r="K807">
            <v>0.63388324513211225</v>
          </cell>
          <cell r="L807">
            <v>0.58648517299071656</v>
          </cell>
          <cell r="M807">
            <v>0.50954845602811349</v>
          </cell>
          <cell r="N807">
            <v>0.46022487648303023</v>
          </cell>
          <cell r="O807">
            <v>0.41882489269777384</v>
          </cell>
        </row>
        <row r="808">
          <cell r="A808" t="str">
            <v>SCOM-SHLTHCHPBIO</v>
          </cell>
          <cell r="B808" t="str">
            <v>VAR_fin</v>
          </cell>
          <cell r="C808" t="str">
            <v>SCOMLTHCHPC</v>
          </cell>
          <cell r="D808">
            <v>1.41007676537791</v>
          </cell>
          <cell r="E808">
            <v>1.5273769025242878</v>
          </cell>
          <cell r="F808">
            <v>1.3826586934083311</v>
          </cell>
          <cell r="G808">
            <v>1.1455798069342997</v>
          </cell>
          <cell r="H808">
            <v>0.93061845476727179</v>
          </cell>
          <cell r="I808">
            <v>0.74381503742126331</v>
          </cell>
          <cell r="J808">
            <v>0.68371920784287288</v>
          </cell>
          <cell r="K808">
            <v>0.6275444126807912</v>
          </cell>
          <cell r="L808">
            <v>0.58062032126080965</v>
          </cell>
          <cell r="M808">
            <v>0.50445297146783252</v>
          </cell>
          <cell r="N808">
            <v>0.4556226277181995</v>
          </cell>
          <cell r="O808">
            <v>0.41463664377079607</v>
          </cell>
        </row>
        <row r="809">
          <cell r="A809" t="str">
            <v>SCOM-SHLTHCHPBIO</v>
          </cell>
          <cell r="B809" t="str">
            <v>VAR_ncap</v>
          </cell>
          <cell r="C809" t="str">
            <v>-</v>
          </cell>
          <cell r="D809">
            <v>5.19304818817856E-7</v>
          </cell>
          <cell r="E809">
            <v>3.44198091850694E-2</v>
          </cell>
          <cell r="F809">
            <v>3.7963612038080602E-2</v>
          </cell>
          <cell r="G809">
            <v>3.0336188235443599E-2</v>
          </cell>
          <cell r="H809">
            <v>4.1784179098428298E-2</v>
          </cell>
          <cell r="I809">
            <v>4.25514727829494E-2</v>
          </cell>
          <cell r="J809">
            <v>3.1243843680190501E-2</v>
          </cell>
          <cell r="K809">
            <v>4.16000712752728E-2</v>
          </cell>
          <cell r="L809">
            <v>3.1424924794165199E-2</v>
          </cell>
          <cell r="M809">
            <v>3.0368034688876E-2</v>
          </cell>
          <cell r="N809">
            <v>2.87831590834523E-2</v>
          </cell>
          <cell r="O809">
            <v>2.58003212134847E-2</v>
          </cell>
        </row>
        <row r="810">
          <cell r="A810" t="str">
            <v>SCOM-SHLTHCHPBIO</v>
          </cell>
          <cell r="B810" t="str">
            <v>VAR_cap</v>
          </cell>
          <cell r="C810" t="str">
            <v>-</v>
          </cell>
          <cell r="D810">
            <v>0.10914020688385781</v>
          </cell>
          <cell r="E810">
            <v>0.12094624198752599</v>
          </cell>
          <cell r="F810">
            <v>0.11363567731399288</v>
          </cell>
          <cell r="G810">
            <v>0.10145105945312799</v>
          </cell>
          <cell r="H810">
            <v>8.9266448112031396E-2</v>
          </cell>
          <cell r="I810">
            <v>7.7078941566442488E-2</v>
          </cell>
          <cell r="J810">
            <v>6.92098418441838E-2</v>
          </cell>
          <cell r="K810">
            <v>7.3193164783494899E-2</v>
          </cell>
          <cell r="L810">
            <v>6.2944590350123591E-2</v>
          </cell>
          <cell r="M810">
            <v>5.7210533303799105E-2</v>
          </cell>
          <cell r="N810">
            <v>5.1473995371505606E-2</v>
          </cell>
          <cell r="O810">
            <v>4.7765016784718707E-2</v>
          </cell>
        </row>
        <row r="811">
          <cell r="A811" t="str">
            <v>D-RSH2</v>
          </cell>
          <cell r="B811" t="str">
            <v>VAR_fout</v>
          </cell>
          <cell r="C811" t="str">
            <v>RSH2</v>
          </cell>
          <cell r="G811">
            <v>2.8584997991433871E-4</v>
          </cell>
          <cell r="H811">
            <v>5.6652331953396297E-4</v>
          </cell>
          <cell r="I811">
            <v>6.7386378168058931E-4</v>
          </cell>
          <cell r="J811">
            <v>6.9067171280864394E-4</v>
          </cell>
          <cell r="K811">
            <v>1.5456844320501566E-3</v>
          </cell>
          <cell r="L811">
            <v>1.7012115689013407E-3</v>
          </cell>
          <cell r="M811">
            <v>2.6255478936757829E-3</v>
          </cell>
          <cell r="N811">
            <v>3.0778093680426111E-3</v>
          </cell>
          <cell r="O811">
            <v>6.9266811931461515E-3</v>
          </cell>
        </row>
        <row r="812">
          <cell r="A812" t="str">
            <v>D-RSH2</v>
          </cell>
          <cell r="B812" t="str">
            <v>VAR_fin</v>
          </cell>
          <cell r="C812" t="str">
            <v>H2</v>
          </cell>
          <cell r="G812">
            <v>2.8802769597636432E-4</v>
          </cell>
          <cell r="H812">
            <v>5.7083931400361756E-4</v>
          </cell>
          <cell r="I812">
            <v>6.7899753744094708E-4</v>
          </cell>
          <cell r="J812">
            <v>6.9593351791012042E-4</v>
          </cell>
          <cell r="K812">
            <v>1.5574600558074432E-3</v>
          </cell>
          <cell r="L812">
            <v>1.7141720587345423E-3</v>
          </cell>
          <cell r="M812">
            <v>2.6455503362905744E-3</v>
          </cell>
          <cell r="N812">
            <v>3.1012573140548859E-3</v>
          </cell>
          <cell r="O812">
            <v>6.9794513381549721E-3</v>
          </cell>
        </row>
        <row r="813">
          <cell r="A813" t="str">
            <v>D-RSH2</v>
          </cell>
          <cell r="B813" t="str">
            <v>VAR_ncap</v>
          </cell>
          <cell r="C813" t="str">
            <v>-</v>
          </cell>
          <cell r="G813">
            <v>5.5145924416740897E-5</v>
          </cell>
          <cell r="H813">
            <v>4.8717784840944799E-5</v>
          </cell>
          <cell r="I813">
            <v>5.6597829968129299E-6</v>
          </cell>
          <cell r="J813">
            <v>4.7091633757974701E-6</v>
          </cell>
          <cell r="K813">
            <v>9.0019257853831501E-5</v>
          </cell>
          <cell r="L813">
            <v>1.64332252257656E-6</v>
          </cell>
          <cell r="M813">
            <v>1.15216183425346E-4</v>
          </cell>
          <cell r="N813">
            <v>3.4568866376740903E-5</v>
          </cell>
          <cell r="O813">
            <v>4.8294766634854899E-4</v>
          </cell>
        </row>
        <row r="814">
          <cell r="A814" t="str">
            <v>D-RSH2</v>
          </cell>
          <cell r="B814" t="str">
            <v>VAR_cap</v>
          </cell>
          <cell r="C814" t="str">
            <v>-</v>
          </cell>
          <cell r="G814">
            <v>5.5145924416740897E-5</v>
          </cell>
          <cell r="H814">
            <v>1.0386370925768599E-4</v>
          </cell>
          <cell r="I814">
            <v>1.0952349225449901E-4</v>
          </cell>
          <cell r="J814">
            <v>1.14232655630296E-4</v>
          </cell>
          <cell r="K814">
            <v>2.0425191348412799E-4</v>
          </cell>
          <cell r="L814">
            <v>2.05895236006704E-4</v>
          </cell>
          <cell r="M814">
            <v>3.21111419432051E-4</v>
          </cell>
          <cell r="N814">
            <v>3.38198272801996E-4</v>
          </cell>
          <cell r="O814">
            <v>7.8348202774060002E-4</v>
          </cell>
        </row>
        <row r="815">
          <cell r="A815" t="str">
            <v>RHES-SHNGABR</v>
          </cell>
          <cell r="B815" t="str">
            <v>VAR_fout</v>
          </cell>
          <cell r="C815" t="str">
            <v>CO2_R</v>
          </cell>
          <cell r="D815">
            <v>1043.1361302708001</v>
          </cell>
          <cell r="E815">
            <v>1212.91017372895</v>
          </cell>
          <cell r="F815">
            <v>1085.7278643981299</v>
          </cell>
          <cell r="G815">
            <v>1180.8349821035699</v>
          </cell>
          <cell r="H815">
            <v>1211.7216779508601</v>
          </cell>
          <cell r="I815">
            <v>1132.01563188419</v>
          </cell>
          <cell r="J815">
            <v>1100.7295842590499</v>
          </cell>
          <cell r="K815">
            <v>1069.3351051473901</v>
          </cell>
          <cell r="L815">
            <v>997.66782896678296</v>
          </cell>
          <cell r="M815">
            <v>924.18197234660204</v>
          </cell>
          <cell r="N815">
            <v>905.069522389658</v>
          </cell>
          <cell r="O815">
            <v>754.27294725910303</v>
          </cell>
        </row>
        <row r="816">
          <cell r="A816" t="str">
            <v>RHES-SHNGABR</v>
          </cell>
          <cell r="B816" t="str">
            <v>VAR_fout</v>
          </cell>
          <cell r="C816" t="str">
            <v>RHES-SHNGA</v>
          </cell>
          <cell r="D816">
            <v>17.570555385766934</v>
          </cell>
          <cell r="E816">
            <v>20.430224557491243</v>
          </cell>
          <cell r="F816">
            <v>18.287969347131689</v>
          </cell>
          <cell r="G816">
            <v>19.889950939687804</v>
          </cell>
          <cell r="H816">
            <v>20.410205568321238</v>
          </cell>
          <cell r="I816">
            <v>19.067639189538678</v>
          </cell>
          <cell r="J816">
            <v>18.540657890888202</v>
          </cell>
          <cell r="K816">
            <v>18.011850175355015</v>
          </cell>
          <cell r="L816">
            <v>16.804688608483055</v>
          </cell>
          <cell r="M816">
            <v>15.566894924277868</v>
          </cell>
          <cell r="N816">
            <v>15.244965359400274</v>
          </cell>
          <cell r="O816">
            <v>12.704952125818227</v>
          </cell>
        </row>
        <row r="817">
          <cell r="A817" t="str">
            <v>RHES-SHNGABR</v>
          </cell>
          <cell r="B817" t="str">
            <v>VAR_fin</v>
          </cell>
          <cell r="C817" t="str">
            <v>RNGA</v>
          </cell>
          <cell r="D817">
            <v>18.495321458702023</v>
          </cell>
          <cell r="E817">
            <v>21.50549953420132</v>
          </cell>
          <cell r="F817">
            <v>19.250494049612296</v>
          </cell>
          <cell r="G817">
            <v>20.936790462829286</v>
          </cell>
          <cell r="H817">
            <v>21.484426914022364</v>
          </cell>
          <cell r="I817">
            <v>20.071199146882801</v>
          </cell>
          <cell r="J817">
            <v>19.516481990408614</v>
          </cell>
          <cell r="K817">
            <v>18.959842289847398</v>
          </cell>
          <cell r="L817">
            <v>17.689145903666375</v>
          </cell>
          <cell r="M817">
            <v>16.386205183450397</v>
          </cell>
          <cell r="N817">
            <v>16.047331957263467</v>
          </cell>
          <cell r="O817">
            <v>13.373633816650759</v>
          </cell>
        </row>
        <row r="818">
          <cell r="A818" t="str">
            <v>RHES-SHNGABR</v>
          </cell>
          <cell r="B818" t="str">
            <v>VAR_ncap</v>
          </cell>
          <cell r="C818" t="str">
            <v>-</v>
          </cell>
          <cell r="E818">
            <v>0.22860483876225801</v>
          </cell>
          <cell r="F818">
            <v>1.3124480479479199E-7</v>
          </cell>
          <cell r="G818">
            <v>9.8881277166069101E-7</v>
          </cell>
          <cell r="H818">
            <v>1.1770632861524299</v>
          </cell>
          <cell r="I818">
            <v>0.37055328805809501</v>
          </cell>
          <cell r="J818">
            <v>1.2769722767792199E-6</v>
          </cell>
          <cell r="K818">
            <v>1.09666525490385</v>
          </cell>
          <cell r="L818">
            <v>0.214546798980775</v>
          </cell>
          <cell r="M818">
            <v>2.0796678027921999E-6</v>
          </cell>
          <cell r="N818">
            <v>0.89304035180797803</v>
          </cell>
          <cell r="O818">
            <v>0.13585790249823099</v>
          </cell>
        </row>
        <row r="819">
          <cell r="A819" t="str">
            <v>RHES-SHNGABR</v>
          </cell>
          <cell r="B819" t="str">
            <v>VAR_cap</v>
          </cell>
          <cell r="C819" t="str">
            <v>-</v>
          </cell>
          <cell r="D819">
            <v>1.4219190615860799</v>
          </cell>
          <cell r="E819">
            <v>1.6505238265120572</v>
          </cell>
          <cell r="F819">
            <v>1.6505222840353297</v>
          </cell>
          <cell r="G819">
            <v>1.6505229947757196</v>
          </cell>
          <cell r="H819">
            <v>1.6629399794591653</v>
          </cell>
          <cell r="I819">
            <v>1.5476169220666649</v>
          </cell>
          <cell r="J819">
            <v>1.5301180299422719</v>
          </cell>
          <cell r="K819">
            <v>1.4672183636823819</v>
          </cell>
          <cell r="L819">
            <v>1.3681494241647993</v>
          </cell>
          <cell r="M819">
            <v>1.3112087643710217</v>
          </cell>
          <cell r="N819">
            <v>1.2338166559364532</v>
          </cell>
          <cell r="O819">
            <v>1.028899408528706</v>
          </cell>
        </row>
        <row r="820">
          <cell r="A820" t="str">
            <v>SCOM-SHLTHCHPHFC</v>
          </cell>
          <cell r="B820" t="str">
            <v>VAR_fout</v>
          </cell>
          <cell r="C820" t="str">
            <v>SCOM-SHLTHC-HFC</v>
          </cell>
          <cell r="G820">
            <v>6.2530940619092801E-4</v>
          </cell>
          <cell r="H820">
            <v>1.4043464296614333E-3</v>
          </cell>
          <cell r="I820">
            <v>1.4269519603528236E-3</v>
          </cell>
          <cell r="J820">
            <v>1.5773240056261607E-3</v>
          </cell>
          <cell r="K820">
            <v>4.7618022514721355E-3</v>
          </cell>
          <cell r="L820">
            <v>4.431299762291712E-3</v>
          </cell>
          <cell r="M820">
            <v>1.1268185224121333E-2</v>
          </cell>
          <cell r="N820">
            <v>8.521710788476836E-3</v>
          </cell>
          <cell r="O820">
            <v>1.6109057027787321E-2</v>
          </cell>
        </row>
        <row r="821">
          <cell r="A821" t="str">
            <v>SCOM-SHLTHCHPHFC</v>
          </cell>
          <cell r="B821" t="str">
            <v>VAR_fin</v>
          </cell>
          <cell r="C821" t="str">
            <v>SCOM_LTH_CHPHFC_ON</v>
          </cell>
          <cell r="G821">
            <v>6.3162566281911949E-4</v>
          </cell>
          <cell r="H821">
            <v>1.4185317471327595E-3</v>
          </cell>
          <cell r="I821">
            <v>1.4413656165180042E-3</v>
          </cell>
          <cell r="J821">
            <v>1.5932565713395557E-3</v>
          </cell>
          <cell r="K821">
            <v>4.8099012641132661E-3</v>
          </cell>
          <cell r="L821">
            <v>4.4760603659512272E-3</v>
          </cell>
          <cell r="M821">
            <v>1.1382005276890265E-2</v>
          </cell>
          <cell r="N821">
            <v>8.6077886752291242E-3</v>
          </cell>
          <cell r="O821">
            <v>1.627177477554274E-2</v>
          </cell>
        </row>
        <row r="822">
          <cell r="A822" t="str">
            <v>SCOM-SHLTHCHPHFC</v>
          </cell>
          <cell r="B822" t="str">
            <v>VAR_fin</v>
          </cell>
          <cell r="C822" t="str">
            <v>SCOMLTHCHPC</v>
          </cell>
          <cell r="G822">
            <v>6.2530940619092801E-4</v>
          </cell>
          <cell r="H822">
            <v>1.4043464296614333E-3</v>
          </cell>
          <cell r="I822">
            <v>1.4269519603528236E-3</v>
          </cell>
          <cell r="J822">
            <v>1.5773240056261607E-3</v>
          </cell>
          <cell r="K822">
            <v>4.7618022514721355E-3</v>
          </cell>
          <cell r="L822">
            <v>4.431299762291712E-3</v>
          </cell>
          <cell r="M822">
            <v>1.1268185224121333E-2</v>
          </cell>
          <cell r="N822">
            <v>8.521710788476836E-3</v>
          </cell>
          <cell r="O822">
            <v>1.6109057027787321E-2</v>
          </cell>
        </row>
        <row r="823">
          <cell r="A823" t="str">
            <v>SCOM-SHLTHCHPHFC</v>
          </cell>
          <cell r="B823" t="str">
            <v>VAR_ncap</v>
          </cell>
          <cell r="C823" t="str">
            <v>-</v>
          </cell>
          <cell r="G823">
            <v>5.7561130209846703E-5</v>
          </cell>
          <cell r="H823">
            <v>1.07589309172296E-4</v>
          </cell>
          <cell r="I823">
            <v>1.0068276014231201E-4</v>
          </cell>
          <cell r="J823">
            <v>9.4172051516179295E-5</v>
          </cell>
          <cell r="K823">
            <v>3.2504703897962098E-4</v>
          </cell>
          <cell r="L823">
            <v>2.4545736331772202E-4</v>
          </cell>
          <cell r="M823">
            <v>7.0674626476358699E-4</v>
          </cell>
          <cell r="N823">
            <v>4.28726969597092E-4</v>
          </cell>
          <cell r="O823">
            <v>1.0025636822079799E-3</v>
          </cell>
        </row>
        <row r="824">
          <cell r="A824" t="str">
            <v>SCOM-SHLTHCHPHFC</v>
          </cell>
          <cell r="B824" t="str">
            <v>VAR_cap</v>
          </cell>
          <cell r="C824" t="str">
            <v>-</v>
          </cell>
          <cell r="G824">
            <v>5.7561130209846703E-5</v>
          </cell>
          <cell r="H824">
            <v>1.3104907884959401E-4</v>
          </cell>
          <cell r="I824">
            <v>1.3090212868950598E-4</v>
          </cell>
          <cell r="J824">
            <v>1.3784274294354899E-4</v>
          </cell>
          <cell r="K824">
            <v>3.8821955748320704E-4</v>
          </cell>
          <cell r="L824">
            <v>3.6718201985885704E-4</v>
          </cell>
          <cell r="M824">
            <v>8.8585488668919011E-4</v>
          </cell>
          <cell r="N824">
            <v>6.7083464985210912E-4</v>
          </cell>
          <cell r="O824">
            <v>1.2851046995863949E-3</v>
          </cell>
        </row>
        <row r="825">
          <cell r="A825" t="str">
            <v>RHSA-WHNGABR</v>
          </cell>
          <cell r="B825" t="str">
            <v>VAR_fout</v>
          </cell>
          <cell r="C825" t="str">
            <v>RHSA-WHNGA</v>
          </cell>
          <cell r="D825">
            <v>6.3804648572307077</v>
          </cell>
          <cell r="E825">
            <v>5.1462747396662998</v>
          </cell>
          <cell r="F825">
            <v>9.013970417946398</v>
          </cell>
          <cell r="G825">
            <v>9.1349051568120139</v>
          </cell>
          <cell r="H825">
            <v>9.7554978355179784</v>
          </cell>
          <cell r="I825">
            <v>9.5926429690844088</v>
          </cell>
          <cell r="J825">
            <v>9.3061029362147547</v>
          </cell>
          <cell r="K825">
            <v>9.0240704164014609</v>
          </cell>
          <cell r="L825">
            <v>8.5111349676616754</v>
          </cell>
          <cell r="M825">
            <v>7.9313854193306916</v>
          </cell>
          <cell r="N825">
            <v>7.7683694951276845</v>
          </cell>
          <cell r="O825">
            <v>6.3352688736378644</v>
          </cell>
        </row>
        <row r="826">
          <cell r="A826" t="str">
            <v>RHSA-WHNGABR</v>
          </cell>
          <cell r="B826" t="str">
            <v>VAR_fout</v>
          </cell>
          <cell r="C826" t="str">
            <v>CO2_R</v>
          </cell>
          <cell r="D826">
            <v>479.81095726375003</v>
          </cell>
          <cell r="E826">
            <v>384.94681076549</v>
          </cell>
          <cell r="F826">
            <v>668.93148891075896</v>
          </cell>
          <cell r="G826">
            <v>669.10214395350397</v>
          </cell>
          <cell r="H826">
            <v>705.39753579899195</v>
          </cell>
          <cell r="I826">
            <v>684.84185247640596</v>
          </cell>
          <cell r="J826">
            <v>660.20654792768801</v>
          </cell>
          <cell r="K826">
            <v>636.19696435630306</v>
          </cell>
          <cell r="L826">
            <v>600.03501522014801</v>
          </cell>
          <cell r="M826">
            <v>559.16267206281395</v>
          </cell>
          <cell r="N826">
            <v>547.67004940650099</v>
          </cell>
          <cell r="O826">
            <v>446.63645559147</v>
          </cell>
        </row>
        <row r="827">
          <cell r="A827" t="str">
            <v>RHSA-WHNGABR</v>
          </cell>
          <cell r="B827" t="str">
            <v>VAR_fin</v>
          </cell>
          <cell r="C827" t="str">
            <v>RNGA</v>
          </cell>
          <cell r="D827">
            <v>8.5072864763076161</v>
          </cell>
          <cell r="E827">
            <v>6.8252980632179012</v>
          </cell>
          <cell r="F827">
            <v>11.860487392034734</v>
          </cell>
          <cell r="G827">
            <v>11.863513190664959</v>
          </cell>
          <cell r="H827">
            <v>12.507048507074336</v>
          </cell>
          <cell r="I827">
            <v>12.142586036815697</v>
          </cell>
          <cell r="J827">
            <v>11.705789856873897</v>
          </cell>
          <cell r="K827">
            <v>11.280088020501827</v>
          </cell>
          <cell r="L827">
            <v>10.638918709577085</v>
          </cell>
          <cell r="M827">
            <v>9.9142317741633583</v>
          </cell>
          <cell r="N827">
            <v>9.7104618689095972</v>
          </cell>
          <cell r="O827">
            <v>7.9190860920473369</v>
          </cell>
        </row>
        <row r="828">
          <cell r="A828" t="str">
            <v>RHSA-WHNGABR</v>
          </cell>
          <cell r="B828" t="str">
            <v>VAR_ncap</v>
          </cell>
          <cell r="C828" t="str">
            <v>-</v>
          </cell>
          <cell r="E828">
            <v>7.0134714491612202E-7</v>
          </cell>
          <cell r="F828">
            <v>0.18002936379423001</v>
          </cell>
          <cell r="G828">
            <v>8.2552447616243696E-3</v>
          </cell>
          <cell r="H828">
            <v>0.38811168142040098</v>
          </cell>
          <cell r="I828">
            <v>0.24468438375266699</v>
          </cell>
          <cell r="J828">
            <v>6.2287415632586197E-3</v>
          </cell>
          <cell r="K828">
            <v>0.36632217054163801</v>
          </cell>
          <cell r="L828">
            <v>0.17580983615154899</v>
          </cell>
          <cell r="M828">
            <v>4.3969706672286001E-5</v>
          </cell>
          <cell r="N828">
            <v>0.34599905461410102</v>
          </cell>
          <cell r="O828">
            <v>8.70592554716213E-2</v>
          </cell>
        </row>
        <row r="829">
          <cell r="A829" t="str">
            <v>RHSA-WHNGABR</v>
          </cell>
          <cell r="B829" t="str">
            <v>VAR_cap</v>
          </cell>
          <cell r="C829" t="str">
            <v>-</v>
          </cell>
          <cell r="D829">
            <v>0.43610075802020798</v>
          </cell>
          <cell r="E829">
            <v>0.4361008411330215</v>
          </cell>
          <cell r="F829">
            <v>0.61612969535346762</v>
          </cell>
          <cell r="G829">
            <v>0.62438483585686522</v>
          </cell>
          <cell r="H829">
            <v>0.68949089698848631</v>
          </cell>
          <cell r="I829">
            <v>0.67728526925676513</v>
          </cell>
          <cell r="J829">
            <v>0.63902397544853473</v>
          </cell>
          <cell r="K829">
            <v>0.61723397705201621</v>
          </cell>
          <cell r="L829">
            <v>0.58513107888851623</v>
          </cell>
          <cell r="M829">
            <v>0.54217436150156817</v>
          </cell>
          <cell r="N829">
            <v>0.53100066697449921</v>
          </cell>
          <cell r="O829">
            <v>0.43310093987356468</v>
          </cell>
        </row>
        <row r="830">
          <cell r="A830" t="str">
            <v>ITOT-SWHWSTBR</v>
          </cell>
          <cell r="B830" t="str">
            <v>VAR_fout</v>
          </cell>
          <cell r="C830" t="str">
            <v>ITOT-SWH</v>
          </cell>
          <cell r="D830">
            <v>4.117368104037161</v>
          </cell>
          <cell r="E830">
            <v>4.2663641179495722</v>
          </cell>
          <cell r="F830">
            <v>2.9612154731270897</v>
          </cell>
          <cell r="G830">
            <v>2.9281141632001311</v>
          </cell>
          <cell r="H830">
            <v>2.8950400700826813</v>
          </cell>
          <cell r="I830">
            <v>2.880453721056599</v>
          </cell>
          <cell r="J830">
            <v>2.9092616829427369</v>
          </cell>
          <cell r="K830">
            <v>2.937618900705659</v>
          </cell>
          <cell r="L830">
            <v>2.9376266012474175</v>
          </cell>
          <cell r="M830">
            <v>2.9376714947433054</v>
          </cell>
          <cell r="N830">
            <v>2.9376220353415752</v>
          </cell>
          <cell r="O830">
            <v>2.9377555990470263</v>
          </cell>
        </row>
        <row r="831">
          <cell r="A831" t="str">
            <v>ITOT-SWHWSTBR</v>
          </cell>
          <cell r="B831" t="str">
            <v>VAR_fout</v>
          </cell>
          <cell r="C831" t="str">
            <v>CO2_I</v>
          </cell>
          <cell r="D831">
            <v>723.65863646713603</v>
          </cell>
          <cell r="E831">
            <v>749.84581466992495</v>
          </cell>
          <cell r="F831">
            <v>520.45605285264003</v>
          </cell>
          <cell r="G831">
            <v>514.63824686547696</v>
          </cell>
          <cell r="H831">
            <v>508.825224438774</v>
          </cell>
          <cell r="I831">
            <v>506.26156309479597</v>
          </cell>
          <cell r="J831">
            <v>503.69306749456399</v>
          </cell>
          <cell r="K831">
            <v>501.12322423802499</v>
          </cell>
          <cell r="L831">
            <v>501.12453785985298</v>
          </cell>
          <cell r="M831">
            <v>501.13219616209301</v>
          </cell>
          <cell r="N831">
            <v>501.12375897003301</v>
          </cell>
          <cell r="O831">
            <v>501.146543366846</v>
          </cell>
        </row>
        <row r="832">
          <cell r="A832" t="str">
            <v>ITOT-SWHWSTBR</v>
          </cell>
          <cell r="B832" t="str">
            <v>VAR_fin</v>
          </cell>
          <cell r="C832" t="str">
            <v>IWST</v>
          </cell>
          <cell r="D832">
            <v>7.7980456515855261</v>
          </cell>
          <cell r="E832">
            <v>8.0802350718741884</v>
          </cell>
          <cell r="F832">
            <v>5.6083626384982797</v>
          </cell>
          <cell r="G832">
            <v>5.5456707636366076</v>
          </cell>
          <cell r="H832">
            <v>5.4830304357626538</v>
          </cell>
          <cell r="I832">
            <v>5.4554047747284153</v>
          </cell>
          <cell r="J832">
            <v>5.427727020415551</v>
          </cell>
          <cell r="K832">
            <v>5.4000347439442269</v>
          </cell>
          <cell r="L832">
            <v>5.4000488993518703</v>
          </cell>
          <cell r="M832">
            <v>5.4001314241604863</v>
          </cell>
          <cell r="N832">
            <v>5.4000405061426013</v>
          </cell>
          <cell r="O832">
            <v>5.4002860276599813</v>
          </cell>
        </row>
        <row r="833">
          <cell r="A833" t="str">
            <v>ITOT-SWHWSTBR</v>
          </cell>
          <cell r="B833" t="str">
            <v>VAR_ncap</v>
          </cell>
          <cell r="C833" t="str">
            <v>-</v>
          </cell>
          <cell r="E833">
            <v>3.4131124507364499E-6</v>
          </cell>
          <cell r="F833">
            <v>2.4632590739461302E-6</v>
          </cell>
          <cell r="G833">
            <v>5.7063496983638104E-6</v>
          </cell>
          <cell r="H833">
            <v>8.3196623318106205E-2</v>
          </cell>
          <cell r="I833">
            <v>9.8520968402837097E-2</v>
          </cell>
          <cell r="J833">
            <v>2.6164526478232599E-3</v>
          </cell>
          <cell r="K833">
            <v>8.6900037251508702E-2</v>
          </cell>
          <cell r="L833">
            <v>0.102030213414603</v>
          </cell>
          <cell r="M833">
            <v>3.4559472780608998E-4</v>
          </cell>
          <cell r="N833">
            <v>0.116989784163196</v>
          </cell>
          <cell r="O833">
            <v>7.2859560400388101E-2</v>
          </cell>
        </row>
        <row r="834">
          <cell r="A834" t="str">
            <v>ITOT-SWHWSTBR</v>
          </cell>
          <cell r="B834" t="str">
            <v>VAR_cap</v>
          </cell>
          <cell r="C834" t="str">
            <v>-</v>
          </cell>
          <cell r="D834">
            <v>0.35954682816669398</v>
          </cell>
          <cell r="E834">
            <v>0.331511893700974</v>
          </cell>
          <cell r="F834">
            <v>0.30980745389319514</v>
          </cell>
          <cell r="G834">
            <v>0.30974131916656572</v>
          </cell>
          <cell r="H834">
            <v>0.16351046073938641</v>
          </cell>
          <cell r="I834">
            <v>0.18170696439202805</v>
          </cell>
          <cell r="J834">
            <v>0.18431325121593681</v>
          </cell>
          <cell r="K834">
            <v>0.18800979654405506</v>
          </cell>
          <cell r="L834">
            <v>0.2063076406688433</v>
          </cell>
          <cell r="M834">
            <v>0.18923906159366582</v>
          </cell>
          <cell r="N834">
            <v>0.20237091019915956</v>
          </cell>
          <cell r="O834">
            <v>0.19016346472285472</v>
          </cell>
        </row>
        <row r="835">
          <cell r="A835" t="str">
            <v>SCOM-SHSTG-ELC</v>
          </cell>
          <cell r="B835" t="str">
            <v>VAR_fout</v>
          </cell>
          <cell r="C835" t="str">
            <v>SCOM-SHAELCB</v>
          </cell>
          <cell r="D835">
            <v>4.3954894012732794E-5</v>
          </cell>
          <cell r="E835">
            <v>1.0168571288715819E-4</v>
          </cell>
          <cell r="F835">
            <v>7.6744938266861573E-2</v>
          </cell>
          <cell r="G835">
            <v>0.12599666734890816</v>
          </cell>
          <cell r="H835">
            <v>0.12990421776707453</v>
          </cell>
          <cell r="I835">
            <v>0.12859272622251275</v>
          </cell>
          <cell r="J835">
            <v>0.13780704552621442</v>
          </cell>
          <cell r="K835">
            <v>0.11370898913314048</v>
          </cell>
          <cell r="L835">
            <v>0.12164321990948879</v>
          </cell>
          <cell r="M835">
            <v>0.12094513816829192</v>
          </cell>
          <cell r="N835">
            <v>0.10288888867035213</v>
          </cell>
          <cell r="O835">
            <v>0.12155307515981666</v>
          </cell>
        </row>
        <row r="836">
          <cell r="A836" t="str">
            <v>SCOM-SHSTG-ELC</v>
          </cell>
          <cell r="B836" t="str">
            <v>VAR_fin</v>
          </cell>
          <cell r="C836" t="str">
            <v>SCOM-SHAELCB</v>
          </cell>
          <cell r="D836">
            <v>5.0220816018023115E-5</v>
          </cell>
          <cell r="E836">
            <v>1.2267146303112105E-4</v>
          </cell>
          <cell r="F836">
            <v>9.9043531554149758E-2</v>
          </cell>
          <cell r="G836">
            <v>0.15751178320239287</v>
          </cell>
          <cell r="H836">
            <v>0.15746404369552941</v>
          </cell>
          <cell r="I836">
            <v>0.15129710433780841</v>
          </cell>
          <cell r="J836">
            <v>0.15749379982613718</v>
          </cell>
          <cell r="K836">
            <v>0.12634699029997029</v>
          </cell>
          <cell r="L836">
            <v>0.13516676249007606</v>
          </cell>
          <cell r="M836">
            <v>0.13438557817169972</v>
          </cell>
          <cell r="N836">
            <v>0.11432669247591049</v>
          </cell>
          <cell r="O836">
            <v>0.13506283364571822</v>
          </cell>
        </row>
        <row r="837">
          <cell r="A837" t="str">
            <v>SCOM-SHSTG-ELC</v>
          </cell>
          <cell r="B837" t="str">
            <v>VAR_ncap</v>
          </cell>
          <cell r="C837" t="str">
            <v>-</v>
          </cell>
          <cell r="D837">
            <v>1.06564533972164E-2</v>
          </cell>
          <cell r="E837">
            <v>4.2209493996364297E-3</v>
          </cell>
          <cell r="F837">
            <v>2.61305722199363E-2</v>
          </cell>
          <cell r="G837">
            <v>5.4197776179944803E-5</v>
          </cell>
          <cell r="H837">
            <v>6.8488001059952E-3</v>
          </cell>
          <cell r="I837">
            <v>1.9168909838656101E-2</v>
          </cell>
          <cell r="J837">
            <v>1.02905642510888E-4</v>
          </cell>
          <cell r="K837">
            <v>4.4061737572213897E-4</v>
          </cell>
          <cell r="L837">
            <v>1.6727039760805099E-2</v>
          </cell>
          <cell r="M837">
            <v>2.7980683615110298E-3</v>
          </cell>
          <cell r="N837">
            <v>6.2709744389873902E-3</v>
          </cell>
          <cell r="O837">
            <v>1.08521757443954E-2</v>
          </cell>
        </row>
        <row r="838">
          <cell r="A838" t="str">
            <v>SCOM-SHSTG-ELC</v>
          </cell>
          <cell r="B838" t="str">
            <v>VAR_cap</v>
          </cell>
          <cell r="C838" t="str">
            <v>-</v>
          </cell>
          <cell r="D838">
            <v>1.06564533972164E-2</v>
          </cell>
          <cell r="E838">
            <v>1.4787569559251198E-2</v>
          </cell>
          <cell r="F838">
            <v>4.0900198870784533E-2</v>
          </cell>
          <cell r="G838">
            <v>4.0900211811207517E-2</v>
          </cell>
          <cell r="H838">
            <v>3.7704474037147974E-2</v>
          </cell>
          <cell r="I838">
            <v>3.1486121649548629E-2</v>
          </cell>
          <cell r="J838">
            <v>2.6007405082933553E-2</v>
          </cell>
          <cell r="K838">
            <v>1.919564014470863E-2</v>
          </cell>
          <cell r="L838">
            <v>1.9953853889012878E-2</v>
          </cell>
          <cell r="M838">
            <v>1.9701992480834148E-2</v>
          </cell>
          <cell r="N838">
            <v>2.0257371384418264E-2</v>
          </cell>
          <cell r="O838">
            <v>1.9609307425079579E-2</v>
          </cell>
        </row>
        <row r="839">
          <cell r="A839" t="str">
            <v>SCOM-SHNGABR</v>
          </cell>
          <cell r="B839" t="str">
            <v>VAR_fout</v>
          </cell>
          <cell r="C839" t="str">
            <v>CO2_S</v>
          </cell>
          <cell r="D839">
            <v>1440.9463494311599</v>
          </cell>
          <cell r="E839">
            <v>1508.68788320209</v>
          </cell>
          <cell r="F839">
            <v>1440.0143797790499</v>
          </cell>
          <cell r="G839">
            <v>1491.76110632369</v>
          </cell>
          <cell r="H839">
            <v>1509.36655824938</v>
          </cell>
          <cell r="I839">
            <v>1519.09153419415</v>
          </cell>
          <cell r="J839">
            <v>1421.0965842861999</v>
          </cell>
          <cell r="K839">
            <v>1327.20842415727</v>
          </cell>
          <cell r="L839">
            <v>1295.7619155750799</v>
          </cell>
          <cell r="M839">
            <v>1262.9500100748901</v>
          </cell>
          <cell r="N839">
            <v>1235.5784928452999</v>
          </cell>
          <cell r="O839">
            <v>1177.89831015548</v>
          </cell>
        </row>
        <row r="840">
          <cell r="A840" t="str">
            <v>SCOM-SHNGABR</v>
          </cell>
          <cell r="B840" t="str">
            <v>VAR_fout</v>
          </cell>
          <cell r="C840" t="str">
            <v>SCOM-SHNGA</v>
          </cell>
          <cell r="D840">
            <v>24.189721046358255</v>
          </cell>
          <cell r="E840">
            <v>25.326924250223758</v>
          </cell>
          <cell r="F840">
            <v>24.174075713055622</v>
          </cell>
          <cell r="G840">
            <v>25.042767930965869</v>
          </cell>
          <cell r="H840">
            <v>25.33831742949198</v>
          </cell>
          <cell r="I840">
            <v>25.501574344213001</v>
          </cell>
          <cell r="J840">
            <v>23.856495397893482</v>
          </cell>
          <cell r="K840">
            <v>22.280358712463663</v>
          </cell>
          <cell r="L840">
            <v>21.752454067862999</v>
          </cell>
          <cell r="M840">
            <v>21.201627979603323</v>
          </cell>
          <cell r="N840">
            <v>20.742131783467521</v>
          </cell>
          <cell r="O840">
            <v>19.773832353221255</v>
          </cell>
        </row>
        <row r="841">
          <cell r="A841" t="str">
            <v>SCOM-SHNGABR</v>
          </cell>
          <cell r="B841" t="str">
            <v>VAR_fin</v>
          </cell>
          <cell r="C841" t="str">
            <v>SNGA</v>
          </cell>
          <cell r="D841">
            <v>25.548694138850266</v>
          </cell>
          <cell r="E841">
            <v>26.749785163157657</v>
          </cell>
          <cell r="F841">
            <v>25.532169854238496</v>
          </cell>
          <cell r="G841">
            <v>26.449665005739217</v>
          </cell>
          <cell r="H841">
            <v>26.761818408676895</v>
          </cell>
          <cell r="I841">
            <v>26.934247060179981</v>
          </cell>
          <cell r="J841">
            <v>25.196747948336931</v>
          </cell>
          <cell r="K841">
            <v>23.532064258107695</v>
          </cell>
          <cell r="L841">
            <v>22.974502049203622</v>
          </cell>
          <cell r="M841">
            <v>22.392730675086643</v>
          </cell>
          <cell r="N841">
            <v>21.907420085909543</v>
          </cell>
          <cell r="O841">
            <v>20.884721811267418</v>
          </cell>
        </row>
        <row r="842">
          <cell r="A842" t="str">
            <v>SCOM-SHNGABR</v>
          </cell>
          <cell r="B842" t="str">
            <v>VAR_ncap</v>
          </cell>
          <cell r="C842" t="str">
            <v>-</v>
          </cell>
          <cell r="D842">
            <v>1.7005712232473699E-7</v>
          </cell>
          <cell r="E842">
            <v>1.08694409273694E-6</v>
          </cell>
          <cell r="F842">
            <v>8.7710477477508395E-7</v>
          </cell>
          <cell r="G842">
            <v>2.5361657017791102E-6</v>
          </cell>
          <cell r="H842">
            <v>1.32480717222174</v>
          </cell>
          <cell r="I842">
            <v>0.726515336130101</v>
          </cell>
          <cell r="J842">
            <v>5.4458781501364201E-6</v>
          </cell>
          <cell r="K842">
            <v>1.1209685140694801</v>
          </cell>
          <cell r="L842">
            <v>0.62630514855629604</v>
          </cell>
          <cell r="M842">
            <v>2.02203022325998E-2</v>
          </cell>
          <cell r="N842">
            <v>1.1288902924336299</v>
          </cell>
          <cell r="O842">
            <v>0.550388423833027</v>
          </cell>
        </row>
        <row r="843">
          <cell r="A843" t="str">
            <v>SCOM-SHNGABR</v>
          </cell>
          <cell r="B843" t="str">
            <v>VAR_cap</v>
          </cell>
          <cell r="C843" t="str">
            <v>-</v>
          </cell>
          <cell r="D843">
            <v>2.7746816679323421</v>
          </cell>
          <cell r="E843">
            <v>2.7745859540717119</v>
          </cell>
          <cell r="F843">
            <v>2.7745755185185033</v>
          </cell>
          <cell r="G843">
            <v>2.7745676912365052</v>
          </cell>
          <cell r="H843">
            <v>2.0443482041393475</v>
          </cell>
          <cell r="I843">
            <v>2.0513223931375792</v>
          </cell>
          <cell r="J843">
            <v>2.0513137094023701</v>
          </cell>
          <cell r="K843">
            <v>1.8474830512317189</v>
          </cell>
          <cell r="L843">
            <v>1.8589044833886172</v>
          </cell>
          <cell r="M843">
            <v>1.7674867058916266</v>
          </cell>
          <cell r="N843">
            <v>1.7754060385333312</v>
          </cell>
          <cell r="O843">
            <v>1.6994896454103414</v>
          </cell>
        </row>
        <row r="844">
          <cell r="A844" t="str">
            <v>RHEM-SHELCHP</v>
          </cell>
          <cell r="B844" t="str">
            <v>VAR_fout</v>
          </cell>
          <cell r="C844" t="str">
            <v>RHEM-SHAELCH</v>
          </cell>
          <cell r="D844">
            <v>9.9025431018034649</v>
          </cell>
          <cell r="E844">
            <v>11.65520945540251</v>
          </cell>
          <cell r="F844">
            <v>11.655203808267544</v>
          </cell>
          <cell r="G844">
            <v>11.655494126706019</v>
          </cell>
          <cell r="H844">
            <v>16.162552732510139</v>
          </cell>
          <cell r="I844">
            <v>16.163632967983418</v>
          </cell>
          <cell r="J844">
            <v>16.16365748109552</v>
          </cell>
          <cell r="K844">
            <v>16.163721976397181</v>
          </cell>
          <cell r="L844">
            <v>16.163743053202975</v>
          </cell>
          <cell r="M844">
            <v>16.163780381287893</v>
          </cell>
          <cell r="N844">
            <v>16.164892881394</v>
          </cell>
          <cell r="O844">
            <v>16.164943864863599</v>
          </cell>
        </row>
        <row r="845">
          <cell r="A845" t="str">
            <v>RHEM-SHELCHP</v>
          </cell>
          <cell r="B845" t="str">
            <v>VAR_fin</v>
          </cell>
          <cell r="C845" t="str">
            <v>RHEMELCHPC</v>
          </cell>
          <cell r="D845">
            <v>9.9025431018034649</v>
          </cell>
          <cell r="E845">
            <v>11.65520945540251</v>
          </cell>
          <cell r="F845">
            <v>11.655203808267544</v>
          </cell>
          <cell r="G845">
            <v>11.655494126706019</v>
          </cell>
          <cell r="H845">
            <v>16.162552732510139</v>
          </cell>
          <cell r="I845">
            <v>16.163632967983418</v>
          </cell>
          <cell r="J845">
            <v>16.16365748109552</v>
          </cell>
          <cell r="K845">
            <v>16.163721976397181</v>
          </cell>
          <cell r="L845">
            <v>16.163743053202975</v>
          </cell>
          <cell r="M845">
            <v>16.163780381287893</v>
          </cell>
          <cell r="N845">
            <v>16.164892881394</v>
          </cell>
          <cell r="O845">
            <v>16.164943864863599</v>
          </cell>
        </row>
        <row r="846">
          <cell r="A846" t="str">
            <v>RHEM-SHELCHP</v>
          </cell>
          <cell r="B846" t="str">
            <v>VAR_fin</v>
          </cell>
          <cell r="C846" t="str">
            <v>RHEM_ELC</v>
          </cell>
          <cell r="D846">
            <v>3.0945446918818371</v>
          </cell>
          <cell r="E846">
            <v>3.5825438899802839</v>
          </cell>
          <cell r="F846">
            <v>3.4965611424802598</v>
          </cell>
          <cell r="G846">
            <v>3.362161767319042</v>
          </cell>
          <cell r="H846">
            <v>4.5104798323284063</v>
          </cell>
          <cell r="I846">
            <v>4.3685494508063298</v>
          </cell>
          <cell r="J846">
            <v>4.2535940739725095</v>
          </cell>
          <cell r="K846">
            <v>4.1445440965120994</v>
          </cell>
          <cell r="L846">
            <v>4.1445495008212765</v>
          </cell>
          <cell r="M846">
            <v>4.1445590721251042</v>
          </cell>
          <cell r="N846">
            <v>4.1448443285625647</v>
          </cell>
          <cell r="O846">
            <v>4.1448574012470791</v>
          </cell>
        </row>
        <row r="847">
          <cell r="A847" t="str">
            <v>RHEM-SHELCHP</v>
          </cell>
          <cell r="B847" t="str">
            <v>VAR_ncap</v>
          </cell>
          <cell r="C847" t="str">
            <v>-</v>
          </cell>
          <cell r="D847">
            <v>5.1358296396472603E-7</v>
          </cell>
          <cell r="E847">
            <v>0.123762049695551</v>
          </cell>
          <cell r="F847">
            <v>2.5568001500811699E-5</v>
          </cell>
          <cell r="G847">
            <v>2.3083216551783201E-5</v>
          </cell>
          <cell r="H847">
            <v>0.89653901737897601</v>
          </cell>
          <cell r="I847">
            <v>0.244832360566129</v>
          </cell>
          <cell r="J847">
            <v>2.1664125430188301E-5</v>
          </cell>
          <cell r="K847">
            <v>0.89657531332569695</v>
          </cell>
          <cell r="L847">
            <v>0.207218723192477</v>
          </cell>
          <cell r="M847">
            <v>3.7641055900004897E-2</v>
          </cell>
          <cell r="N847">
            <v>0.80353060487657202</v>
          </cell>
          <cell r="O847">
            <v>0.30039037124901802</v>
          </cell>
        </row>
        <row r="848">
          <cell r="A848" t="str">
            <v>RHEM-SHELCHP</v>
          </cell>
          <cell r="B848" t="str">
            <v>VAR_cap</v>
          </cell>
          <cell r="C848" t="str">
            <v>-</v>
          </cell>
          <cell r="D848">
            <v>0.69925246397496299</v>
          </cell>
          <cell r="E848">
            <v>0.82301444496009801</v>
          </cell>
          <cell r="F848">
            <v>0.82303968839705011</v>
          </cell>
          <cell r="G848">
            <v>0.82306263549995651</v>
          </cell>
          <cell r="H848">
            <v>1.1413358336316328</v>
          </cell>
          <cell r="I848">
            <v>1.1413949025807799</v>
          </cell>
          <cell r="J848">
            <v>1.1413927001856077</v>
          </cell>
          <cell r="K848">
            <v>1.1414287941833527</v>
          </cell>
          <cell r="L848">
            <v>1.1414317739764188</v>
          </cell>
          <cell r="M848">
            <v>1.141434387291558</v>
          </cell>
          <cell r="N848">
            <v>1.1415017505629892</v>
          </cell>
          <cell r="O848">
            <v>1.1415613081676044</v>
          </cell>
        </row>
        <row r="849">
          <cell r="A849" t="str">
            <v>RHNM-SHSTG-ELC</v>
          </cell>
          <cell r="B849" t="str">
            <v>VAR_fout</v>
          </cell>
          <cell r="C849" t="str">
            <v>RHNM-SHAELCB</v>
          </cell>
          <cell r="E849">
            <v>1.8439389648033859E-6</v>
          </cell>
          <cell r="F849">
            <v>2.7182594811839874E-2</v>
          </cell>
          <cell r="G849">
            <v>3.0875791851057922E-2</v>
          </cell>
          <cell r="H849">
            <v>1.4185716009858946E-2</v>
          </cell>
          <cell r="I849">
            <v>4.8258348774806727E-4</v>
          </cell>
          <cell r="J849">
            <v>1.4934003110757159E-3</v>
          </cell>
          <cell r="K849">
            <v>7.4137540877754161E-4</v>
          </cell>
          <cell r="L849">
            <v>4.7099518341436707E-4</v>
          </cell>
          <cell r="M849">
            <v>6.1564149508070622E-3</v>
          </cell>
          <cell r="N849">
            <v>3.7501041229323867E-4</v>
          </cell>
          <cell r="O849">
            <v>4.0580003566358672E-4</v>
          </cell>
        </row>
        <row r="850">
          <cell r="A850" t="str">
            <v>RHNM-SHSTG-ELC</v>
          </cell>
          <cell r="B850" t="str">
            <v>VAR_fin</v>
          </cell>
          <cell r="C850" t="str">
            <v>RHNM-SHAELCB</v>
          </cell>
          <cell r="E850">
            <v>1.4428647192049716E-6</v>
          </cell>
          <cell r="F850">
            <v>2.7180865886994424E-2</v>
          </cell>
          <cell r="G850">
            <v>3.0874099371423019E-2</v>
          </cell>
          <cell r="H850">
            <v>1.4186342186420248E-2</v>
          </cell>
          <cell r="I850">
            <v>4.850231121983801E-4</v>
          </cell>
          <cell r="J850">
            <v>1.4935898274500402E-3</v>
          </cell>
          <cell r="K850">
            <v>7.4601908240842774E-4</v>
          </cell>
          <cell r="L850">
            <v>4.765667608185046E-4</v>
          </cell>
          <cell r="M850">
            <v>6.1620271589740922E-3</v>
          </cell>
          <cell r="N850">
            <v>3.7497430735741201E-4</v>
          </cell>
          <cell r="O850">
            <v>4.1122905964989227E-4</v>
          </cell>
        </row>
        <row r="851">
          <cell r="A851" t="str">
            <v>RHNM-SHSTG-ELC</v>
          </cell>
          <cell r="B851" t="str">
            <v>VAR_ncap</v>
          </cell>
          <cell r="C851" t="str">
            <v>-</v>
          </cell>
          <cell r="D851">
            <v>6.2220527924515393E-5</v>
          </cell>
          <cell r="E851">
            <v>2.8967497152637299E-3</v>
          </cell>
          <cell r="F851">
            <v>9.8009939508877098E-5</v>
          </cell>
          <cell r="G851">
            <v>3.9482678188286399E-5</v>
          </cell>
          <cell r="H851">
            <v>9.9413926665608795E-5</v>
          </cell>
          <cell r="I851">
            <v>4.11868077679057E-5</v>
          </cell>
          <cell r="J851">
            <v>2.2437184044923301E-4</v>
          </cell>
          <cell r="K851">
            <v>1.01849441778859E-4</v>
          </cell>
          <cell r="L851">
            <v>8.7260980835306707E-5</v>
          </cell>
          <cell r="M851">
            <v>8.2584729575346696E-4</v>
          </cell>
          <cell r="N851">
            <v>6.0890389723853498E-5</v>
          </cell>
          <cell r="O851">
            <v>9.3778622107457002E-5</v>
          </cell>
        </row>
        <row r="852">
          <cell r="A852" t="str">
            <v>RHNM-SHSTG-ELC</v>
          </cell>
          <cell r="B852" t="str">
            <v>VAR_cap</v>
          </cell>
          <cell r="C852" t="str">
            <v>-</v>
          </cell>
          <cell r="D852">
            <v>6.2220527924515393E-5</v>
          </cell>
          <cell r="E852">
            <v>2.9481375882554873E-3</v>
          </cell>
          <cell r="F852">
            <v>3.0301134631010472E-3</v>
          </cell>
          <cell r="G852">
            <v>3.0305499512726067E-3</v>
          </cell>
          <cell r="H852">
            <v>1.6638688246534603E-3</v>
          </cell>
          <cell r="I852">
            <v>1.1144032744952049E-4</v>
          </cell>
          <cell r="J852">
            <v>2.9534313565331984E-4</v>
          </cell>
          <cell r="K852">
            <v>1.8124662199418598E-4</v>
          </cell>
          <cell r="L852">
            <v>1.0807163538461797E-4</v>
          </cell>
          <cell r="M852">
            <v>8.5890983959514811E-4</v>
          </cell>
          <cell r="N852">
            <v>1.0132382546371404E-4</v>
          </cell>
          <cell r="O852">
            <v>1.2985350299550894E-4</v>
          </cell>
        </row>
        <row r="853">
          <cell r="A853" t="str">
            <v>D-RWOD</v>
          </cell>
          <cell r="B853" t="str">
            <v>VAR_fout</v>
          </cell>
          <cell r="C853" t="str">
            <v>RWOD</v>
          </cell>
          <cell r="D853">
            <v>13.723009805682228</v>
          </cell>
          <cell r="E853">
            <v>13.922393101503275</v>
          </cell>
          <cell r="F853">
            <v>12.11437311774683</v>
          </cell>
          <cell r="G853">
            <v>9.5900240436752906</v>
          </cell>
          <cell r="H853">
            <v>8.9203385151588872</v>
          </cell>
          <cell r="I853">
            <v>7.8297957130339588</v>
          </cell>
          <cell r="J853">
            <v>6.9149898943305033</v>
          </cell>
          <cell r="K853">
            <v>5.7790943369291163</v>
          </cell>
          <cell r="L853">
            <v>5.4933197509202429</v>
          </cell>
          <cell r="M853">
            <v>4.6525957266785749</v>
          </cell>
          <cell r="N853">
            <v>4.3275795301128186</v>
          </cell>
          <cell r="O853">
            <v>2.7863864377188627</v>
          </cell>
        </row>
        <row r="854">
          <cell r="A854" t="str">
            <v>D-RWOD</v>
          </cell>
          <cell r="B854" t="str">
            <v>VAR_fin</v>
          </cell>
          <cell r="C854" t="str">
            <v>WOD</v>
          </cell>
          <cell r="D854">
            <v>13.723009805682228</v>
          </cell>
          <cell r="E854">
            <v>13.922393101503275</v>
          </cell>
          <cell r="F854">
            <v>12.11437311774683</v>
          </cell>
          <cell r="G854">
            <v>9.5900240436752906</v>
          </cell>
          <cell r="H854">
            <v>8.9203385151588872</v>
          </cell>
          <cell r="I854">
            <v>7.8297957130339588</v>
          </cell>
          <cell r="J854">
            <v>6.9149898943305033</v>
          </cell>
          <cell r="K854">
            <v>5.7790943369291163</v>
          </cell>
          <cell r="L854">
            <v>5.4933197509202429</v>
          </cell>
          <cell r="M854">
            <v>4.6525957266785749</v>
          </cell>
          <cell r="N854">
            <v>4.3275795301128186</v>
          </cell>
          <cell r="O854">
            <v>2.7863864377188627</v>
          </cell>
        </row>
        <row r="855">
          <cell r="A855" t="str">
            <v>RHNS-SHLTHCHPWOD</v>
          </cell>
          <cell r="B855" t="str">
            <v>VAR_fout</v>
          </cell>
          <cell r="C855" t="str">
            <v>RHNS-SHLTHC-WOD</v>
          </cell>
          <cell r="G855">
            <v>1.5885306856047363E-3</v>
          </cell>
          <cell r="H855">
            <v>3.6861353878770466E-3</v>
          </cell>
          <cell r="I855">
            <v>3.6493827979389502E-3</v>
          </cell>
          <cell r="J855">
            <v>3.4411769192704811E-3</v>
          </cell>
          <cell r="K855">
            <v>9.7646653068587681E-3</v>
          </cell>
          <cell r="L855">
            <v>1.0041407004233685E-2</v>
          </cell>
          <cell r="M855">
            <v>1.2622555855904875E-2</v>
          </cell>
          <cell r="N855">
            <v>5.0888866650131946E-3</v>
          </cell>
          <cell r="O855">
            <v>7.813182071261273E-3</v>
          </cell>
        </row>
        <row r="856">
          <cell r="A856" t="str">
            <v>RHNS-SHLTHCHPWOD</v>
          </cell>
          <cell r="B856" t="str">
            <v>VAR_fin</v>
          </cell>
          <cell r="C856" t="str">
            <v>RHNS_LTH_CHPWOD_ON</v>
          </cell>
          <cell r="G856">
            <v>1.6045764501057952E-3</v>
          </cell>
          <cell r="H856">
            <v>3.7233690786636821E-3</v>
          </cell>
          <cell r="I856">
            <v>3.6862452504433799E-3</v>
          </cell>
          <cell r="J856">
            <v>3.475936282091393E-3</v>
          </cell>
          <cell r="K856">
            <v>9.8632982897563243E-3</v>
          </cell>
          <cell r="L856">
            <v>1.0142835357811806E-2</v>
          </cell>
          <cell r="M856">
            <v>1.275005642010593E-2</v>
          </cell>
          <cell r="N856">
            <v>5.1402895606193861E-3</v>
          </cell>
          <cell r="O856">
            <v>7.8921031022841179E-3</v>
          </cell>
        </row>
        <row r="857">
          <cell r="A857" t="str">
            <v>RHNS-SHLTHCHPWOD</v>
          </cell>
          <cell r="B857" t="str">
            <v>VAR_fin</v>
          </cell>
          <cell r="C857" t="str">
            <v>RHNSLTHCHPC</v>
          </cell>
          <cell r="G857">
            <v>1.5885306856047363E-3</v>
          </cell>
          <cell r="H857">
            <v>3.6861353878770466E-3</v>
          </cell>
          <cell r="I857">
            <v>3.6493827979389502E-3</v>
          </cell>
          <cell r="J857">
            <v>3.4411769192704811E-3</v>
          </cell>
          <cell r="K857">
            <v>9.7646653068587681E-3</v>
          </cell>
          <cell r="L857">
            <v>1.0041407004233685E-2</v>
          </cell>
          <cell r="M857">
            <v>1.2622555855904875E-2</v>
          </cell>
          <cell r="N857">
            <v>5.0888866650131946E-3</v>
          </cell>
          <cell r="O857">
            <v>7.813182071261273E-3</v>
          </cell>
        </row>
        <row r="858">
          <cell r="A858" t="str">
            <v>RHNS-SHLTHCHPWOD</v>
          </cell>
          <cell r="B858" t="str">
            <v>VAR_ncap</v>
          </cell>
          <cell r="C858" t="str">
            <v>-</v>
          </cell>
          <cell r="G858">
            <v>1.9026299259561301E-4</v>
          </cell>
          <cell r="H858">
            <v>3.2414642425253998E-4</v>
          </cell>
          <cell r="I858">
            <v>2.9895053327053702E-4</v>
          </cell>
          <cell r="J858">
            <v>2.5149728855584198E-4</v>
          </cell>
          <cell r="K858">
            <v>8.4156951568112803E-4</v>
          </cell>
          <cell r="L858">
            <v>6.5150639011994898E-4</v>
          </cell>
          <cell r="M858">
            <v>8.8436946133863502E-4</v>
          </cell>
          <cell r="N858">
            <v>3.5538471755906901E-4</v>
          </cell>
          <cell r="O858">
            <v>7.3254877620102204E-4</v>
          </cell>
        </row>
        <row r="859">
          <cell r="A859" t="str">
            <v>RHNS-SHLTHCHPWOD</v>
          </cell>
          <cell r="B859" t="str">
            <v>VAR_cap</v>
          </cell>
          <cell r="C859" t="str">
            <v>-</v>
          </cell>
          <cell r="G859">
            <v>1.9026299259561301E-4</v>
          </cell>
          <cell r="H859">
            <v>3.9970773654597098E-4</v>
          </cell>
          <cell r="I859">
            <v>3.9188618330744001E-4</v>
          </cell>
          <cell r="J859">
            <v>3.7916686033743596E-4</v>
          </cell>
          <cell r="K859">
            <v>1.015713001359151E-3</v>
          </cell>
          <cell r="L859">
            <v>9.7351474218887099E-4</v>
          </cell>
          <cell r="M859">
            <v>1.2628876132928599E-3</v>
          </cell>
          <cell r="N859">
            <v>5.9877814796509016E-4</v>
          </cell>
          <cell r="O859">
            <v>9.7095200984639017E-4</v>
          </cell>
        </row>
        <row r="860">
          <cell r="A860" t="str">
            <v>RHNM-SHELCBR</v>
          </cell>
          <cell r="B860" t="str">
            <v>VAR_fout</v>
          </cell>
          <cell r="C860" t="str">
            <v>RHNM-SHAELCB</v>
          </cell>
          <cell r="E860">
            <v>0.15438985015809348</v>
          </cell>
          <cell r="F860">
            <v>0.16113613635563537</v>
          </cell>
          <cell r="G860">
            <v>0.1591853898292776</v>
          </cell>
          <cell r="H860">
            <v>7.8095017949219178E-2</v>
          </cell>
          <cell r="I860">
            <v>3.542941404253317E-3</v>
          </cell>
          <cell r="J860">
            <v>1.1057291785814674E-2</v>
          </cell>
          <cell r="K860">
            <v>6.8111977074753801E-3</v>
          </cell>
          <cell r="L860">
            <v>3.2033496965458066E-3</v>
          </cell>
          <cell r="M860">
            <v>4.471076100887883E-2</v>
          </cell>
          <cell r="N860">
            <v>2.9732966805756157E-3</v>
          </cell>
          <cell r="O860">
            <v>3.8774045052357257E-3</v>
          </cell>
        </row>
        <row r="861">
          <cell r="A861" t="str">
            <v>RHNM-SHELCBR</v>
          </cell>
          <cell r="B861" t="str">
            <v>VAR_fin</v>
          </cell>
          <cell r="C861" t="str">
            <v>RHNM_ELC</v>
          </cell>
          <cell r="E861">
            <v>0.16251563174536166</v>
          </cell>
          <cell r="F861">
            <v>0.16961698563751096</v>
          </cell>
          <cell r="G861">
            <v>0.16756356824134472</v>
          </cell>
          <cell r="H861">
            <v>8.2205282051809728E-2</v>
          </cell>
          <cell r="I861">
            <v>3.7294120044771752E-3</v>
          </cell>
          <cell r="J861">
            <v>1.1639254511383855E-2</v>
          </cell>
          <cell r="K861">
            <v>7.1696817973425069E-3</v>
          </cell>
          <cell r="L861">
            <v>3.3719470489955829E-3</v>
          </cell>
          <cell r="M861">
            <v>4.7063958956714495E-2</v>
          </cell>
          <cell r="N861">
            <v>3.1297859795532813E-3</v>
          </cell>
          <cell r="O861">
            <v>4.0814784265639226E-3</v>
          </cell>
        </row>
        <row r="862">
          <cell r="A862" t="str">
            <v>RHNM-SHELCBR</v>
          </cell>
          <cell r="B862" t="str">
            <v>VAR_ncap</v>
          </cell>
          <cell r="C862" t="str">
            <v>-</v>
          </cell>
          <cell r="E862">
            <v>1.28800390573204E-2</v>
          </cell>
          <cell r="H862">
            <v>4.79262026490209E-4</v>
          </cell>
          <cell r="J862">
            <v>7.7657726285710997E-4</v>
          </cell>
          <cell r="L862">
            <v>1.02934072740625E-5</v>
          </cell>
          <cell r="M862">
            <v>3.6450686717614399E-3</v>
          </cell>
          <cell r="N862">
            <v>1.97331779591622E-6</v>
          </cell>
          <cell r="O862">
            <v>1.17104353213607E-4</v>
          </cell>
        </row>
        <row r="863">
          <cell r="A863" t="str">
            <v>RHNM-SHELCBR</v>
          </cell>
          <cell r="B863" t="str">
            <v>VAR_cap</v>
          </cell>
          <cell r="C863" t="str">
            <v>-</v>
          </cell>
          <cell r="E863">
            <v>1.28800390573204E-2</v>
          </cell>
          <cell r="F863">
            <v>1.2879352267648475E-2</v>
          </cell>
          <cell r="G863">
            <v>1.2878275103576461E-2</v>
          </cell>
          <cell r="H863">
            <v>7.076542567888984E-3</v>
          </cell>
          <cell r="I863">
            <v>4.7880578655673777E-4</v>
          </cell>
          <cell r="J863">
            <v>1.2521665611398951E-3</v>
          </cell>
          <cell r="K863">
            <v>7.761238544405103E-4</v>
          </cell>
          <cell r="L863">
            <v>4.5994170838535293E-4</v>
          </cell>
          <cell r="M863">
            <v>3.6547085339601599E-3</v>
          </cell>
          <cell r="N863">
            <v>4.3645653068083998E-4</v>
          </cell>
          <cell r="O863">
            <v>5.5219018648010971E-4</v>
          </cell>
        </row>
        <row r="864">
          <cell r="A864" t="str">
            <v>RHNS-SHSTG-NGAHP</v>
          </cell>
          <cell r="B864" t="str">
            <v>VAR_fout</v>
          </cell>
          <cell r="C864" t="str">
            <v>RHNS-SHANGAH</v>
          </cell>
          <cell r="F864">
            <v>1.4141846035549321E-4</v>
          </cell>
          <cell r="G864">
            <v>1.5944183421783361E-4</v>
          </cell>
          <cell r="H864">
            <v>4.3932580970623927E-2</v>
          </cell>
          <cell r="I864">
            <v>0.10920943421217547</v>
          </cell>
          <cell r="J864">
            <v>0.10396561085325436</v>
          </cell>
          <cell r="K864">
            <v>0.13155019703424081</v>
          </cell>
          <cell r="L864">
            <v>0.13251387137382839</v>
          </cell>
          <cell r="M864">
            <v>0.12002284717930274</v>
          </cell>
          <cell r="N864">
            <v>0.14225159776670329</v>
          </cell>
          <cell r="O864">
            <v>0.10639370936491406</v>
          </cell>
        </row>
        <row r="865">
          <cell r="A865" t="str">
            <v>RHNS-SHSTG-NGAHP</v>
          </cell>
          <cell r="B865" t="str">
            <v>VAR_fin</v>
          </cell>
          <cell r="C865" t="str">
            <v>RHNS-SHANGAH</v>
          </cell>
          <cell r="F865">
            <v>1.3355967911404842E-4</v>
          </cell>
          <cell r="G865">
            <v>1.4501159321100802E-4</v>
          </cell>
          <cell r="H865">
            <v>4.3927240916313559E-2</v>
          </cell>
          <cell r="I865">
            <v>0.10921459164868444</v>
          </cell>
          <cell r="J865">
            <v>0.10396970437877852</v>
          </cell>
          <cell r="K865">
            <v>0.1315569147150778</v>
          </cell>
          <cell r="L865">
            <v>0.13252142641063647</v>
          </cell>
          <cell r="M865">
            <v>0.12003440011601858</v>
          </cell>
          <cell r="N865">
            <v>0.14226044347652594</v>
          </cell>
          <cell r="O865">
            <v>0.10640831034814341</v>
          </cell>
        </row>
        <row r="866">
          <cell r="A866" t="str">
            <v>RHNS-SHSTG-NGAHP</v>
          </cell>
          <cell r="B866" t="str">
            <v>VAR_ncap</v>
          </cell>
          <cell r="C866" t="str">
            <v>-</v>
          </cell>
          <cell r="D866">
            <v>7.3679500661513304E-6</v>
          </cell>
          <cell r="E866">
            <v>8.9074497006064492E-6</v>
          </cell>
          <cell r="F866">
            <v>3.5713847412226302E-5</v>
          </cell>
          <cell r="G866">
            <v>2.1952211049213E-5</v>
          </cell>
          <cell r="H866">
            <v>6.7681264394336199E-3</v>
          </cell>
          <cell r="I866">
            <v>1.00104322399668E-2</v>
          </cell>
          <cell r="J866">
            <v>7.2402837824811497E-5</v>
          </cell>
          <cell r="K866">
            <v>1.03949684466829E-2</v>
          </cell>
          <cell r="L866">
            <v>8.4996704942370306E-3</v>
          </cell>
          <cell r="M866">
            <v>1.6884535575747699E-3</v>
          </cell>
          <cell r="N866">
            <v>1.1277463766284E-2</v>
          </cell>
          <cell r="O866">
            <v>7.59874070700251E-3</v>
          </cell>
        </row>
        <row r="867">
          <cell r="A867" t="str">
            <v>RHNS-SHSTG-NGAHP</v>
          </cell>
          <cell r="B867" t="str">
            <v>VAR_cap</v>
          </cell>
          <cell r="C867" t="str">
            <v>-</v>
          </cell>
          <cell r="D867">
            <v>7.3679500661513304E-6</v>
          </cell>
          <cell r="E867">
            <v>2.649929793399779E-8</v>
          </cell>
          <cell r="F867">
            <v>3.1455001753383601E-5</v>
          </cell>
          <cell r="G867">
            <v>3.5492640381552594E-5</v>
          </cell>
          <cell r="H867">
            <v>6.7913256887227229E-3</v>
          </cell>
          <cell r="I867">
            <v>1.6774702252517554E-2</v>
          </cell>
          <cell r="J867">
            <v>1.6775736115427885E-2</v>
          </cell>
          <cell r="K867">
            <v>2.0357367230128976E-2</v>
          </cell>
          <cell r="L867">
            <v>2.0354173365809386E-2</v>
          </cell>
          <cell r="M867">
            <v>2.0359459263264525E-2</v>
          </cell>
          <cell r="N867">
            <v>2.0355489105488424E-2</v>
          </cell>
          <cell r="O867">
            <v>2.0365316147786888E-2</v>
          </cell>
        </row>
        <row r="868">
          <cell r="A868" t="str">
            <v>RHNS-SHLTHDH</v>
          </cell>
          <cell r="B868" t="str">
            <v>VAR_fout</v>
          </cell>
          <cell r="C868" t="str">
            <v>RHNS-SHLTHD</v>
          </cell>
          <cell r="E868">
            <v>5.3913248878263757E-2</v>
          </cell>
          <cell r="F868">
            <v>7.1721638656356307E-2</v>
          </cell>
          <cell r="G868">
            <v>0.11089282541130636</v>
          </cell>
          <cell r="H868">
            <v>0.17222651854376025</v>
          </cell>
          <cell r="I868">
            <v>0.24406277186347264</v>
          </cell>
          <cell r="J868">
            <v>0.39305669335635129</v>
          </cell>
          <cell r="K868">
            <v>0.6330129168064943</v>
          </cell>
          <cell r="L868">
            <v>0.69269949007735931</v>
          </cell>
          <cell r="M868">
            <v>0.72805085418238247</v>
          </cell>
          <cell r="N868">
            <v>0.76520145605363565</v>
          </cell>
          <cell r="O868">
            <v>0.80425801656447748</v>
          </cell>
        </row>
        <row r="869">
          <cell r="A869" t="str">
            <v>RHNS-SHLTHDH</v>
          </cell>
          <cell r="B869" t="str">
            <v>VAR_fin</v>
          </cell>
          <cell r="C869" t="str">
            <v>RHNS_LTH_DH</v>
          </cell>
          <cell r="E869">
            <v>5.4457827149761377E-2</v>
          </cell>
          <cell r="F869">
            <v>7.2446099652885135E-2</v>
          </cell>
          <cell r="G869">
            <v>0.11201295496091554</v>
          </cell>
          <cell r="H869">
            <v>0.17396618034723257</v>
          </cell>
          <cell r="I869">
            <v>0.24652805238734624</v>
          </cell>
          <cell r="J869">
            <v>0.39702696298621271</v>
          </cell>
          <cell r="K869">
            <v>0.63940698667322671</v>
          </cell>
          <cell r="L869">
            <v>0.69969645462359531</v>
          </cell>
          <cell r="M869">
            <v>0.73540490321452778</v>
          </cell>
          <cell r="N869">
            <v>0.77293076369054114</v>
          </cell>
          <cell r="O869">
            <v>0.81238183491361393</v>
          </cell>
        </row>
        <row r="870">
          <cell r="A870" t="str">
            <v>RHNS-SHLTHDH</v>
          </cell>
          <cell r="B870" t="str">
            <v>VAR_fin</v>
          </cell>
          <cell r="C870" t="str">
            <v>RHNSLTHDHC</v>
          </cell>
          <cell r="E870">
            <v>5.3913248878263757E-2</v>
          </cell>
          <cell r="F870">
            <v>7.1721638656356307E-2</v>
          </cell>
          <cell r="G870">
            <v>0.11089282541130636</v>
          </cell>
          <cell r="H870">
            <v>0.17222651854376025</v>
          </cell>
          <cell r="I870">
            <v>0.24406277186347264</v>
          </cell>
          <cell r="J870">
            <v>0.39305669335635129</v>
          </cell>
          <cell r="K870">
            <v>0.6330129168064943</v>
          </cell>
          <cell r="L870">
            <v>0.69269949007735931</v>
          </cell>
          <cell r="M870">
            <v>0.72805085418238247</v>
          </cell>
          <cell r="N870">
            <v>0.76520145605363565</v>
          </cell>
          <cell r="O870">
            <v>0.80425801656447748</v>
          </cell>
        </row>
        <row r="871">
          <cell r="A871" t="str">
            <v>RHNS-SHLTHDH</v>
          </cell>
          <cell r="B871" t="str">
            <v>VAR_ncap</v>
          </cell>
          <cell r="C871" t="str">
            <v>-</v>
          </cell>
          <cell r="E871">
            <v>4.6311815242762898E-3</v>
          </cell>
          <cell r="F871">
            <v>1.0909393201842001E-3</v>
          </cell>
          <cell r="G871">
            <v>2.3805725911356301E-3</v>
          </cell>
          <cell r="H871">
            <v>5.3858790408406604E-3</v>
          </cell>
          <cell r="I871">
            <v>5.7456932919520099E-3</v>
          </cell>
          <cell r="J871">
            <v>1.0474675087684101E-2</v>
          </cell>
          <cell r="K871">
            <v>1.8440678078750401E-2</v>
          </cell>
          <cell r="L871">
            <v>4.3250130512105496E-3</v>
          </cell>
          <cell r="M871">
            <v>2.4170126164230498E-3</v>
          </cell>
          <cell r="N871">
            <v>9.0946180660404601E-4</v>
          </cell>
          <cell r="O871">
            <v>2.8754917652035398E-3</v>
          </cell>
        </row>
        <row r="872">
          <cell r="A872" t="str">
            <v>RHNS-SHLTHDH</v>
          </cell>
          <cell r="B872" t="str">
            <v>VAR_cap</v>
          </cell>
          <cell r="C872" t="str">
            <v>-</v>
          </cell>
          <cell r="E872">
            <v>4.6311815242762898E-3</v>
          </cell>
          <cell r="F872">
            <v>5.7221208444604901E-3</v>
          </cell>
          <cell r="G872">
            <v>8.1026934355961193E-3</v>
          </cell>
          <cell r="H872">
            <v>1.34885724764368E-2</v>
          </cell>
          <cell r="I872">
            <v>1.9234265768388801E-2</v>
          </cell>
          <cell r="J872">
            <v>2.9708940856072799E-2</v>
          </cell>
          <cell r="K872">
            <v>4.8149618934823203E-2</v>
          </cell>
          <cell r="L872">
            <v>5.2474631986033797E-2</v>
          </cell>
          <cell r="M872">
            <v>5.4891644602456803E-2</v>
          </cell>
          <cell r="N872">
            <v>5.5801106409060899E-2</v>
          </cell>
          <cell r="O872">
            <v>5.8676598174264398E-2</v>
          </cell>
        </row>
        <row r="873">
          <cell r="A873" t="str">
            <v>ITOT-SWHNGAHP</v>
          </cell>
          <cell r="B873" t="str">
            <v>VAR_fout</v>
          </cell>
          <cell r="C873" t="str">
            <v>ITOT-SWHANGAH</v>
          </cell>
          <cell r="F873">
            <v>5.2371690531288331E-2</v>
          </cell>
          <cell r="G873">
            <v>0.16176193321749383</v>
          </cell>
          <cell r="H873">
            <v>0.20065964275492496</v>
          </cell>
          <cell r="I873">
            <v>0.23293762452892594</v>
          </cell>
          <cell r="J873">
            <v>0.23335583492143427</v>
          </cell>
          <cell r="K873">
            <v>0.23335225866233869</v>
          </cell>
          <cell r="L873">
            <v>0.23332228624882986</v>
          </cell>
          <cell r="M873">
            <v>3.4404921865923006</v>
          </cell>
          <cell r="N873">
            <v>3.4404495325797608</v>
          </cell>
          <cell r="O873">
            <v>3.4396582830166347</v>
          </cell>
        </row>
        <row r="874">
          <cell r="A874" t="str">
            <v>ITOT-SWHNGAHP</v>
          </cell>
          <cell r="B874" t="str">
            <v>VAR_fout</v>
          </cell>
          <cell r="C874" t="str">
            <v>CO2_I</v>
          </cell>
          <cell r="F874">
            <v>1.5666307760843099</v>
          </cell>
          <cell r="G874">
            <v>4.7461701632783404</v>
          </cell>
          <cell r="H874">
            <v>5.7767481594216603</v>
          </cell>
          <cell r="I874">
            <v>6.5822296608439901</v>
          </cell>
          <cell r="J874">
            <v>6.4745559923468301</v>
          </cell>
          <cell r="K874">
            <v>6.35922083557855</v>
          </cell>
          <cell r="L874">
            <v>6.3584040395570796</v>
          </cell>
          <cell r="M874">
            <v>93.758893627345302</v>
          </cell>
          <cell r="N874">
            <v>93.757731237545201</v>
          </cell>
          <cell r="O874">
            <v>93.7361684262967</v>
          </cell>
        </row>
        <row r="875">
          <cell r="A875" t="str">
            <v>ITOT-SWHNGAHP</v>
          </cell>
          <cell r="B875" t="str">
            <v>VAR_fin</v>
          </cell>
          <cell r="C875" t="str">
            <v>ITOTELCHPC</v>
          </cell>
          <cell r="F875">
            <v>5.2371690531288331E-2</v>
          </cell>
          <cell r="G875">
            <v>0.16176193321749383</v>
          </cell>
          <cell r="H875">
            <v>0.20065964275492496</v>
          </cell>
          <cell r="I875">
            <v>0.23293762452892594</v>
          </cell>
          <cell r="J875">
            <v>0.23335583492143427</v>
          </cell>
          <cell r="K875">
            <v>0.23335225866233869</v>
          </cell>
          <cell r="L875">
            <v>0.23332228624882986</v>
          </cell>
          <cell r="M875">
            <v>3.4404921865923006</v>
          </cell>
          <cell r="N875">
            <v>3.4404495325797608</v>
          </cell>
          <cell r="O875">
            <v>3.4396582830166347</v>
          </cell>
        </row>
        <row r="876">
          <cell r="A876" t="str">
            <v>ITOT-SWHNGAHP</v>
          </cell>
          <cell r="B876" t="str">
            <v>VAR_fin</v>
          </cell>
          <cell r="C876" t="str">
            <v>INGA</v>
          </cell>
          <cell r="F876">
            <v>2.777714141993461E-2</v>
          </cell>
          <cell r="G876">
            <v>8.4151953249616079E-2</v>
          </cell>
          <cell r="H876">
            <v>0.10242461275570339</v>
          </cell>
          <cell r="I876">
            <v>0.11670619966035434</v>
          </cell>
          <cell r="J876">
            <v>0.11479709206288699</v>
          </cell>
          <cell r="K876">
            <v>0.11275214247479681</v>
          </cell>
          <cell r="L876">
            <v>0.11273766027583475</v>
          </cell>
          <cell r="M876">
            <v>1.6623917309812992</v>
          </cell>
          <cell r="N876">
            <v>1.6623711212330723</v>
          </cell>
          <cell r="O876">
            <v>1.6619888018846938</v>
          </cell>
        </row>
        <row r="877">
          <cell r="A877" t="str">
            <v>ITOT-SWHNGAHP</v>
          </cell>
          <cell r="B877" t="str">
            <v>VAR_ncap</v>
          </cell>
          <cell r="C877" t="str">
            <v>-</v>
          </cell>
          <cell r="E877">
            <v>9.5214983030838995E-5</v>
          </cell>
          <cell r="F877">
            <v>2.91843408276783E-3</v>
          </cell>
          <cell r="G877">
            <v>5.8629480646602396E-3</v>
          </cell>
          <cell r="H877">
            <v>2.2472021828919102E-3</v>
          </cell>
          <cell r="I877">
            <v>5.2187222020788904E-3</v>
          </cell>
          <cell r="J877">
            <v>5.36887783085365E-3</v>
          </cell>
          <cell r="K877">
            <v>2.4756556072786299E-3</v>
          </cell>
          <cell r="L877">
            <v>4.9302965515647798E-3</v>
          </cell>
          <cell r="M877">
            <v>0.18001317465528699</v>
          </cell>
          <cell r="N877">
            <v>3.5531876085933599E-3</v>
          </cell>
          <cell r="O877">
            <v>4.08192859061103E-3</v>
          </cell>
        </row>
        <row r="878">
          <cell r="A878" t="str">
            <v>ITOT-SWHNGAHP</v>
          </cell>
          <cell r="B878" t="str">
            <v>VAR_cap</v>
          </cell>
          <cell r="C878" t="str">
            <v>-</v>
          </cell>
          <cell r="E878">
            <v>9.5214983030838995E-5</v>
          </cell>
          <cell r="F878">
            <v>3.0128933632365515E-3</v>
          </cell>
          <cell r="G878">
            <v>8.8754548142050849E-3</v>
          </cell>
          <cell r="H878">
            <v>1.107431969959108E-2</v>
          </cell>
          <cell r="I878">
            <v>1.2823573305956978E-2</v>
          </cell>
          <cell r="J878">
            <v>1.2832489426247389E-2</v>
          </cell>
          <cell r="K878">
            <v>1.3059280951326786E-2</v>
          </cell>
          <cell r="L878">
            <v>1.2861819591468506E-2</v>
          </cell>
          <cell r="M878">
            <v>0.18741579554143584</v>
          </cell>
          <cell r="N878">
            <v>0.18736716283000482</v>
          </cell>
          <cell r="O878">
            <v>0.18764429570390154</v>
          </cell>
        </row>
        <row r="879">
          <cell r="A879" t="str">
            <v>RHSA-WHLFOBR</v>
          </cell>
          <cell r="B879" t="str">
            <v>VAR_fout</v>
          </cell>
          <cell r="C879" t="str">
            <v>CO2_R</v>
          </cell>
          <cell r="D879">
            <v>726.71262598251406</v>
          </cell>
          <cell r="E879">
            <v>612.36616364483098</v>
          </cell>
          <cell r="F879">
            <v>125.60606319577001</v>
          </cell>
          <cell r="G879">
            <v>198.19975362796001</v>
          </cell>
          <cell r="H879">
            <v>57.281549997323097</v>
          </cell>
          <cell r="I879">
            <v>0.523194229994287</v>
          </cell>
          <cell r="J879">
            <v>0.52276610286839698</v>
          </cell>
          <cell r="K879">
            <v>0.49202574970646801</v>
          </cell>
          <cell r="L879">
            <v>0.68160882602684003</v>
          </cell>
          <cell r="M879">
            <v>1.0293787527828999</v>
          </cell>
          <cell r="N879">
            <v>0.86140569149581803</v>
          </cell>
          <cell r="O879">
            <v>2.4401426737611902</v>
          </cell>
        </row>
        <row r="880">
          <cell r="A880" t="str">
            <v>RHSA-WHLFOBR</v>
          </cell>
          <cell r="B880" t="str">
            <v>VAR_fout</v>
          </cell>
          <cell r="C880" t="str">
            <v>RHSA-WHLFO</v>
          </cell>
          <cell r="D880">
            <v>6.9844610140788994</v>
          </cell>
          <cell r="E880">
            <v>5.9374037237159909</v>
          </cell>
          <cell r="F880">
            <v>1.233833869304894</v>
          </cell>
          <cell r="G880">
            <v>1.9889448365537619</v>
          </cell>
          <cell r="H880">
            <v>0.580895411056639</v>
          </cell>
          <cell r="I880">
            <v>5.361202746860274E-3</v>
          </cell>
          <cell r="J880">
            <v>5.3568157024478195E-3</v>
          </cell>
          <cell r="K880">
            <v>5.0418174544491941E-3</v>
          </cell>
          <cell r="L880">
            <v>6.9844866416420518E-3</v>
          </cell>
          <cell r="M880">
            <v>1.0548106000785864E-2</v>
          </cell>
          <cell r="N880">
            <v>8.8268759375631587E-3</v>
          </cell>
          <cell r="O880">
            <v>2.5004288761828079E-2</v>
          </cell>
        </row>
        <row r="881">
          <cell r="A881" t="str">
            <v>RHSA-WHLFOBR</v>
          </cell>
          <cell r="B881" t="str">
            <v>VAR_fin</v>
          </cell>
          <cell r="C881" t="str">
            <v>RLFO</v>
          </cell>
          <cell r="D881">
            <v>9.8604155492878505</v>
          </cell>
          <cell r="E881">
            <v>8.3089031702148048</v>
          </cell>
          <cell r="F881">
            <v>1.7042885101189913</v>
          </cell>
          <cell r="G881">
            <v>2.6892775254811454</v>
          </cell>
          <cell r="H881">
            <v>0.77722591583884837</v>
          </cell>
          <cell r="I881">
            <v>7.0989719130839513E-3</v>
          </cell>
          <cell r="J881">
            <v>7.0931628611722829E-3</v>
          </cell>
          <cell r="K881">
            <v>6.6760617327878951E-3</v>
          </cell>
          <cell r="L881">
            <v>9.2484236910019002E-3</v>
          </cell>
          <cell r="M881">
            <v>1.3967147256213019E-2</v>
          </cell>
          <cell r="N881">
            <v>1.1688001241462935E-2</v>
          </cell>
          <cell r="O881">
            <v>3.3109127188075779E-2</v>
          </cell>
        </row>
        <row r="882">
          <cell r="A882" t="str">
            <v>RHSA-WHLFOBR</v>
          </cell>
          <cell r="B882" t="str">
            <v>VAR_ncap</v>
          </cell>
          <cell r="C882" t="str">
            <v>-</v>
          </cell>
          <cell r="E882">
            <v>1.5129627970290599E-7</v>
          </cell>
          <cell r="F882">
            <v>1.12013998993076E-7</v>
          </cell>
          <cell r="G882">
            <v>1.7543100669318799E-7</v>
          </cell>
          <cell r="H882">
            <v>1.44199181344754E-6</v>
          </cell>
          <cell r="I882">
            <v>3.9199446254968502E-4</v>
          </cell>
          <cell r="J882">
            <v>9.8757384410558002E-6</v>
          </cell>
          <cell r="L882">
            <v>4.41282761885808E-4</v>
          </cell>
          <cell r="M882">
            <v>3.3421717201459998E-4</v>
          </cell>
          <cell r="N882">
            <v>1.7027437578176599E-5</v>
          </cell>
          <cell r="O882">
            <v>1.4508238827871101E-3</v>
          </cell>
        </row>
        <row r="883">
          <cell r="A883" t="str">
            <v>RHSA-WHLFOBR</v>
          </cell>
          <cell r="B883" t="str">
            <v>VAR_cap</v>
          </cell>
          <cell r="C883" t="str">
            <v>-</v>
          </cell>
          <cell r="D883">
            <v>0.47738433216181703</v>
          </cell>
          <cell r="E883">
            <v>0.47738171662534123</v>
          </cell>
          <cell r="F883">
            <v>0.17961585648191875</v>
          </cell>
          <cell r="G883">
            <v>0.17960576926884642</v>
          </cell>
          <cell r="H883">
            <v>4.6578133917268921E-2</v>
          </cell>
          <cell r="I883">
            <v>3.9298924588965201E-4</v>
          </cell>
          <cell r="J883">
            <v>4.0234138730914246E-4</v>
          </cell>
          <cell r="K883">
            <v>4.0117790495197703E-4</v>
          </cell>
          <cell r="L883">
            <v>5.0949715917667491E-4</v>
          </cell>
          <cell r="M883">
            <v>7.7513597106907534E-4</v>
          </cell>
          <cell r="N883">
            <v>6.5177087963371957E-4</v>
          </cell>
          <cell r="O883">
            <v>1.8011777483259936E-3</v>
          </cell>
        </row>
        <row r="884">
          <cell r="A884" t="str">
            <v>D-IWST</v>
          </cell>
          <cell r="B884" t="str">
            <v>VAR_fout</v>
          </cell>
          <cell r="C884" t="str">
            <v>CO2</v>
          </cell>
          <cell r="D884">
            <v>1068.1290583505499</v>
          </cell>
          <cell r="E884">
            <v>1094.48191031235</v>
          </cell>
          <cell r="F884">
            <v>1024.64096645324</v>
          </cell>
          <cell r="G884">
            <v>1013.19798968998</v>
          </cell>
          <cell r="H884">
            <v>1001.75486367726</v>
          </cell>
          <cell r="I884">
            <v>996.69829366684303</v>
          </cell>
          <cell r="J884">
            <v>991.64176874969098</v>
          </cell>
          <cell r="K884">
            <v>986.58540735404904</v>
          </cell>
          <cell r="L884">
            <v>986.58523464963196</v>
          </cell>
          <cell r="M884">
            <v>986.58536364327995</v>
          </cell>
          <cell r="N884">
            <v>986.58528652493101</v>
          </cell>
          <cell r="O884">
            <v>986.58554850214102</v>
          </cell>
        </row>
        <row r="885">
          <cell r="A885" t="str">
            <v>D-IWST</v>
          </cell>
          <cell r="B885" t="str">
            <v>VAR_fout</v>
          </cell>
          <cell r="C885" t="str">
            <v>IWST</v>
          </cell>
          <cell r="D885">
            <v>11.510011404639524</v>
          </cell>
          <cell r="E885">
            <v>11.793986102503728</v>
          </cell>
          <cell r="F885">
            <v>11.04138972471163</v>
          </cell>
          <cell r="G885">
            <v>10.918081785452431</v>
          </cell>
          <cell r="H885">
            <v>10.79477223790146</v>
          </cell>
          <cell r="I885">
            <v>10.740283336927176</v>
          </cell>
          <cell r="J885">
            <v>10.685794921871683</v>
          </cell>
          <cell r="K885">
            <v>10.631308268901384</v>
          </cell>
          <cell r="L885">
            <v>10.631306407862418</v>
          </cell>
          <cell r="M885">
            <v>10.631307797880179</v>
          </cell>
          <cell r="N885">
            <v>10.631306966863473</v>
          </cell>
          <cell r="O885">
            <v>10.631309789893773</v>
          </cell>
        </row>
        <row r="886">
          <cell r="A886" t="str">
            <v>D-IWST</v>
          </cell>
          <cell r="B886" t="str">
            <v>VAR_fin</v>
          </cell>
          <cell r="C886" t="str">
            <v>WSTNREN</v>
          </cell>
          <cell r="D886">
            <v>11.510011404639524</v>
          </cell>
          <cell r="E886">
            <v>11.793986102503728</v>
          </cell>
          <cell r="F886">
            <v>11.04138972471163</v>
          </cell>
          <cell r="G886">
            <v>10.918081785452431</v>
          </cell>
          <cell r="H886">
            <v>10.79477223790146</v>
          </cell>
          <cell r="I886">
            <v>10.740283336927176</v>
          </cell>
          <cell r="J886">
            <v>10.685794921871683</v>
          </cell>
          <cell r="K886">
            <v>10.631308268901384</v>
          </cell>
          <cell r="L886">
            <v>10.631306407862418</v>
          </cell>
          <cell r="M886">
            <v>10.631307797880179</v>
          </cell>
          <cell r="N886">
            <v>10.631306966863473</v>
          </cell>
          <cell r="O886">
            <v>10.631309789893773</v>
          </cell>
        </row>
        <row r="887">
          <cell r="A887" t="str">
            <v>RHES-SHLFOBR</v>
          </cell>
          <cell r="B887" t="str">
            <v>VAR_fout</v>
          </cell>
          <cell r="C887" t="str">
            <v>CO2_R</v>
          </cell>
          <cell r="D887">
            <v>1783.6632696767099</v>
          </cell>
          <cell r="E887">
            <v>1640.9693150770299</v>
          </cell>
          <cell r="F887">
            <v>1719.7913329395799</v>
          </cell>
          <cell r="G887">
            <v>1599.26161165352</v>
          </cell>
          <cell r="H887">
            <v>1317.9634229155099</v>
          </cell>
          <cell r="I887">
            <v>1290.1292852829099</v>
          </cell>
          <cell r="J887">
            <v>1249.7442102479399</v>
          </cell>
          <cell r="K887">
            <v>968.41595076470003</v>
          </cell>
          <cell r="L887">
            <v>867.71309793726505</v>
          </cell>
          <cell r="M887">
            <v>730.756680897308</v>
          </cell>
          <cell r="N887">
            <v>392.802182137194</v>
          </cell>
          <cell r="O887">
            <v>114.839394640707</v>
          </cell>
        </row>
        <row r="888">
          <cell r="A888" t="str">
            <v>RHES-SHLFOBR</v>
          </cell>
          <cell r="B888" t="str">
            <v>VAR_fout</v>
          </cell>
          <cell r="C888" t="str">
            <v>RHES-SHLFO</v>
          </cell>
          <cell r="D888">
            <v>21.680665026034262</v>
          </cell>
          <cell r="E888">
            <v>19.946200969106904</v>
          </cell>
          <cell r="F888">
            <v>20.904293112958509</v>
          </cell>
          <cell r="G888">
            <v>19.43923826919416</v>
          </cell>
          <cell r="H888">
            <v>16.02002125321324</v>
          </cell>
          <cell r="I888">
            <v>15.681693596552796</v>
          </cell>
          <cell r="J888">
            <v>15.19080762117296</v>
          </cell>
          <cell r="K888">
            <v>11.771225091271535</v>
          </cell>
          <cell r="L888">
            <v>10.547168478997744</v>
          </cell>
          <cell r="M888">
            <v>8.8824449566328116</v>
          </cell>
          <cell r="N888">
            <v>4.7745629330335122</v>
          </cell>
          <cell r="O888">
            <v>1.3958881641650787</v>
          </cell>
        </row>
        <row r="889">
          <cell r="A889" t="str">
            <v>RHES-SHLFOBR</v>
          </cell>
          <cell r="B889" t="str">
            <v>VAR_fin</v>
          </cell>
          <cell r="C889" t="str">
            <v>RLFO</v>
          </cell>
          <cell r="D889">
            <v>24.201672587201006</v>
          </cell>
          <cell r="E889">
            <v>22.265526663189068</v>
          </cell>
          <cell r="F889">
            <v>23.33502487027927</v>
          </cell>
          <cell r="G889">
            <v>21.699614812123709</v>
          </cell>
          <cell r="H889">
            <v>17.882814422191498</v>
          </cell>
          <cell r="I889">
            <v>17.505146340337991</v>
          </cell>
          <cell r="J889">
            <v>16.957180600379097</v>
          </cell>
          <cell r="K889">
            <v>13.139972194907742</v>
          </cell>
          <cell r="L889">
            <v>11.773583418416072</v>
          </cell>
          <cell r="M889">
            <v>9.9152873934505763</v>
          </cell>
          <cell r="N889">
            <v>5.3297446694327535</v>
          </cell>
          <cell r="O889">
            <v>1.5582007413935746</v>
          </cell>
        </row>
        <row r="890">
          <cell r="A890" t="str">
            <v>RHES-SHLFOBR</v>
          </cell>
          <cell r="B890" t="str">
            <v>VAR_ncap</v>
          </cell>
          <cell r="C890" t="str">
            <v>-</v>
          </cell>
          <cell r="E890">
            <v>9.9762673762450695E-8</v>
          </cell>
          <cell r="F890">
            <v>9.95429827425462E-8</v>
          </cell>
          <cell r="G890">
            <v>2.27794822133375E-7</v>
          </cell>
          <cell r="H890">
            <v>0.84228254804131897</v>
          </cell>
          <cell r="I890">
            <v>0.42567992491941697</v>
          </cell>
          <cell r="J890">
            <v>4.4068986916010697E-7</v>
          </cell>
          <cell r="K890">
            <v>0.52548656392884996</v>
          </cell>
          <cell r="L890">
            <v>0.26270263947242001</v>
          </cell>
          <cell r="M890">
            <v>1.44287469670464E-6</v>
          </cell>
          <cell r="N890">
            <v>0.113937438927047</v>
          </cell>
          <cell r="O890">
            <v>2.4082317336697001E-6</v>
          </cell>
        </row>
        <row r="891">
          <cell r="A891" t="str">
            <v>RHES-SHLFOBR</v>
          </cell>
          <cell r="B891" t="str">
            <v>VAR_cap</v>
          </cell>
          <cell r="C891" t="str">
            <v>-</v>
          </cell>
          <cell r="D891">
            <v>1.7515307393373001</v>
          </cell>
          <cell r="E891">
            <v>1.7515296056261536</v>
          </cell>
          <cell r="F891">
            <v>1.7515281610383069</v>
          </cell>
          <cell r="G891">
            <v>1.7515266189453353</v>
          </cell>
          <cell r="H891">
            <v>1.2965139959916212</v>
          </cell>
          <cell r="I891">
            <v>1.2679623336085022</v>
          </cell>
          <cell r="J891">
            <v>1.2679150864027686</v>
          </cell>
          <cell r="K891">
            <v>0.9511661183293485</v>
          </cell>
          <cell r="L891">
            <v>0.85359647835342167</v>
          </cell>
          <cell r="M891">
            <v>0.78818695220693369</v>
          </cell>
          <cell r="N891">
            <v>0.38643545475919272</v>
          </cell>
          <cell r="O891">
            <v>0.1139405620955691</v>
          </cell>
        </row>
        <row r="892">
          <cell r="A892" t="str">
            <v>ITOT-SWHSTG</v>
          </cell>
          <cell r="B892" t="str">
            <v>VAR_fout</v>
          </cell>
          <cell r="C892" t="str">
            <v>ITOT-SWH</v>
          </cell>
          <cell r="D892">
            <v>1.3755631564644993E-5</v>
          </cell>
          <cell r="E892">
            <v>1.7498408277862794E-4</v>
          </cell>
          <cell r="F892">
            <v>3.2914257163943941E-3</v>
          </cell>
          <cell r="G892">
            <v>1.9621468248788858E-3</v>
          </cell>
          <cell r="H892">
            <v>3.8442284953474717E-3</v>
          </cell>
          <cell r="I892">
            <v>4.9983017454530701E-3</v>
          </cell>
          <cell r="J892">
            <v>9.7535855177913952E-3</v>
          </cell>
          <cell r="K892">
            <v>6.3170295160886417E-2</v>
          </cell>
          <cell r="L892">
            <v>0.17600056446385501</v>
          </cell>
          <cell r="M892">
            <v>0.19671156334464934</v>
          </cell>
          <cell r="N892">
            <v>0.13336212831902219</v>
          </cell>
          <cell r="O892">
            <v>0.18266820545767445</v>
          </cell>
        </row>
        <row r="893">
          <cell r="A893" t="str">
            <v>ITOT-SWHSTG</v>
          </cell>
          <cell r="B893" t="str">
            <v>VAR_fout</v>
          </cell>
          <cell r="C893" t="str">
            <v>AUX_ITOT-STG_OUT</v>
          </cell>
          <cell r="D893">
            <v>1.375563156464496E-5</v>
          </cell>
          <cell r="E893">
            <v>1.7484117300758695E-4</v>
          </cell>
          <cell r="F893">
            <v>3.2872274693071519E-3</v>
          </cell>
          <cell r="G893">
            <v>1.9621468248788897E-3</v>
          </cell>
          <cell r="H893">
            <v>3.8399571303526486E-3</v>
          </cell>
          <cell r="I893">
            <v>4.9983017454530753E-3</v>
          </cell>
          <cell r="J893">
            <v>9.7440605319341865E-3</v>
          </cell>
          <cell r="K893">
            <v>6.3170295160886417E-2</v>
          </cell>
          <cell r="L893">
            <v>0.17600056446385501</v>
          </cell>
          <cell r="M893">
            <v>0.1967115633446494</v>
          </cell>
          <cell r="N893">
            <v>0.13336212831902225</v>
          </cell>
          <cell r="O893">
            <v>0.18266820545767445</v>
          </cell>
        </row>
        <row r="894">
          <cell r="A894" t="str">
            <v>ITOT-SWHSTG</v>
          </cell>
          <cell r="B894" t="str">
            <v>VAR_fin</v>
          </cell>
          <cell r="C894" t="str">
            <v>AUX_ITOT-STG_IN</v>
          </cell>
          <cell r="D894">
            <v>1.6983065807535646E-5</v>
          </cell>
          <cell r="E894">
            <v>2.1287601433670573E-4</v>
          </cell>
          <cell r="F894">
            <v>3.9183639503455204E-3</v>
          </cell>
          <cell r="G894">
            <v>2.2553411774603538E-3</v>
          </cell>
          <cell r="H894">
            <v>4.2713650011566556E-3</v>
          </cell>
          <cell r="I894">
            <v>5.3745180078581707E-3</v>
          </cell>
          <cell r="J894">
            <v>1.0159984914724078E-2</v>
          </cell>
          <cell r="K894">
            <v>6.3808378941291113E-2</v>
          </cell>
          <cell r="L894">
            <v>0.17777834788327285</v>
          </cell>
          <cell r="M894">
            <v>0.19869854882287391</v>
          </cell>
          <cell r="N894">
            <v>0.13470922049744649</v>
          </cell>
          <cell r="O894">
            <v>0.184513338944715</v>
          </cell>
        </row>
        <row r="895">
          <cell r="A895" t="str">
            <v>ITOT-SWHSTG</v>
          </cell>
          <cell r="B895" t="str">
            <v>VAR_fin</v>
          </cell>
          <cell r="C895" t="str">
            <v>ITOT-SWH</v>
          </cell>
          <cell r="D895">
            <v>1.6983065807535646E-5</v>
          </cell>
          <cell r="E895">
            <v>2.1287601433670573E-4</v>
          </cell>
          <cell r="F895">
            <v>3.9183639503455204E-3</v>
          </cell>
          <cell r="G895">
            <v>2.2553411774603538E-3</v>
          </cell>
          <cell r="H895">
            <v>4.2713650011566556E-3</v>
          </cell>
          <cell r="I895">
            <v>5.3745180078581707E-3</v>
          </cell>
          <cell r="J895">
            <v>1.0159984914724078E-2</v>
          </cell>
          <cell r="K895">
            <v>6.3808378941291113E-2</v>
          </cell>
          <cell r="L895">
            <v>0.17777834788327285</v>
          </cell>
          <cell r="M895">
            <v>0.19869854882287391</v>
          </cell>
          <cell r="N895">
            <v>0.13470922049744649</v>
          </cell>
          <cell r="O895">
            <v>0.184513338944715</v>
          </cell>
        </row>
        <row r="896">
          <cell r="A896" t="str">
            <v>ITOT-SWHSTG</v>
          </cell>
          <cell r="B896" t="str">
            <v>VAR_ncap</v>
          </cell>
          <cell r="C896" t="str">
            <v>-</v>
          </cell>
          <cell r="D896">
            <v>8.0319951784766903E-4</v>
          </cell>
          <cell r="E896">
            <v>4.16026797238385E-6</v>
          </cell>
          <cell r="F896">
            <v>4.04994690741549E-6</v>
          </cell>
          <cell r="G896">
            <v>2.6385379355217599E-6</v>
          </cell>
          <cell r="H896">
            <v>1.15246392491737E-3</v>
          </cell>
          <cell r="I896">
            <v>3.5531761356773602E-4</v>
          </cell>
          <cell r="J896">
            <v>3.5593674022070499E-4</v>
          </cell>
          <cell r="K896">
            <v>8.5415108251489895E-3</v>
          </cell>
          <cell r="L896">
            <v>2.9799533981377201E-2</v>
          </cell>
          <cell r="M896">
            <v>1.6418568708130501E-3</v>
          </cell>
          <cell r="N896">
            <v>3.6698489783515802E-3</v>
          </cell>
          <cell r="O896">
            <v>2.7091369133309701E-2</v>
          </cell>
        </row>
        <row r="897">
          <cell r="A897" t="str">
            <v>ITOT-SWHSTG</v>
          </cell>
          <cell r="B897" t="str">
            <v>VAR_cap</v>
          </cell>
          <cell r="C897" t="str">
            <v>-</v>
          </cell>
          <cell r="D897">
            <v>8.0319951784766903E-4</v>
          </cell>
          <cell r="E897">
            <v>8.0625443030084981E-4</v>
          </cell>
          <cell r="F897">
            <v>8.0955604825717464E-4</v>
          </cell>
          <cell r="G897">
            <v>8.0944933809682068E-4</v>
          </cell>
          <cell r="H897">
            <v>1.3607333157897518E-3</v>
          </cell>
          <cell r="I897">
            <v>1.5058734824774816E-3</v>
          </cell>
          <cell r="J897">
            <v>1.8585963928861064E-3</v>
          </cell>
          <cell r="K897">
            <v>9.2337011819910372E-3</v>
          </cell>
          <cell r="L897">
            <v>3.8665243489878126E-2</v>
          </cell>
          <cell r="M897">
            <v>3.9935795985040982E-2</v>
          </cell>
          <cell r="N897">
            <v>2.7116658950934548E-2</v>
          </cell>
          <cell r="O897">
            <v>3.2372890757369613E-2</v>
          </cell>
        </row>
        <row r="898">
          <cell r="A898" t="str">
            <v>SCOM-SHLFOBR</v>
          </cell>
          <cell r="B898" t="str">
            <v>VAR_fout</v>
          </cell>
          <cell r="C898" t="str">
            <v>CO2_S</v>
          </cell>
          <cell r="D898">
            <v>2229.9140360583101</v>
          </cell>
          <cell r="E898">
            <v>1978.9434860444201</v>
          </cell>
          <cell r="F898">
            <v>1860.06527064857</v>
          </cell>
          <cell r="G898">
            <v>1598.3599453606801</v>
          </cell>
          <cell r="H898">
            <v>1254.76921844511</v>
          </cell>
          <cell r="I898">
            <v>1061.35514921867</v>
          </cell>
          <cell r="J898">
            <v>987.99472243202501</v>
          </cell>
          <cell r="K898">
            <v>762.514165335646</v>
          </cell>
          <cell r="L898">
            <v>636.32853663859203</v>
          </cell>
          <cell r="M898">
            <v>518.36741756598997</v>
          </cell>
          <cell r="N898">
            <v>304.60154844843402</v>
          </cell>
          <cell r="O898">
            <v>104.71492251282299</v>
          </cell>
        </row>
        <row r="899">
          <cell r="A899" t="str">
            <v>SCOM-SHLFOBR</v>
          </cell>
          <cell r="B899" t="str">
            <v>VAR_fout</v>
          </cell>
          <cell r="C899" t="str">
            <v>SCOM-SHLFO</v>
          </cell>
          <cell r="D899">
            <v>24.843070811701367</v>
          </cell>
          <cell r="E899">
            <v>22.090710628529269</v>
          </cell>
          <cell r="F899">
            <v>20.825239689869345</v>
          </cell>
          <cell r="G899">
            <v>17.983347720079596</v>
          </cell>
          <cell r="H899">
            <v>14.188153291374128</v>
          </cell>
          <cell r="I899">
            <v>12.060853968393968</v>
          </cell>
          <cell r="J899">
            <v>11.227212754909369</v>
          </cell>
          <cell r="K899">
            <v>8.664933696995968</v>
          </cell>
          <cell r="L899">
            <v>7.2310060981658051</v>
          </cell>
          <cell r="M899">
            <v>5.8905388359771589</v>
          </cell>
          <cell r="N899">
            <v>3.4613812323685664</v>
          </cell>
          <cell r="O899">
            <v>1.189942301282082</v>
          </cell>
        </row>
        <row r="900">
          <cell r="A900" t="str">
            <v>SCOM-SHLFOBR</v>
          </cell>
          <cell r="B900" t="str">
            <v>VAR_fin</v>
          </cell>
          <cell r="C900" t="str">
            <v>SLFO</v>
          </cell>
          <cell r="D900">
            <v>30.256635496042268</v>
          </cell>
          <cell r="E900">
            <v>26.851336309964996</v>
          </cell>
          <cell r="F900">
            <v>25.238334744214029</v>
          </cell>
          <cell r="G900">
            <v>21.687380534066161</v>
          </cell>
          <cell r="H900">
            <v>17.025362529784346</v>
          </cell>
          <cell r="I900">
            <v>14.40101966375398</v>
          </cell>
          <cell r="J900">
            <v>13.405627170041045</v>
          </cell>
          <cell r="K900">
            <v>10.34618948895042</v>
          </cell>
          <cell r="L900">
            <v>8.6340371321382889</v>
          </cell>
          <cell r="M900">
            <v>7.0334792071369137</v>
          </cell>
          <cell r="N900">
            <v>4.1329925162609795</v>
          </cell>
          <cell r="O900">
            <v>1.4208266283965183</v>
          </cell>
        </row>
        <row r="901">
          <cell r="A901" t="str">
            <v>SCOM-SHLFOBR</v>
          </cell>
          <cell r="B901" t="str">
            <v>VAR_ncap</v>
          </cell>
          <cell r="C901" t="str">
            <v>-</v>
          </cell>
          <cell r="D901">
            <v>8.04891080929577E-7</v>
          </cell>
          <cell r="E901">
            <v>7.3224603469887002E-7</v>
          </cell>
          <cell r="F901">
            <v>1.0019532296312801E-6</v>
          </cell>
          <cell r="G901">
            <v>1.0066824568834E-6</v>
          </cell>
          <cell r="H901">
            <v>0.60924888134229904</v>
          </cell>
          <cell r="I901">
            <v>0.33372159269360802</v>
          </cell>
          <cell r="J901">
            <v>2.4766084136706498E-6</v>
          </cell>
          <cell r="K901">
            <v>0.336950550609104</v>
          </cell>
          <cell r="L901">
            <v>0.17206891674713501</v>
          </cell>
          <cell r="M901">
            <v>1.47177893127161E-5</v>
          </cell>
          <cell r="N901">
            <v>9.3808509806899198E-2</v>
          </cell>
          <cell r="O901">
            <v>8.01571795362759E-5</v>
          </cell>
        </row>
        <row r="902">
          <cell r="A902" t="str">
            <v>SCOM-SHLFOBR</v>
          </cell>
          <cell r="B902" t="str">
            <v>VAR_cap</v>
          </cell>
          <cell r="C902" t="str">
            <v>-</v>
          </cell>
          <cell r="D902">
            <v>1.9285744621162009</v>
          </cell>
          <cell r="E902">
            <v>1.9285394592367833</v>
          </cell>
          <cell r="F902">
            <v>1.9285336560124005</v>
          </cell>
          <cell r="G902">
            <v>1.9285217119487987</v>
          </cell>
          <cell r="H902">
            <v>1.1093806662776318</v>
          </cell>
          <cell r="I902">
            <v>0.94297035784526595</v>
          </cell>
          <cell r="J902">
            <v>0.94270305878511074</v>
          </cell>
          <cell r="K902">
            <v>0.67067019468654132</v>
          </cell>
          <cell r="L902">
            <v>0.56029546508153494</v>
          </cell>
          <cell r="M902">
            <v>0.50902858995862543</v>
          </cell>
          <cell r="N902">
            <v>0.2710186534803104</v>
          </cell>
          <cell r="O902">
            <v>9.3898763665709276E-2</v>
          </cell>
        </row>
        <row r="903">
          <cell r="A903" t="str">
            <v>RHNM-SHPLTBR</v>
          </cell>
          <cell r="B903" t="str">
            <v>VAR_fout</v>
          </cell>
          <cell r="C903" t="str">
            <v>RHNM-SHPLT</v>
          </cell>
          <cell r="E903">
            <v>7.3539624535062492E-2</v>
          </cell>
          <cell r="F903">
            <v>7.4211922190425716E-2</v>
          </cell>
          <cell r="G903">
            <v>0.20226627316881299</v>
          </cell>
          <cell r="H903">
            <v>0.3170203583886112</v>
          </cell>
          <cell r="I903">
            <v>0.40271103232501215</v>
          </cell>
          <cell r="J903">
            <v>0.47102301117214879</v>
          </cell>
          <cell r="K903">
            <v>0.52385281826855756</v>
          </cell>
          <cell r="L903">
            <v>0.56616733656791707</v>
          </cell>
          <cell r="M903">
            <v>0.60378604767517774</v>
          </cell>
          <cell r="N903">
            <v>0.60378614641991868</v>
          </cell>
          <cell r="O903">
            <v>0.60380182139947558</v>
          </cell>
        </row>
        <row r="904">
          <cell r="A904" t="str">
            <v>RHNM-SHPLTBR</v>
          </cell>
          <cell r="B904" t="str">
            <v>VAR_fin</v>
          </cell>
          <cell r="C904" t="str">
            <v>RPLT</v>
          </cell>
          <cell r="E904">
            <v>8.1710693927847244E-2</v>
          </cell>
          <cell r="F904">
            <v>8.2457691322695315E-2</v>
          </cell>
          <cell r="G904">
            <v>0.22474030352090321</v>
          </cell>
          <cell r="H904">
            <v>0.3522448426540124</v>
          </cell>
          <cell r="I904">
            <v>0.44745670258334702</v>
          </cell>
          <cell r="J904">
            <v>0.5233589013023876</v>
          </cell>
          <cell r="K904">
            <v>0.58205868696506391</v>
          </cell>
          <cell r="L904">
            <v>0.62907481840879664</v>
          </cell>
          <cell r="M904">
            <v>0.67087338630575277</v>
          </cell>
          <cell r="N904">
            <v>0.67087349602213175</v>
          </cell>
          <cell r="O904">
            <v>0.67089091266608358</v>
          </cell>
        </row>
        <row r="905">
          <cell r="A905" t="str">
            <v>RHNM-SHPLTBR</v>
          </cell>
          <cell r="B905" t="str">
            <v>VAR_fin</v>
          </cell>
          <cell r="C905" t="str">
            <v>RHNMPLTBRC</v>
          </cell>
          <cell r="E905">
            <v>7.3539624535062492E-2</v>
          </cell>
          <cell r="F905">
            <v>7.4211922190425716E-2</v>
          </cell>
          <cell r="G905">
            <v>0.20226627316881299</v>
          </cell>
          <cell r="H905">
            <v>0.3170203583886112</v>
          </cell>
          <cell r="I905">
            <v>0.40271103232501215</v>
          </cell>
          <cell r="J905">
            <v>0.47102301117214879</v>
          </cell>
          <cell r="K905">
            <v>0.52385281826855756</v>
          </cell>
          <cell r="L905">
            <v>0.56616733656791707</v>
          </cell>
          <cell r="M905">
            <v>0.60378604767517774</v>
          </cell>
          <cell r="N905">
            <v>0.60378614641991868</v>
          </cell>
          <cell r="O905">
            <v>0.60380182139947558</v>
          </cell>
        </row>
        <row r="906">
          <cell r="A906" t="str">
            <v>RHNM-SHPLTBR</v>
          </cell>
          <cell r="B906" t="str">
            <v>VAR_ncap</v>
          </cell>
          <cell r="C906" t="str">
            <v>-</v>
          </cell>
          <cell r="E906">
            <v>5.8430887991208196E-3</v>
          </cell>
          <cell r="F906">
            <v>3.74594390182225E-5</v>
          </cell>
          <cell r="G906">
            <v>1.0510846626245201E-2</v>
          </cell>
          <cell r="H906">
            <v>1.11616057914835E-2</v>
          </cell>
          <cell r="I906">
            <v>1.1615589665974599E-2</v>
          </cell>
          <cell r="J906">
            <v>1.38170729741224E-2</v>
          </cell>
          <cell r="K906">
            <v>1.53081362540523E-2</v>
          </cell>
          <cell r="L906">
            <v>1.49075834864171E-2</v>
          </cell>
          <cell r="M906">
            <v>1.6770919665061002E-2</v>
          </cell>
          <cell r="N906">
            <v>1.72563499764159E-2</v>
          </cell>
          <cell r="O906">
            <v>1.31827418875868E-2</v>
          </cell>
        </row>
        <row r="907">
          <cell r="A907" t="str">
            <v>RHNM-SHPLTBR</v>
          </cell>
          <cell r="B907" t="str">
            <v>VAR_cap</v>
          </cell>
          <cell r="C907" t="str">
            <v>-</v>
          </cell>
          <cell r="E907">
            <v>5.8430887991208196E-3</v>
          </cell>
          <cell r="F907">
            <v>5.8803589810077139E-3</v>
          </cell>
          <cell r="G907">
            <v>1.6390614748611084E-2</v>
          </cell>
          <cell r="H907">
            <v>2.4702639671244499E-2</v>
          </cell>
          <cell r="I907">
            <v>3.129565333626045E-2</v>
          </cell>
          <cell r="J907">
            <v>3.6593894355615386E-2</v>
          </cell>
          <cell r="K907">
            <v>4.0740102388361156E-2</v>
          </cell>
          <cell r="L907">
            <v>4.3986253187070661E-2</v>
          </cell>
          <cell r="M907">
            <v>4.6985926900130051E-2</v>
          </cell>
          <cell r="N907">
            <v>4.6919412547958055E-2</v>
          </cell>
          <cell r="O907">
            <v>4.7209357608502332E-2</v>
          </cell>
        </row>
        <row r="908">
          <cell r="A908" t="str">
            <v>D-RHES_NKEV_GAS_ELC_CHP</v>
          </cell>
          <cell r="B908" t="str">
            <v>VAR_fout</v>
          </cell>
          <cell r="C908" t="str">
            <v>RHES_ELC</v>
          </cell>
          <cell r="D908">
            <v>7.1934436660396322E-3</v>
          </cell>
          <cell r="E908">
            <v>1.2671915397570949E-3</v>
          </cell>
          <cell r="F908">
            <v>4.4297558792344271E-3</v>
          </cell>
          <cell r="G908">
            <v>4.2042060681688493E-3</v>
          </cell>
          <cell r="H908">
            <v>4.6768555353237659E-3</v>
          </cell>
          <cell r="I908">
            <v>5.4035856083550519E-3</v>
          </cell>
          <cell r="J908">
            <v>5.2590857602404315E-3</v>
          </cell>
          <cell r="K908">
            <v>6.0415738301533581E-3</v>
          </cell>
          <cell r="L908">
            <v>5.3838377683558926E-3</v>
          </cell>
          <cell r="M908">
            <v>5.7002822324099959E-3</v>
          </cell>
          <cell r="N908">
            <v>4.7726616670379064E-2</v>
          </cell>
          <cell r="O908">
            <v>5.3969620209180981E-2</v>
          </cell>
        </row>
        <row r="909">
          <cell r="A909" t="str">
            <v>D-RHES_NKEV_GAS_ELC_CHP</v>
          </cell>
          <cell r="B909" t="str">
            <v>VAR_fout</v>
          </cell>
          <cell r="C909" t="str">
            <v>ELC5</v>
          </cell>
          <cell r="D909">
            <v>7.0683265859434619E-3</v>
          </cell>
          <cell r="E909">
            <v>1.2647752141005928E-3</v>
          </cell>
          <cell r="F909">
            <v>4.4350751092845303E-3</v>
          </cell>
          <cell r="G909">
            <v>4.2094348307722016E-3</v>
          </cell>
          <cell r="H909">
            <v>4.7245814920825399E-3</v>
          </cell>
          <cell r="I909">
            <v>5.4268630413758607E-3</v>
          </cell>
          <cell r="J909">
            <v>5.2954614829611489E-3</v>
          </cell>
          <cell r="K909">
            <v>6.1282335676572522E-3</v>
          </cell>
          <cell r="L909">
            <v>5.4509723839403154E-3</v>
          </cell>
          <cell r="M909">
            <v>5.7674146242282067E-3</v>
          </cell>
          <cell r="N909">
            <v>4.8001785462990498E-2</v>
          </cell>
          <cell r="O909">
            <v>5.4552478234060869E-2</v>
          </cell>
        </row>
        <row r="910">
          <cell r="A910" t="str">
            <v>D-RHES_NKEV_GAS_ELC_CHP</v>
          </cell>
          <cell r="B910" t="str">
            <v>VAR_fin</v>
          </cell>
          <cell r="C910" t="str">
            <v>RHES_NKEV_GAS_ELC_CHP</v>
          </cell>
          <cell r="D910">
            <v>1.4261770251983092E-2</v>
          </cell>
          <cell r="E910">
            <v>2.5319667538576877E-3</v>
          </cell>
          <cell r="F910">
            <v>8.857972037691118E-3</v>
          </cell>
          <cell r="G910">
            <v>8.4136408989410535E-3</v>
          </cell>
          <cell r="H910">
            <v>9.4014370274063154E-3</v>
          </cell>
          <cell r="I910">
            <v>1.0830448649730907E-2</v>
          </cell>
          <cell r="J910">
            <v>1.0554547243201576E-2</v>
          </cell>
          <cell r="K910">
            <v>1.2169807397810612E-2</v>
          </cell>
          <cell r="L910">
            <v>1.08348101522962E-2</v>
          </cell>
          <cell r="M910">
            <v>1.1467696856638211E-2</v>
          </cell>
          <cell r="N910">
            <v>9.5728402133369556E-2</v>
          </cell>
          <cell r="O910">
            <v>0.10852209844324183</v>
          </cell>
        </row>
        <row r="911">
          <cell r="A911" t="str">
            <v>SCOM-SHSTG-SOL</v>
          </cell>
          <cell r="B911" t="str">
            <v>VAR_fout</v>
          </cell>
          <cell r="C911" t="str">
            <v>SCOM-SHASOL</v>
          </cell>
          <cell r="D911">
            <v>1.3895202315176988E-4</v>
          </cell>
          <cell r="E911">
            <v>1.399579779281228E-4</v>
          </cell>
          <cell r="F911">
            <v>4.2524534591163385E-3</v>
          </cell>
          <cell r="G911">
            <v>2.934481707738927E-3</v>
          </cell>
          <cell r="H911">
            <v>2.7558941279310061E-2</v>
          </cell>
          <cell r="I911">
            <v>2.851986542100916E-2</v>
          </cell>
          <cell r="J911">
            <v>7.6497357688147926E-3</v>
          </cell>
          <cell r="K911">
            <v>4.2101263010935266E-2</v>
          </cell>
          <cell r="L911">
            <v>3.9443919037262992E-2</v>
          </cell>
          <cell r="M911">
            <v>4.6937560986403656E-2</v>
          </cell>
          <cell r="N911">
            <v>4.2947268159332239E-2</v>
          </cell>
          <cell r="O911">
            <v>5.6532672885663056E-2</v>
          </cell>
        </row>
        <row r="912">
          <cell r="A912" t="str">
            <v>SCOM-SHSTG-SOL</v>
          </cell>
          <cell r="B912" t="str">
            <v>VAR_fin</v>
          </cell>
          <cell r="C912" t="str">
            <v>SCOM-SHASOL</v>
          </cell>
          <cell r="D912">
            <v>1.3601902643451647E-4</v>
          </cell>
          <cell r="E912">
            <v>1.3188777459570861E-4</v>
          </cell>
          <cell r="F912">
            <v>5.4420108762355387E-3</v>
          </cell>
          <cell r="G912">
            <v>3.6331850338045249E-3</v>
          </cell>
          <cell r="H912">
            <v>3.3379086429786868E-2</v>
          </cell>
          <cell r="I912">
            <v>3.3531443346536856E-2</v>
          </cell>
          <cell r="J912">
            <v>8.6920042242259413E-3</v>
          </cell>
          <cell r="K912">
            <v>4.6726405379628327E-2</v>
          </cell>
          <cell r="L912">
            <v>4.3802450300089307E-2</v>
          </cell>
          <cell r="M912">
            <v>5.2096019936240578E-2</v>
          </cell>
          <cell r="N912">
            <v>4.7678143945239004E-2</v>
          </cell>
          <cell r="O912">
            <v>6.2708839741453345E-2</v>
          </cell>
        </row>
        <row r="913">
          <cell r="A913" t="str">
            <v>SCOM-SHSTG-SOL</v>
          </cell>
          <cell r="B913" t="str">
            <v>VAR_ncap</v>
          </cell>
          <cell r="C913" t="str">
            <v>-</v>
          </cell>
          <cell r="D913">
            <v>9.7902696083705908E-3</v>
          </cell>
          <cell r="E913">
            <v>1.3667117760998E-2</v>
          </cell>
          <cell r="F913">
            <v>1.1891224348483899E-5</v>
          </cell>
          <cell r="G913">
            <v>3.2787819679606601E-6</v>
          </cell>
          <cell r="H913">
            <v>1.39412481363005E-2</v>
          </cell>
          <cell r="I913">
            <v>9.5441766362483992E-3</v>
          </cell>
          <cell r="J913">
            <v>1.2266449510840701E-6</v>
          </cell>
          <cell r="K913">
            <v>1.39371673205503E-2</v>
          </cell>
          <cell r="L913">
            <v>8.0964182074150706E-3</v>
          </cell>
          <cell r="M913">
            <v>1.3049158370495399E-3</v>
          </cell>
          <cell r="N913">
            <v>1.41867794282511E-2</v>
          </cell>
          <cell r="O913">
            <v>7.7580379200937102E-3</v>
          </cell>
        </row>
        <row r="914">
          <cell r="A914" t="str">
            <v>SCOM-SHSTG-SOL</v>
          </cell>
          <cell r="B914" t="str">
            <v>VAR_cap</v>
          </cell>
          <cell r="C914" t="str">
            <v>-</v>
          </cell>
          <cell r="D914">
            <v>9.7902696083705908E-3</v>
          </cell>
          <cell r="E914">
            <v>2.3457387369368601E-2</v>
          </cell>
          <cell r="F914">
            <v>2.3469278593717099E-2</v>
          </cell>
          <cell r="G914">
            <v>2.3472557375685099E-2</v>
          </cell>
          <cell r="H914">
            <v>2.3497636000636202E-2</v>
          </cell>
          <cell r="I914">
            <v>2.3490576897245499E-2</v>
          </cell>
          <cell r="J914">
            <v>2.3486651417500001E-2</v>
          </cell>
          <cell r="K914">
            <v>2.3482570601749801E-2</v>
          </cell>
          <cell r="L914">
            <v>2.35011513084512E-2</v>
          </cell>
          <cell r="M914">
            <v>2.3338501365014901E-2</v>
          </cell>
          <cell r="N914">
            <v>2.3490015938840099E-2</v>
          </cell>
          <cell r="O914">
            <v>2.3249733185394399E-2</v>
          </cell>
        </row>
        <row r="915">
          <cell r="A915" t="str">
            <v>RHNM-SHELCBRA</v>
          </cell>
          <cell r="B915" t="str">
            <v>VAR_fout</v>
          </cell>
          <cell r="C915" t="str">
            <v>RHNM-SHELCB</v>
          </cell>
          <cell r="E915">
            <v>0.15438988632075798</v>
          </cell>
          <cell r="F915">
            <v>0.16113786528048102</v>
          </cell>
          <cell r="G915">
            <v>0.15918707827540032</v>
          </cell>
          <cell r="H915">
            <v>7.8094391772657951E-2</v>
          </cell>
          <cell r="I915">
            <v>3.5405004707998013E-3</v>
          </cell>
          <cell r="J915">
            <v>1.1057102269440344E-2</v>
          </cell>
          <cell r="K915">
            <v>6.8065562318409918E-3</v>
          </cell>
          <cell r="L915">
            <v>3.1977874681460385E-3</v>
          </cell>
          <cell r="M915">
            <v>4.4705148800711803E-2</v>
          </cell>
          <cell r="N915">
            <v>2.9733346082416187E-3</v>
          </cell>
          <cell r="O915">
            <v>3.8719754812494189E-3</v>
          </cell>
        </row>
        <row r="916">
          <cell r="A916" t="str">
            <v>RHNM-SHELCBRA</v>
          </cell>
          <cell r="B916" t="str">
            <v>VAR_fin</v>
          </cell>
          <cell r="C916" t="str">
            <v>RHNM-SHAELCB</v>
          </cell>
          <cell r="E916">
            <v>0.15438988632075798</v>
          </cell>
          <cell r="F916">
            <v>0.16113786528048102</v>
          </cell>
          <cell r="G916">
            <v>0.15918707827540032</v>
          </cell>
          <cell r="H916">
            <v>7.8094391772657951E-2</v>
          </cell>
          <cell r="I916">
            <v>3.5405004707998013E-3</v>
          </cell>
          <cell r="J916">
            <v>1.1057102269440344E-2</v>
          </cell>
          <cell r="K916">
            <v>6.8065562318409918E-3</v>
          </cell>
          <cell r="L916">
            <v>3.1977874681460385E-3</v>
          </cell>
          <cell r="M916">
            <v>4.4705148800711803E-2</v>
          </cell>
          <cell r="N916">
            <v>2.9733346082416187E-3</v>
          </cell>
          <cell r="O916">
            <v>3.8719754812494189E-3</v>
          </cell>
        </row>
        <row r="917">
          <cell r="A917" t="str">
            <v>RHNM-SHELCBRA</v>
          </cell>
          <cell r="B917" t="str">
            <v>VAR_ncap</v>
          </cell>
          <cell r="C917" t="str">
            <v>-</v>
          </cell>
          <cell r="E917">
            <v>1.28800390573204E-2</v>
          </cell>
          <cell r="H917">
            <v>5.1547412384604695E-4</v>
          </cell>
          <cell r="J917">
            <v>8.2502717158551998E-4</v>
          </cell>
          <cell r="L917">
            <v>2.50171667477183E-4</v>
          </cell>
          <cell r="M917">
            <v>3.4292350993257699E-3</v>
          </cell>
          <cell r="N917">
            <v>8.9046590897646E-5</v>
          </cell>
          <cell r="O917">
            <v>2.6250674240995201E-4</v>
          </cell>
        </row>
        <row r="918">
          <cell r="A918" t="str">
            <v>RHNM-SHELCBRA</v>
          </cell>
          <cell r="B918" t="str">
            <v>VAR_cap</v>
          </cell>
          <cell r="C918" t="str">
            <v>-</v>
          </cell>
          <cell r="E918">
            <v>1.28800390573204E-2</v>
          </cell>
          <cell r="F918">
            <v>1.2879718233142944E-2</v>
          </cell>
          <cell r="G918">
            <v>1.2878455093445044E-2</v>
          </cell>
          <cell r="H918">
            <v>7.0765426231326062E-3</v>
          </cell>
          <cell r="I918">
            <v>4.7907380567634855E-4</v>
          </cell>
          <cell r="J918">
            <v>1.2523028109147029E-3</v>
          </cell>
          <cell r="K918">
            <v>7.7637590125408031E-4</v>
          </cell>
          <cell r="L918">
            <v>4.5966932527581801E-4</v>
          </cell>
          <cell r="M918">
            <v>3.6572110622895416E-3</v>
          </cell>
          <cell r="N918">
            <v>4.3612699730581021E-4</v>
          </cell>
          <cell r="O918">
            <v>5.5170965416240008E-4</v>
          </cell>
        </row>
        <row r="919">
          <cell r="A919" t="str">
            <v>RHNM-SHSTG-SOL</v>
          </cell>
          <cell r="B919" t="str">
            <v>VAR_fout</v>
          </cell>
          <cell r="C919" t="str">
            <v>RHNM-SHASOL</v>
          </cell>
          <cell r="E919">
            <v>1.0508308585433186E-4</v>
          </cell>
          <cell r="F919">
            <v>3.7328773742540625E-3</v>
          </cell>
          <cell r="G919">
            <v>4.0191277605028082E-3</v>
          </cell>
          <cell r="H919">
            <v>2.3702266707030118E-3</v>
          </cell>
          <cell r="I919">
            <v>3.9920250944256287E-4</v>
          </cell>
          <cell r="J919">
            <v>3.7010751990602909E-4</v>
          </cell>
          <cell r="K919">
            <v>8.5402923345986881E-4</v>
          </cell>
          <cell r="L919">
            <v>7.7487553588492374E-4</v>
          </cell>
          <cell r="M919">
            <v>2.7721046706611656E-3</v>
          </cell>
          <cell r="N919">
            <v>1.0795375169949844E-3</v>
          </cell>
          <cell r="O919">
            <v>9.940907105486568E-4</v>
          </cell>
        </row>
        <row r="920">
          <cell r="A920" t="str">
            <v>RHNM-SHSTG-SOL</v>
          </cell>
          <cell r="B920" t="str">
            <v>VAR_fin</v>
          </cell>
          <cell r="C920" t="str">
            <v>RHNM-SHASOL</v>
          </cell>
          <cell r="E920">
            <v>1.7907425268518212E-5</v>
          </cell>
          <cell r="F920">
            <v>3.6459301339895533E-3</v>
          </cell>
          <cell r="G920">
            <v>3.923569555077615E-3</v>
          </cell>
          <cell r="H920">
            <v>2.3094544495631431E-3</v>
          </cell>
          <cell r="I920">
            <v>3.5495348187121613E-4</v>
          </cell>
          <cell r="J920">
            <v>2.5025838754655887E-4</v>
          </cell>
          <cell r="K920">
            <v>7.5787214206551857E-4</v>
          </cell>
          <cell r="L920">
            <v>7.217427348559989E-4</v>
          </cell>
          <cell r="M920">
            <v>2.6618469802578782E-3</v>
          </cell>
          <cell r="N920">
            <v>1.0226595885164634E-3</v>
          </cell>
          <cell r="O920">
            <v>8.1759258263236847E-4</v>
          </cell>
        </row>
        <row r="921">
          <cell r="A921" t="str">
            <v>RHNM-SHSTG-SOL</v>
          </cell>
          <cell r="B921" t="str">
            <v>VAR_ncap</v>
          </cell>
          <cell r="C921" t="str">
            <v>-</v>
          </cell>
          <cell r="D921">
            <v>2.5372837541898599E-4</v>
          </cell>
          <cell r="E921">
            <v>1.9636394117944399E-5</v>
          </cell>
          <cell r="F921">
            <v>3.1065535253077601E-4</v>
          </cell>
          <cell r="G921">
            <v>1.7569412583462601E-5</v>
          </cell>
          <cell r="H921">
            <v>4.2450219659748603E-6</v>
          </cell>
          <cell r="I921">
            <v>8.8113641119100606E-6</v>
          </cell>
          <cell r="J921">
            <v>5.7680047595005401E-5</v>
          </cell>
          <cell r="K921">
            <v>1.35593256527672E-4</v>
          </cell>
          <cell r="L921">
            <v>3.9659838468445002E-6</v>
          </cell>
          <cell r="M921">
            <v>3.2972394551567099E-4</v>
          </cell>
          <cell r="N921">
            <v>1.0150376487570101E-5</v>
          </cell>
          <cell r="O921">
            <v>7.7695734791360608E-6</v>
          </cell>
        </row>
        <row r="922">
          <cell r="A922" t="str">
            <v>RHNM-SHSTG-SOL</v>
          </cell>
          <cell r="B922" t="str">
            <v>VAR_cap</v>
          </cell>
          <cell r="C922" t="str">
            <v>-</v>
          </cell>
          <cell r="D922">
            <v>2.5372837541898599E-4</v>
          </cell>
          <cell r="E922">
            <v>2.7336476953693001E-4</v>
          </cell>
          <cell r="F922">
            <v>5.8402012206770597E-4</v>
          </cell>
          <cell r="G922">
            <v>6.0158953465116896E-4</v>
          </cell>
          <cell r="H922">
            <v>4.0833089713661499E-4</v>
          </cell>
          <cell r="I922">
            <v>9.2519945859230999E-5</v>
          </cell>
          <cell r="J922">
            <v>7.0736433672890305E-5</v>
          </cell>
          <cell r="K922">
            <v>2.0208466823458699E-4</v>
          </cell>
          <cell r="L922">
            <v>1.9095084737468901E-4</v>
          </cell>
          <cell r="M922">
            <v>4.6928318589018798E-4</v>
          </cell>
          <cell r="N922">
            <v>3.6659957305236501E-4</v>
          </cell>
          <cell r="O922">
            <v>3.4764389548237799E-4</v>
          </cell>
        </row>
        <row r="923">
          <cell r="A923" t="str">
            <v>RHNS-SHELCHP</v>
          </cell>
          <cell r="B923" t="str">
            <v>VAR_fout</v>
          </cell>
          <cell r="C923" t="str">
            <v>RHNS-SHAELCH</v>
          </cell>
          <cell r="E923">
            <v>0.24174590010677538</v>
          </cell>
          <cell r="F923">
            <v>0.64957480887648711</v>
          </cell>
          <cell r="G923">
            <v>1.517058970774348</v>
          </cell>
          <cell r="H923">
            <v>1.5171003550665803</v>
          </cell>
          <cell r="I923">
            <v>1.5171158587452829</v>
          </cell>
          <cell r="J923">
            <v>1.5171305385729272</v>
          </cell>
          <cell r="K923">
            <v>1.8013338571835364</v>
          </cell>
          <cell r="L923">
            <v>1.8013495852271633</v>
          </cell>
          <cell r="M923">
            <v>1.8013903718206865</v>
          </cell>
          <cell r="N923">
            <v>1.8014777646724143</v>
          </cell>
          <cell r="O923">
            <v>1.8015630429417284</v>
          </cell>
        </row>
        <row r="924">
          <cell r="A924" t="str">
            <v>RHNS-SHELCHP</v>
          </cell>
          <cell r="B924" t="str">
            <v>VAR_fin</v>
          </cell>
          <cell r="C924" t="str">
            <v>RHNS_ELC</v>
          </cell>
          <cell r="E924">
            <v>7.4307141426262949E-2</v>
          </cell>
          <cell r="F924">
            <v>0.19487244266294593</v>
          </cell>
          <cell r="G924">
            <v>0.43761316464644617</v>
          </cell>
          <cell r="H924">
            <v>0.42337684327439412</v>
          </cell>
          <cell r="I924">
            <v>0.41003131317440061</v>
          </cell>
          <cell r="J924">
            <v>0.39924487857182334</v>
          </cell>
          <cell r="K924">
            <v>0.46188047620090633</v>
          </cell>
          <cell r="L924">
            <v>0.46188450903260553</v>
          </cell>
          <cell r="M924">
            <v>0.46189496713350953</v>
          </cell>
          <cell r="N924">
            <v>0.46191737555702939</v>
          </cell>
          <cell r="O924">
            <v>0.46193924177992973</v>
          </cell>
        </row>
        <row r="925">
          <cell r="A925" t="str">
            <v>RHNS-SHELCHP</v>
          </cell>
          <cell r="B925" t="str">
            <v>VAR_fin</v>
          </cell>
          <cell r="C925" t="str">
            <v>RHNSELCHPC</v>
          </cell>
          <cell r="E925">
            <v>0.24174590010677538</v>
          </cell>
          <cell r="F925">
            <v>0.64957480887648711</v>
          </cell>
          <cell r="G925">
            <v>1.517058970774348</v>
          </cell>
          <cell r="H925">
            <v>1.5171003550665803</v>
          </cell>
          <cell r="I925">
            <v>1.5171158587452829</v>
          </cell>
          <cell r="J925">
            <v>1.5171305385729272</v>
          </cell>
          <cell r="K925">
            <v>1.8013338571835364</v>
          </cell>
          <cell r="L925">
            <v>1.8013495852271633</v>
          </cell>
          <cell r="M925">
            <v>1.8013903718206865</v>
          </cell>
          <cell r="N925">
            <v>1.8014777646724143</v>
          </cell>
          <cell r="O925">
            <v>1.8015630429417284</v>
          </cell>
        </row>
        <row r="926">
          <cell r="A926" t="str">
            <v>RHNS-SHELCHP</v>
          </cell>
          <cell r="B926" t="str">
            <v>VAR_ncap</v>
          </cell>
          <cell r="C926" t="str">
            <v>-</v>
          </cell>
          <cell r="E926">
            <v>1.7693221967845001E-2</v>
          </cell>
          <cell r="F926">
            <v>2.9789401104521E-2</v>
          </cell>
          <cell r="G926">
            <v>6.4030254505622095E-2</v>
          </cell>
          <cell r="H926">
            <v>7.8672637229286694E-3</v>
          </cell>
          <cell r="I926">
            <v>4.4575858297662703E-2</v>
          </cell>
          <cell r="J926">
            <v>5.8100187018838401E-2</v>
          </cell>
          <cell r="K926">
            <v>2.8603494056936501E-2</v>
          </cell>
          <cell r="L926">
            <v>4.5402720513634899E-2</v>
          </cell>
          <cell r="M926">
            <v>5.7279664852085403E-2</v>
          </cell>
          <cell r="N926">
            <v>3.7923204636946102E-2</v>
          </cell>
          <cell r="O926">
            <v>3.6134836839270899E-2</v>
          </cell>
        </row>
        <row r="927">
          <cell r="A927" t="str">
            <v>RHNS-SHELCHP</v>
          </cell>
          <cell r="B927" t="str">
            <v>VAR_cap</v>
          </cell>
          <cell r="C927" t="str">
            <v>-</v>
          </cell>
          <cell r="E927">
            <v>1.7693221967845001E-2</v>
          </cell>
          <cell r="F927">
            <v>4.7482485119552151E-2</v>
          </cell>
          <cell r="G927">
            <v>0.11151240331248602</v>
          </cell>
          <cell r="H927">
            <v>0.1107511361180013</v>
          </cell>
          <cell r="I927">
            <v>0.11054691836099884</v>
          </cell>
          <cell r="J927">
            <v>0.11054301451999807</v>
          </cell>
          <cell r="K927">
            <v>0.13127905658656441</v>
          </cell>
          <cell r="L927">
            <v>0.13125716206234184</v>
          </cell>
          <cell r="M927">
            <v>0.13128536975197616</v>
          </cell>
          <cell r="N927">
            <v>0.1312779763947034</v>
          </cell>
          <cell r="O927">
            <v>0.13133721086555103</v>
          </cell>
        </row>
        <row r="928">
          <cell r="A928" t="str">
            <v>SCOM-SHBIOBR</v>
          </cell>
          <cell r="B928" t="str">
            <v>VAR_fout</v>
          </cell>
          <cell r="C928" t="str">
            <v>SCOM-SHBIO</v>
          </cell>
          <cell r="D928">
            <v>1.223074421686815</v>
          </cell>
          <cell r="E928">
            <v>1.340771218646178</v>
          </cell>
          <cell r="F928">
            <v>1.4128752993535807</v>
          </cell>
          <cell r="G928">
            <v>1.4121921441689773</v>
          </cell>
          <cell r="H928">
            <v>1.5482934865292146</v>
          </cell>
          <cell r="I928">
            <v>1.6671630196004568</v>
          </cell>
          <cell r="J928">
            <v>1.7573525472003533</v>
          </cell>
          <cell r="K928">
            <v>2.0586569353883735</v>
          </cell>
          <cell r="L928">
            <v>2.2309961411266661</v>
          </cell>
          <cell r="M928">
            <v>2.2250816898724621</v>
          </cell>
          <cell r="N928">
            <v>3.0577930947890217</v>
          </cell>
          <cell r="O928">
            <v>3.2067924924654867</v>
          </cell>
        </row>
        <row r="929">
          <cell r="A929" t="str">
            <v>SCOM-SHBIOBR</v>
          </cell>
          <cell r="B929" t="str">
            <v>VAR_fin</v>
          </cell>
          <cell r="C929" t="str">
            <v>SBIO</v>
          </cell>
          <cell r="D929">
            <v>1.4022866563710339</v>
          </cell>
          <cell r="E929">
            <v>1.5372290972783511</v>
          </cell>
          <cell r="F929">
            <v>1.6198983024003464</v>
          </cell>
          <cell r="G929">
            <v>1.6191150472013041</v>
          </cell>
          <cell r="H929">
            <v>1.7751587784100147</v>
          </cell>
          <cell r="I929">
            <v>1.9114457917913974</v>
          </cell>
          <cell r="J929">
            <v>2.0148504324700225</v>
          </cell>
          <cell r="K929">
            <v>2.3603037553180144</v>
          </cell>
          <cell r="L929">
            <v>2.5578951400214014</v>
          </cell>
          <cell r="M929">
            <v>2.5511140677281166</v>
          </cell>
          <cell r="N929">
            <v>3.5058393657292175</v>
          </cell>
          <cell r="O929">
            <v>3.6766710530445859</v>
          </cell>
        </row>
        <row r="930">
          <cell r="A930" t="str">
            <v>SCOM-SHBIOBR</v>
          </cell>
          <cell r="B930" t="str">
            <v>VAR_ncap</v>
          </cell>
          <cell r="C930" t="str">
            <v>-</v>
          </cell>
          <cell r="D930">
            <v>2.7222564291901699E-6</v>
          </cell>
          <cell r="E930">
            <v>1.1815973695662399E-5</v>
          </cell>
          <cell r="F930">
            <v>4.3589438657392898E-3</v>
          </cell>
          <cell r="G930">
            <v>1.03399010854946E-5</v>
          </cell>
          <cell r="H930">
            <v>0.103973415682437</v>
          </cell>
          <cell r="I930">
            <v>3.6535489497222698E-2</v>
          </cell>
          <cell r="J930">
            <v>5.4591190573504099E-6</v>
          </cell>
          <cell r="K930">
            <v>0.15070139524837201</v>
          </cell>
          <cell r="L930">
            <v>2.38581847854153E-2</v>
          </cell>
          <cell r="M930">
            <v>1.25017843008403E-3</v>
          </cell>
          <cell r="N930">
            <v>0.21658677817109401</v>
          </cell>
          <cell r="O930">
            <v>7.1289642851271096E-2</v>
          </cell>
        </row>
        <row r="931">
          <cell r="A931" t="str">
            <v>SCOM-SHBIOBR</v>
          </cell>
          <cell r="B931" t="str">
            <v>VAR_cap</v>
          </cell>
          <cell r="C931" t="str">
            <v>-</v>
          </cell>
          <cell r="D931">
            <v>0.1053436477251052</v>
          </cell>
          <cell r="E931">
            <v>0.10535479777638015</v>
          </cell>
          <cell r="F931">
            <v>0.10971330911594435</v>
          </cell>
          <cell r="G931">
            <v>0.10972126781924707</v>
          </cell>
          <cell r="H931">
            <v>0.13566332946513204</v>
          </cell>
          <cell r="I931">
            <v>0.14143077524233574</v>
          </cell>
          <cell r="J931">
            <v>0.1405032941723495</v>
          </cell>
          <cell r="K931">
            <v>0.18723867994661739</v>
          </cell>
          <cell r="L931">
            <v>0.18017496716904272</v>
          </cell>
          <cell r="M931">
            <v>0.17580609348431023</v>
          </cell>
          <cell r="N931">
            <v>0.26081907357541395</v>
          </cell>
          <cell r="O931">
            <v>0.28912226070730074</v>
          </cell>
        </row>
        <row r="932">
          <cell r="A932" t="str">
            <v>RHES-SHDEM</v>
          </cell>
          <cell r="B932" t="str">
            <v>VAR_fout</v>
          </cell>
          <cell r="C932" t="str">
            <v>RHES-SHD</v>
          </cell>
          <cell r="D932">
            <v>62.024837503894084</v>
          </cell>
          <cell r="E932">
            <v>67.815394581973521</v>
          </cell>
          <cell r="F932">
            <v>66.44155435064701</v>
          </cell>
          <cell r="G932">
            <v>64.47256407615069</v>
          </cell>
          <cell r="H932">
            <v>62.336402497188921</v>
          </cell>
          <cell r="I932">
            <v>59.383205239498317</v>
          </cell>
          <cell r="J932">
            <v>56.032310024199134</v>
          </cell>
          <cell r="K932">
            <v>52.896940072054662</v>
          </cell>
          <cell r="L932">
            <v>49.589228207113941</v>
          </cell>
          <cell r="M932">
            <v>46.196846682574026</v>
          </cell>
          <cell r="N932">
            <v>45.311849619689404</v>
          </cell>
          <cell r="O932">
            <v>38.378065779618744</v>
          </cell>
        </row>
        <row r="933">
          <cell r="A933" t="str">
            <v>RHES-SHDEM</v>
          </cell>
          <cell r="B933" t="str">
            <v>VAR_fin</v>
          </cell>
          <cell r="C933" t="str">
            <v>RHES-SHPLT</v>
          </cell>
          <cell r="D933">
            <v>1.284334539382407</v>
          </cell>
          <cell r="E933">
            <v>1.4868689740501948</v>
          </cell>
          <cell r="F933">
            <v>1.4779425178180534</v>
          </cell>
          <cell r="G933">
            <v>1.4859670971966634</v>
          </cell>
          <cell r="H933">
            <v>1.4790722453082437</v>
          </cell>
          <cell r="I933">
            <v>1.4845584303628323</v>
          </cell>
          <cell r="J933">
            <v>1.4857347043751161</v>
          </cell>
          <cell r="K933">
            <v>1.4849427951013114</v>
          </cell>
          <cell r="L933">
            <v>1.4859893836293794</v>
          </cell>
          <cell r="M933">
            <v>1.4852750075947037</v>
          </cell>
          <cell r="N933">
            <v>1.4856693314369631</v>
          </cell>
          <cell r="O933">
            <v>1.482856292464849</v>
          </cell>
        </row>
        <row r="934">
          <cell r="A934" t="str">
            <v>RHES-SHDEM</v>
          </cell>
          <cell r="B934" t="str">
            <v>VAR_fin</v>
          </cell>
          <cell r="C934" t="str">
            <v>RHES-SHLTHC-NGA</v>
          </cell>
          <cell r="D934">
            <v>6.0018922318182809E-2</v>
          </cell>
          <cell r="E934">
            <v>1.1546367071814598E-3</v>
          </cell>
          <cell r="F934">
            <v>2.2735946825662361E-2</v>
          </cell>
          <cell r="G934">
            <v>1.7305813709733043E-2</v>
          </cell>
          <cell r="H934">
            <v>2.4700137144907281E-2</v>
          </cell>
          <cell r="I934">
            <v>2.4400717492458705E-2</v>
          </cell>
          <cell r="J934">
            <v>2.1148982861303147E-2</v>
          </cell>
          <cell r="K934">
            <v>2.250283021546132E-2</v>
          </cell>
          <cell r="L934">
            <v>2.1013861631057808E-2</v>
          </cell>
          <cell r="M934">
            <v>1.9799733359757168E-2</v>
          </cell>
          <cell r="N934">
            <v>0.20018987920685644</v>
          </cell>
          <cell r="O934">
            <v>0.22238010067044972</v>
          </cell>
        </row>
        <row r="935">
          <cell r="A935" t="str">
            <v>RHES-SHDEM</v>
          </cell>
          <cell r="B935" t="str">
            <v>VAR_fin</v>
          </cell>
          <cell r="C935" t="str">
            <v>RHES-SHSOL</v>
          </cell>
          <cell r="D935">
            <v>0.36974761070498263</v>
          </cell>
          <cell r="E935">
            <v>0.43554408531254318</v>
          </cell>
          <cell r="F935">
            <v>0.43667812375273635</v>
          </cell>
          <cell r="G935">
            <v>0.4344151184320113</v>
          </cell>
          <cell r="H935">
            <v>0.41918696424894203</v>
          </cell>
          <cell r="I935">
            <v>0.37138728078310379</v>
          </cell>
          <cell r="J935">
            <v>0.37372075389423326</v>
          </cell>
          <cell r="K935">
            <v>0.35943456452070155</v>
          </cell>
          <cell r="L935">
            <v>0.31193961125981151</v>
          </cell>
          <cell r="M935">
            <v>0.30595403485460043</v>
          </cell>
          <cell r="N935">
            <v>0.30861703479912184</v>
          </cell>
          <cell r="O935">
            <v>0.26004311226248694</v>
          </cell>
        </row>
        <row r="936">
          <cell r="A936" t="str">
            <v>RHES-SHDEM</v>
          </cell>
          <cell r="B936" t="str">
            <v>VAR_fin</v>
          </cell>
          <cell r="C936" t="str">
            <v>RHES-SHLTHC-WOD</v>
          </cell>
          <cell r="D936">
            <v>7.5118304843879566E-3</v>
          </cell>
          <cell r="E936">
            <v>3.0793647131970498E-6</v>
          </cell>
          <cell r="G936">
            <v>1.8343803166843745E-3</v>
          </cell>
          <cell r="H936">
            <v>1.0024587764859467E-2</v>
          </cell>
          <cell r="I936">
            <v>5.3382816596718122E-3</v>
          </cell>
          <cell r="J936">
            <v>3.4566197451018337E-3</v>
          </cell>
          <cell r="K936">
            <v>6.0661777592357783E-3</v>
          </cell>
          <cell r="L936">
            <v>4.4797623539925037E-3</v>
          </cell>
          <cell r="M936">
            <v>5.2783173923334403E-3</v>
          </cell>
          <cell r="N936">
            <v>5.7773831885356208E-3</v>
          </cell>
          <cell r="O936">
            <v>1.3978788219714496E-2</v>
          </cell>
        </row>
        <row r="937">
          <cell r="A937" t="str">
            <v>RHES-SHDEM</v>
          </cell>
          <cell r="B937" t="str">
            <v>VAR_fin</v>
          </cell>
          <cell r="C937" t="str">
            <v>RHES-SHNGA</v>
          </cell>
          <cell r="D937">
            <v>17.529979803236053</v>
          </cell>
          <cell r="E937">
            <v>20.430218609209842</v>
          </cell>
          <cell r="F937">
            <v>18.277453881997509</v>
          </cell>
          <cell r="G937">
            <v>19.888701263754193</v>
          </cell>
          <cell r="H937">
            <v>20.40026525561434</v>
          </cell>
          <cell r="I937">
            <v>19.06440667296361</v>
          </cell>
          <cell r="J937">
            <v>18.539045768724211</v>
          </cell>
          <cell r="K937">
            <v>18.009051288809683</v>
          </cell>
          <cell r="L937">
            <v>16.803250501248485</v>
          </cell>
          <cell r="M937">
            <v>15.5645834860088</v>
          </cell>
          <cell r="N937">
            <v>15.243007370012045</v>
          </cell>
          <cell r="O937">
            <v>12.698506216547596</v>
          </cell>
        </row>
        <row r="938">
          <cell r="A938" t="str">
            <v>RHES-SHDEM</v>
          </cell>
          <cell r="B938" t="str">
            <v>VAR_fin</v>
          </cell>
          <cell r="C938" t="str">
            <v>RHES-SHNGAH</v>
          </cell>
          <cell r="D938">
            <v>1.3572120257790967E-2</v>
          </cell>
          <cell r="E938">
            <v>7.9464847427845524E-6</v>
          </cell>
          <cell r="F938">
            <v>1.1931518406995455E-2</v>
          </cell>
          <cell r="G938">
            <v>2.4186760556390236E-3</v>
          </cell>
          <cell r="H938">
            <v>2.7072160717101754E-2</v>
          </cell>
          <cell r="I938">
            <v>2.7039410988760389E-2</v>
          </cell>
          <cell r="J938">
            <v>2.437765568638578E-2</v>
          </cell>
          <cell r="K938">
            <v>1.6293743719770846</v>
          </cell>
          <cell r="L938">
            <v>1.6305847051579481</v>
          </cell>
          <cell r="M938">
            <v>1.6297441376543242</v>
          </cell>
          <cell r="N938">
            <v>5.1115859156520909</v>
          </cell>
          <cell r="O938">
            <v>5.1075071851250824</v>
          </cell>
        </row>
        <row r="939">
          <cell r="A939" t="str">
            <v>RHES-SHDEM</v>
          </cell>
          <cell r="B939" t="str">
            <v>VAR_fin</v>
          </cell>
          <cell r="C939" t="str">
            <v>RHES-SHCOA</v>
          </cell>
          <cell r="D939">
            <v>9.6655949855514595E-2</v>
          </cell>
          <cell r="E939">
            <v>7.1992241667269322E-2</v>
          </cell>
          <cell r="F939">
            <v>1.1121276289499875E-2</v>
          </cell>
          <cell r="G939">
            <v>2.0303304754076892E-3</v>
          </cell>
          <cell r="H939">
            <v>9.1822616973757966E-3</v>
          </cell>
          <cell r="J939">
            <v>8.3189824885626282E-4</v>
          </cell>
          <cell r="K939">
            <v>3.9863955607778457E-4</v>
          </cell>
          <cell r="L939">
            <v>2.5606668986709064E-4</v>
          </cell>
          <cell r="N939">
            <v>8.0963665015759668E-4</v>
          </cell>
          <cell r="O939">
            <v>3.0756309923451878E-4</v>
          </cell>
        </row>
        <row r="940">
          <cell r="A940" t="str">
            <v>RHES-SHDEM</v>
          </cell>
          <cell r="B940" t="str">
            <v>VAR_fin</v>
          </cell>
          <cell r="C940" t="str">
            <v>RHES-SHLFO</v>
          </cell>
          <cell r="D940">
            <v>21.62713718958199</v>
          </cell>
          <cell r="E940">
            <v>19.946198630868061</v>
          </cell>
          <cell r="F940">
            <v>20.893754798041535</v>
          </cell>
          <cell r="G940">
            <v>19.437997684414693</v>
          </cell>
          <cell r="H940">
            <v>16.009925167116904</v>
          </cell>
          <cell r="I940">
            <v>15.678478253335904</v>
          </cell>
          <cell r="J940">
            <v>15.189215469437414</v>
          </cell>
          <cell r="K940">
            <v>11.76848874093095</v>
          </cell>
          <cell r="L940">
            <v>10.545808321860726</v>
          </cell>
          <cell r="M940">
            <v>8.8802890047181204</v>
          </cell>
          <cell r="N940">
            <v>4.7728018529130383</v>
          </cell>
          <cell r="O940">
            <v>1.3913257347501067</v>
          </cell>
        </row>
        <row r="941">
          <cell r="A941" t="str">
            <v>RHES-SHDEM</v>
          </cell>
          <cell r="B941" t="str">
            <v>VAR_fin</v>
          </cell>
          <cell r="C941" t="str">
            <v>RHES-SHCON</v>
          </cell>
          <cell r="D941">
            <v>1.4466069594703261</v>
          </cell>
          <cell r="E941">
            <v>3.5279491420526505</v>
          </cell>
          <cell r="F941">
            <v>3.5275727650713429</v>
          </cell>
          <cell r="G941">
            <v>3.526996683504001</v>
          </cell>
          <cell r="H941">
            <v>3.5275325590857123</v>
          </cell>
          <cell r="I941">
            <v>3.5275768795161664</v>
          </cell>
          <cell r="J941">
            <v>3.5272801100465756</v>
          </cell>
          <cell r="K941">
            <v>3.5271012392251193</v>
          </cell>
          <cell r="L941">
            <v>3.5271034496585303</v>
          </cell>
          <cell r="M941">
            <v>3.5271273178349616</v>
          </cell>
          <cell r="N941">
            <v>3.5270611324707053</v>
          </cell>
          <cell r="O941">
            <v>3.5279667881830861</v>
          </cell>
        </row>
        <row r="942">
          <cell r="A942" t="str">
            <v>RHES-SHDEM</v>
          </cell>
          <cell r="B942" t="str">
            <v>VAR_fin</v>
          </cell>
          <cell r="C942" t="str">
            <v>RHES-SHWOD</v>
          </cell>
          <cell r="D942">
            <v>4.3590037917379414</v>
          </cell>
          <cell r="E942">
            <v>4.3869925818889444</v>
          </cell>
          <cell r="F942">
            <v>4.192066874476799</v>
          </cell>
          <cell r="G942">
            <v>3.9449327682297071</v>
          </cell>
          <cell r="H942">
            <v>3.622821618868175</v>
          </cell>
          <cell r="I942">
            <v>3.254000615891151</v>
          </cell>
          <cell r="J942">
            <v>2.8225931296016498</v>
          </cell>
          <cell r="K942">
            <v>2.424868590045389</v>
          </cell>
          <cell r="L942">
            <v>2.1637671334825979</v>
          </cell>
          <cell r="M942">
            <v>1.894196137601478</v>
          </cell>
          <cell r="N942">
            <v>1.8244312719421689</v>
          </cell>
          <cell r="O942">
            <v>1.2722220543854199</v>
          </cell>
        </row>
        <row r="943">
          <cell r="A943" t="str">
            <v>RHES-SHDEM</v>
          </cell>
          <cell r="B943" t="str">
            <v>VAR_fin</v>
          </cell>
          <cell r="C943" t="str">
            <v>RHES-SHLTHD</v>
          </cell>
          <cell r="D943">
            <v>1.8566149394890332</v>
          </cell>
          <cell r="E943">
            <v>3.5037852130439435</v>
          </cell>
          <cell r="F943">
            <v>3.4950656332423287</v>
          </cell>
          <cell r="G943">
            <v>2.7447173711136146</v>
          </cell>
          <cell r="H943">
            <v>3.2678864244734185</v>
          </cell>
          <cell r="I943">
            <v>3.109168392504317</v>
          </cell>
          <cell r="J943">
            <v>2.3444592153409132</v>
          </cell>
          <cell r="K943">
            <v>2.7481579806678487</v>
          </cell>
          <cell r="L943">
            <v>2.5650512252830504</v>
          </cell>
          <cell r="M943">
            <v>2.3742563941414807</v>
          </cell>
          <cell r="N943">
            <v>2.3263978546146982</v>
          </cell>
          <cell r="O943">
            <v>1.9369812869579957</v>
          </cell>
        </row>
        <row r="944">
          <cell r="A944" t="str">
            <v>RHES-SHDEM</v>
          </cell>
          <cell r="B944" t="str">
            <v>VAR_fin</v>
          </cell>
          <cell r="C944" t="str">
            <v>RHES-SHELCB</v>
          </cell>
          <cell r="D944">
            <v>4.2521640833796583</v>
          </cell>
          <cell r="E944">
            <v>3.7501394468152913</v>
          </cell>
          <cell r="F944">
            <v>3.8258696819417675</v>
          </cell>
          <cell r="G944">
            <v>2.7105222394049351</v>
          </cell>
          <cell r="H944">
            <v>3.2697259829559959</v>
          </cell>
          <cell r="I944">
            <v>2.563360700346148</v>
          </cell>
          <cell r="J944">
            <v>1.4269737438764787</v>
          </cell>
          <cell r="K944">
            <v>0.64293130917565189</v>
          </cell>
          <cell r="L944">
            <v>0.25552488522996047</v>
          </cell>
          <cell r="M944">
            <v>0.23619911545246269</v>
          </cell>
          <cell r="N944">
            <v>0.2315511955523237</v>
          </cell>
          <cell r="O944">
            <v>0.19221839792332421</v>
          </cell>
        </row>
        <row r="945">
          <cell r="A945" t="str">
            <v>RHES-SHDEM</v>
          </cell>
          <cell r="B945" t="str">
            <v>VAR_fin</v>
          </cell>
          <cell r="C945" t="str">
            <v>RHES-SHELCH</v>
          </cell>
          <cell r="D945">
            <v>9.1219048699357312</v>
          </cell>
          <cell r="E945">
            <v>10.27590825571971</v>
          </cell>
          <cell r="F945">
            <v>10.265479888484812</v>
          </cell>
          <cell r="G945">
            <v>10.274653226738792</v>
          </cell>
          <cell r="H945">
            <v>10.265775726423946</v>
          </cell>
          <cell r="I945">
            <v>10.272661354906402</v>
          </cell>
          <cell r="J945">
            <v>10.274247108906696</v>
          </cell>
          <cell r="K945">
            <v>10.273068893199357</v>
          </cell>
          <cell r="L945">
            <v>10.27440602644767</v>
          </cell>
          <cell r="M945">
            <v>10.273527613718691</v>
          </cell>
          <cell r="N945">
            <v>10.273904727419243</v>
          </cell>
          <cell r="O945">
            <v>10.269097012000959</v>
          </cell>
        </row>
        <row r="946">
          <cell r="A946" t="str">
            <v>RHES-SHDEM</v>
          </cell>
          <cell r="B946" t="str">
            <v>VAR_fin</v>
          </cell>
          <cell r="C946" t="str">
            <v>RHES-SHNST</v>
          </cell>
          <cell r="D946">
            <v>5.4903220884265495E-4</v>
          </cell>
          <cell r="E946">
            <v>4.9177237263376752E-5</v>
          </cell>
          <cell r="F946">
            <v>5.5392483778151837E-3</v>
          </cell>
          <cell r="G946">
            <v>8.2063417486317211E-4</v>
          </cell>
          <cell r="H946">
            <v>4.5860411509555873E-3</v>
          </cell>
          <cell r="I946">
            <v>2.0517230552761332E-3</v>
          </cell>
          <cell r="J946">
            <v>6.0673028771229028E-4</v>
          </cell>
          <cell r="K946">
            <v>1.9815265239775674E-3</v>
          </cell>
          <cell r="L946">
            <v>9.6669793134830846E-4</v>
          </cell>
          <cell r="M946">
            <v>2.0725196547053777E-3</v>
          </cell>
          <cell r="N946">
            <v>9.2691405209418978E-4</v>
          </cell>
          <cell r="O946">
            <v>4.8250934901587945E-3</v>
          </cell>
        </row>
        <row r="947">
          <cell r="A947" t="str">
            <v>D-RHEM_LTH_CHPNGA</v>
          </cell>
          <cell r="B947" t="str">
            <v>VAR_fout</v>
          </cell>
          <cell r="C947" t="str">
            <v>RHSA_LTH</v>
          </cell>
          <cell r="D947">
            <v>1.7913214729514382E-3</v>
          </cell>
          <cell r="E947">
            <v>2.237931731870595E-2</v>
          </cell>
          <cell r="F947">
            <v>1.3191781758509443E-3</v>
          </cell>
          <cell r="G947">
            <v>8.6636475995824325E-4</v>
          </cell>
          <cell r="H947">
            <v>1.9145549106562478E-3</v>
          </cell>
          <cell r="I947">
            <v>6.6105120181232324E-2</v>
          </cell>
          <cell r="J947">
            <v>3.8578299540570181E-4</v>
          </cell>
          <cell r="K947">
            <v>1.4986470895110683E-3</v>
          </cell>
          <cell r="L947">
            <v>1.0359973446584191E-2</v>
          </cell>
          <cell r="M947">
            <v>6.3426731327916551E-4</v>
          </cell>
          <cell r="N947">
            <v>3.1625631324047662E-3</v>
          </cell>
          <cell r="O947">
            <v>8.6597847546406558E-4</v>
          </cell>
        </row>
        <row r="948">
          <cell r="A948" t="str">
            <v>D-RHEM_LTH_CHPNGA</v>
          </cell>
          <cell r="B948" t="str">
            <v>VAR_fout</v>
          </cell>
          <cell r="C948" t="str">
            <v>RHEM_LTH_CHPNGA_ON</v>
          </cell>
          <cell r="D948">
            <v>4.4527929213788411E-2</v>
          </cell>
          <cell r="E948">
            <v>2.5818225184832989E-2</v>
          </cell>
          <cell r="F948">
            <v>0.19139714390588689</v>
          </cell>
          <cell r="G948">
            <v>0.50401421942943436</v>
          </cell>
          <cell r="H948">
            <v>0.53962539028505341</v>
          </cell>
          <cell r="I948">
            <v>0.60165681026343942</v>
          </cell>
          <cell r="J948">
            <v>0.52576019984074407</v>
          </cell>
          <cell r="K948">
            <v>0.58219211612414079</v>
          </cell>
          <cell r="L948">
            <v>0.55296076421747431</v>
          </cell>
          <cell r="M948">
            <v>0.52797208190592793</v>
          </cell>
          <cell r="N948">
            <v>0.65569271002437857</v>
          </cell>
          <cell r="O948">
            <v>1.0206762359153998</v>
          </cell>
        </row>
        <row r="949">
          <cell r="A949" t="str">
            <v>D-RHEM_LTH_CHPNGA</v>
          </cell>
          <cell r="B949" t="str">
            <v>VAR_fout</v>
          </cell>
          <cell r="C949" t="str">
            <v>LTH</v>
          </cell>
          <cell r="E949">
            <v>4.9676729530119325E-6</v>
          </cell>
          <cell r="F949">
            <v>5.6308647584995926E-5</v>
          </cell>
          <cell r="G949">
            <v>3.2816375545473281E-4</v>
          </cell>
          <cell r="H949">
            <v>6.1877911616119966E-4</v>
          </cell>
          <cell r="I949">
            <v>1.4600488104974576E-3</v>
          </cell>
          <cell r="J949">
            <v>1.4389755313696916E-3</v>
          </cell>
          <cell r="K949">
            <v>7.9766464538764221E-4</v>
          </cell>
          <cell r="L949">
            <v>7.4953840817981049E-4</v>
          </cell>
          <cell r="M949">
            <v>2.206813913192919E-3</v>
          </cell>
          <cell r="N949">
            <v>2.3572849391340521E-3</v>
          </cell>
          <cell r="O949">
            <v>3.263636014005119E-3</v>
          </cell>
        </row>
        <row r="950">
          <cell r="A950" t="str">
            <v>D-RHEM_LTH_CHPNGA</v>
          </cell>
          <cell r="B950" t="str">
            <v>VAR_fin</v>
          </cell>
          <cell r="C950" t="str">
            <v>RHEM_LTH_CHPNGA</v>
          </cell>
          <cell r="D950">
            <v>4.631925068673981E-2</v>
          </cell>
          <cell r="E950">
            <v>4.8202930409323282E-2</v>
          </cell>
          <cell r="F950">
            <v>0.19277263072932266</v>
          </cell>
          <cell r="G950">
            <v>0.50520874794484694</v>
          </cell>
          <cell r="H950">
            <v>0.54215872431187073</v>
          </cell>
          <cell r="I950">
            <v>0.66922197925516902</v>
          </cell>
          <cell r="J950">
            <v>0.52758495836751895</v>
          </cell>
          <cell r="K950">
            <v>0.58448842785903909</v>
          </cell>
          <cell r="L950">
            <v>0.56407027607223781</v>
          </cell>
          <cell r="M950">
            <v>0.53081316313240023</v>
          </cell>
          <cell r="N950">
            <v>0.6612125580959175</v>
          </cell>
          <cell r="O950">
            <v>1.0248058504048698</v>
          </cell>
        </row>
        <row r="951">
          <cell r="A951" t="str">
            <v>RHEM-SHLTHCHPNGA</v>
          </cell>
          <cell r="B951" t="str">
            <v>VAR_fout</v>
          </cell>
          <cell r="C951" t="str">
            <v>RHEM-SHLTHC-NGA</v>
          </cell>
          <cell r="D951">
            <v>4.373782900308084E-2</v>
          </cell>
          <cell r="E951">
            <v>6.7609995810375681E-4</v>
          </cell>
          <cell r="F951">
            <v>0.16560856415756553</v>
          </cell>
          <cell r="G951">
            <v>0.498575114644632</v>
          </cell>
          <cell r="H951">
            <v>0.50086485293947003</v>
          </cell>
          <cell r="I951">
            <v>0.51295263972606597</v>
          </cell>
          <cell r="J951">
            <v>0.51290224727798583</v>
          </cell>
          <cell r="K951">
            <v>0.50407136845770018</v>
          </cell>
          <cell r="L951">
            <v>0.50377515541022677</v>
          </cell>
          <cell r="M951">
            <v>0.5047941710858741</v>
          </cell>
          <cell r="N951">
            <v>0.64018898823825932</v>
          </cell>
          <cell r="O951">
            <v>1.0017047319487928</v>
          </cell>
        </row>
        <row r="952">
          <cell r="A952" t="str">
            <v>RHEM-SHLTHCHPNGA</v>
          </cell>
          <cell r="B952" t="str">
            <v>VAR_fin</v>
          </cell>
          <cell r="C952" t="str">
            <v>RHEM_LTH_CHPNGA_ON</v>
          </cell>
          <cell r="D952">
            <v>4.4179625255637206E-2</v>
          </cell>
          <cell r="E952">
            <v>6.8292925060985566E-4</v>
          </cell>
          <cell r="F952">
            <v>0.16728137793693476</v>
          </cell>
          <cell r="G952">
            <v>0.50361122691376936</v>
          </cell>
          <cell r="H952">
            <v>0.50592409387825288</v>
          </cell>
          <cell r="I952">
            <v>0.5181339795212786</v>
          </cell>
          <cell r="J952">
            <v>0.5180830780585719</v>
          </cell>
          <cell r="K952">
            <v>0.50916299844212121</v>
          </cell>
          <cell r="L952">
            <v>0.50886379334366372</v>
          </cell>
          <cell r="M952">
            <v>0.5098931021069435</v>
          </cell>
          <cell r="N952">
            <v>0.64665554367500944</v>
          </cell>
          <cell r="O952">
            <v>1.0118229615644379</v>
          </cell>
        </row>
        <row r="953">
          <cell r="A953" t="str">
            <v>RHEM-SHLTHCHPNGA</v>
          </cell>
          <cell r="B953" t="str">
            <v>VAR_fin</v>
          </cell>
          <cell r="C953" t="str">
            <v>RHEMLTHCHPC</v>
          </cell>
          <cell r="D953">
            <v>4.373782900308084E-2</v>
          </cell>
          <cell r="E953">
            <v>6.7609995810375681E-4</v>
          </cell>
          <cell r="F953">
            <v>0.16560856415756553</v>
          </cell>
          <cell r="G953">
            <v>0.498575114644632</v>
          </cell>
          <cell r="H953">
            <v>0.50086485293947003</v>
          </cell>
          <cell r="I953">
            <v>0.51295263972606597</v>
          </cell>
          <cell r="J953">
            <v>0.51290224727798583</v>
          </cell>
          <cell r="K953">
            <v>0.50407136845770018</v>
          </cell>
          <cell r="L953">
            <v>0.50377515541022677</v>
          </cell>
          <cell r="M953">
            <v>0.5047941710858741</v>
          </cell>
          <cell r="N953">
            <v>0.64018898823825932</v>
          </cell>
          <cell r="O953">
            <v>1.0017047319487928</v>
          </cell>
        </row>
        <row r="954">
          <cell r="A954" t="str">
            <v>RHEM-SHLTHCHPNGA</v>
          </cell>
          <cell r="B954" t="str">
            <v>VAR_ncap</v>
          </cell>
          <cell r="C954" t="str">
            <v>-</v>
          </cell>
          <cell r="D954">
            <v>4.66150269181936E-7</v>
          </cell>
          <cell r="E954">
            <v>5.4238474411434397E-5</v>
          </cell>
          <cell r="F954">
            <v>1.43067685327605E-2</v>
          </cell>
          <cell r="G954">
            <v>2.7840029770734E-2</v>
          </cell>
          <cell r="H954">
            <v>2.10847240663928E-2</v>
          </cell>
          <cell r="I954">
            <v>3.2078093848526397E-2</v>
          </cell>
          <cell r="J954">
            <v>1.9245343967640698E-2</v>
          </cell>
          <cell r="K954">
            <v>2.6619087523196201E-2</v>
          </cell>
          <cell r="L954">
            <v>2.3379191629684399E-2</v>
          </cell>
          <cell r="M954">
            <v>2.3089196012833199E-2</v>
          </cell>
          <cell r="N954">
            <v>3.2185410578756402E-2</v>
          </cell>
          <cell r="O954">
            <v>5.0480875582605299E-2</v>
          </cell>
        </row>
        <row r="955">
          <cell r="A955" t="str">
            <v>RHEM-SHLTHCHPNGA</v>
          </cell>
          <cell r="B955" t="str">
            <v>VAR_cap</v>
          </cell>
          <cell r="C955" t="str">
            <v>-</v>
          </cell>
          <cell r="D955">
            <v>6.7986671488179115E-3</v>
          </cell>
          <cell r="E955">
            <v>8.0944534996055598E-5</v>
          </cell>
          <cell r="F955">
            <v>1.4362021916148498E-2</v>
          </cell>
          <cell r="G955">
            <v>3.825471350357583E-2</v>
          </cell>
          <cell r="H955">
            <v>4.1176542004544188E-2</v>
          </cell>
          <cell r="I955">
            <v>5.0458043541693906E-2</v>
          </cell>
          <cell r="J955">
            <v>3.9744706214001703E-2</v>
          </cell>
          <cell r="K955">
            <v>4.3962756763518102E-2</v>
          </cell>
          <cell r="L955">
            <v>4.2375074439284295E-2</v>
          </cell>
          <cell r="M955">
            <v>4.0153225981062704E-2</v>
          </cell>
          <cell r="N955">
            <v>4.9881911596909495E-2</v>
          </cell>
          <cell r="O955">
            <v>7.7536797606377911E-2</v>
          </cell>
        </row>
        <row r="956">
          <cell r="A956" t="str">
            <v>D-RHES_SOLELC</v>
          </cell>
          <cell r="B956" t="str">
            <v>VAR_fout</v>
          </cell>
          <cell r="C956" t="str">
            <v>RHES_ELC</v>
          </cell>
          <cell r="D956">
            <v>1.7995259017436007</v>
          </cell>
          <cell r="E956">
            <v>1.4632206703079988</v>
          </cell>
          <cell r="F956">
            <v>2.5203286749972342</v>
          </cell>
          <cell r="G956">
            <v>4.2163708593357399</v>
          </cell>
          <cell r="H956">
            <v>4.4250770695763029</v>
          </cell>
          <cell r="I956">
            <v>5.6109003862886233</v>
          </cell>
          <cell r="J956">
            <v>4.5312582743296561</v>
          </cell>
          <cell r="K956">
            <v>4.6528298750097346</v>
          </cell>
          <cell r="L956">
            <v>5.2661364134092494</v>
          </cell>
          <cell r="M956">
            <v>5.4494242860579432</v>
          </cell>
          <cell r="N956">
            <v>7.7245849911245301</v>
          </cell>
          <cell r="O956">
            <v>8.4781125597953508</v>
          </cell>
        </row>
        <row r="957">
          <cell r="A957" t="str">
            <v>D-RHES_SOLELC</v>
          </cell>
          <cell r="B957" t="str">
            <v>VAR_fout</v>
          </cell>
          <cell r="C957" t="str">
            <v>ELC5</v>
          </cell>
          <cell r="D957">
            <v>0.3354131869910611</v>
          </cell>
          <cell r="E957">
            <v>1.9274442339412692</v>
          </cell>
          <cell r="F957">
            <v>4.4462779365318683</v>
          </cell>
          <cell r="G957">
            <v>14.698043974653963</v>
          </cell>
          <cell r="H957">
            <v>15.454029527528741</v>
          </cell>
          <cell r="I957">
            <v>15.282247038788604</v>
          </cell>
          <cell r="J957">
            <v>17.427678625105141</v>
          </cell>
          <cell r="K957">
            <v>18.425507306302059</v>
          </cell>
          <cell r="L957">
            <v>18.990047964989113</v>
          </cell>
          <cell r="M957">
            <v>20.043070550315711</v>
          </cell>
          <cell r="N957">
            <v>19.067994799609604</v>
          </cell>
          <cell r="O957">
            <v>19.672891024771847</v>
          </cell>
        </row>
        <row r="958">
          <cell r="A958" t="str">
            <v>D-RHES_SOLELC</v>
          </cell>
          <cell r="B958" t="str">
            <v>VAR_fin</v>
          </cell>
          <cell r="C958" t="str">
            <v>RHES_SOL_ELC</v>
          </cell>
          <cell r="D958">
            <v>2.1349390887346629</v>
          </cell>
          <cell r="E958">
            <v>3.3906652526389363</v>
          </cell>
          <cell r="F958">
            <v>6.9666066115290981</v>
          </cell>
          <cell r="G958">
            <v>18.914414833989689</v>
          </cell>
          <cell r="H958">
            <v>19.879106597105054</v>
          </cell>
          <cell r="I958">
            <v>20.893147425077231</v>
          </cell>
          <cell r="J958">
            <v>21.958936899434786</v>
          </cell>
          <cell r="K958">
            <v>23.078337181311799</v>
          </cell>
          <cell r="L958">
            <v>24.256184378398363</v>
          </cell>
          <cell r="M958">
            <v>25.492494836373659</v>
          </cell>
          <cell r="N958">
            <v>26.792579790734141</v>
          </cell>
          <cell r="O958">
            <v>28.151003584567199</v>
          </cell>
        </row>
        <row r="959">
          <cell r="A959" t="str">
            <v>D-DH2</v>
          </cell>
          <cell r="B959" t="str">
            <v>VAR_fout</v>
          </cell>
          <cell r="C959" t="str">
            <v>H2</v>
          </cell>
          <cell r="G959">
            <v>1.0748466382244811E-5</v>
          </cell>
          <cell r="H959">
            <v>2.9431769514206034E-4</v>
          </cell>
          <cell r="I959">
            <v>9.9060967705763342E-4</v>
          </cell>
          <cell r="J959">
            <v>1.2284242321643742E-3</v>
          </cell>
          <cell r="K959">
            <v>1.272341311972991E-3</v>
          </cell>
          <cell r="L959">
            <v>1.2755860017817562E-3</v>
          </cell>
          <cell r="M959">
            <v>1.3132050144235262E-3</v>
          </cell>
          <cell r="N959">
            <v>1.0759562024089009E-3</v>
          </cell>
          <cell r="O959">
            <v>2.1274377642413497E-3</v>
          </cell>
        </row>
        <row r="960">
          <cell r="A960" t="str">
            <v>D-DH2</v>
          </cell>
          <cell r="B960" t="str">
            <v>VAR_fin</v>
          </cell>
          <cell r="C960" t="str">
            <v>H2_E</v>
          </cell>
          <cell r="G960">
            <v>1.0857036749742236E-5</v>
          </cell>
          <cell r="H960">
            <v>2.9729060115359616E-4</v>
          </cell>
          <cell r="I960">
            <v>1.0006158354117509E-3</v>
          </cell>
          <cell r="J960">
            <v>1.2408325577417919E-3</v>
          </cell>
          <cell r="K960">
            <v>1.2851932444171625E-3</v>
          </cell>
          <cell r="L960">
            <v>1.2884707088704596E-3</v>
          </cell>
          <cell r="M960">
            <v>1.3264697115389164E-3</v>
          </cell>
          <cell r="N960">
            <v>1.0868244468776786E-3</v>
          </cell>
          <cell r="O960">
            <v>2.1489270345872208E-3</v>
          </cell>
        </row>
        <row r="961">
          <cell r="A961" t="str">
            <v>D-DH2</v>
          </cell>
          <cell r="B961" t="str">
            <v>VAR_ncap</v>
          </cell>
          <cell r="C961" t="str">
            <v>-</v>
          </cell>
          <cell r="G961">
            <v>3.55649792396875E-5</v>
          </cell>
          <cell r="H961">
            <v>5.6961941278121703E-5</v>
          </cell>
          <cell r="I961">
            <v>2.2156975976582501E-4</v>
          </cell>
          <cell r="J961">
            <v>3.1144214267402898E-5</v>
          </cell>
          <cell r="K961">
            <v>1.52749525261164E-4</v>
          </cell>
          <cell r="L961">
            <v>7.4219324549027002E-6</v>
          </cell>
          <cell r="M961">
            <v>1.16818133970985E-4</v>
          </cell>
          <cell r="N961">
            <v>1.8366257738344302E-5</v>
          </cell>
          <cell r="O961">
            <v>6.1782894266572701E-4</v>
          </cell>
        </row>
        <row r="962">
          <cell r="A962" t="str">
            <v>D-DH2</v>
          </cell>
          <cell r="B962" t="str">
            <v>VAR_cap</v>
          </cell>
          <cell r="C962" t="str">
            <v>-</v>
          </cell>
          <cell r="G962">
            <v>3.55649792396875E-5</v>
          </cell>
          <cell r="H962">
            <v>9.2526920517809304E-5</v>
          </cell>
          <cell r="I962">
            <v>3.1409668028363502E-4</v>
          </cell>
          <cell r="J962">
            <v>3.45240894551037E-4</v>
          </cell>
          <cell r="K962">
            <v>4.9799041981220097E-4</v>
          </cell>
          <cell r="L962">
            <v>5.0541235226710395E-4</v>
          </cell>
          <cell r="M962">
            <v>6.2223048623808895E-4</v>
          </cell>
          <cell r="N962">
            <v>6.2932215866064395E-4</v>
          </cell>
          <cell r="O962">
            <v>1.22286070740247E-3</v>
          </cell>
        </row>
        <row r="963">
          <cell r="A963" t="str">
            <v>ITOT-SWHHFOBR</v>
          </cell>
          <cell r="B963" t="str">
            <v>VAR_fout</v>
          </cell>
          <cell r="C963" t="str">
            <v>ITOT-SWH</v>
          </cell>
          <cell r="D963">
            <v>1.8458241012379351</v>
          </cell>
          <cell r="E963">
            <v>1.5404252884302567</v>
          </cell>
          <cell r="F963">
            <v>2.1749322546201987E-3</v>
          </cell>
          <cell r="G963">
            <v>6.2203805760865959E-4</v>
          </cell>
          <cell r="H963">
            <v>9.8382380497943076E-4</v>
          </cell>
          <cell r="I963">
            <v>8.9717725653570704E-4</v>
          </cell>
          <cell r="J963">
            <v>1.0277782824397173E-3</v>
          </cell>
        </row>
        <row r="964">
          <cell r="A964" t="str">
            <v>ITOT-SWHHFOBR</v>
          </cell>
          <cell r="B964" t="str">
            <v>VAR_fout</v>
          </cell>
          <cell r="C964" t="str">
            <v>CO2_I</v>
          </cell>
          <cell r="D964">
            <v>210.21032471114199</v>
          </cell>
          <cell r="E964">
            <v>174.674541210706</v>
          </cell>
          <cell r="F964">
            <v>0.245040378389766</v>
          </cell>
          <cell r="G964">
            <v>6.9340471134081497E-2</v>
          </cell>
          <cell r="H964">
            <v>0.108520989142686</v>
          </cell>
          <cell r="I964">
            <v>9.7937478296295497E-2</v>
          </cell>
          <cell r="J964">
            <v>0.111042957464328</v>
          </cell>
        </row>
        <row r="965">
          <cell r="A965" t="str">
            <v>ITOT-SWHHFOBR</v>
          </cell>
          <cell r="B965" t="str">
            <v>VAR_fin</v>
          </cell>
          <cell r="C965" t="str">
            <v>IHFO</v>
          </cell>
          <cell r="D965">
            <v>2.7300042170278207</v>
          </cell>
          <cell r="E965">
            <v>2.2685005352039722</v>
          </cell>
          <cell r="F965">
            <v>3.1823425764904607E-3</v>
          </cell>
          <cell r="G965">
            <v>9.0052559914391547E-4</v>
          </cell>
          <cell r="H965">
            <v>1.4093634953595583E-3</v>
          </cell>
          <cell r="I965">
            <v>1.2719153025492918E-3</v>
          </cell>
          <cell r="J965">
            <v>1.4421163307055563E-3</v>
          </cell>
        </row>
        <row r="966">
          <cell r="A966" t="str">
            <v>ITOT-SWHHFOBR</v>
          </cell>
          <cell r="B966" t="str">
            <v>VAR_ncap</v>
          </cell>
          <cell r="C966" t="str">
            <v>-</v>
          </cell>
          <cell r="D966">
            <v>4.0430754281848202E-4</v>
          </cell>
          <cell r="E966">
            <v>2.00214932681354E-5</v>
          </cell>
          <cell r="F966">
            <v>1.14698238317284E-5</v>
          </cell>
          <cell r="G966">
            <v>1.43864063338863E-5</v>
          </cell>
          <cell r="H966">
            <v>7.7307340277734901E-5</v>
          </cell>
          <cell r="I966">
            <v>1.8671870197863001E-5</v>
          </cell>
          <cell r="J966">
            <v>3.4593828241597199E-5</v>
          </cell>
          <cell r="K966">
            <v>1.41015014026191E-5</v>
          </cell>
          <cell r="L966">
            <v>2.1045354772130499E-5</v>
          </cell>
          <cell r="M966">
            <v>1.6960726136910001E-5</v>
          </cell>
          <cell r="N966">
            <v>1.4296994733571201E-5</v>
          </cell>
          <cell r="O966">
            <v>9.2091715904783097E-6</v>
          </cell>
        </row>
        <row r="967">
          <cell r="A967" t="str">
            <v>ITOT-SWHHFOBR</v>
          </cell>
          <cell r="B967" t="str">
            <v>VAR_cap</v>
          </cell>
          <cell r="C967" t="str">
            <v>-</v>
          </cell>
          <cell r="D967">
            <v>0.10112130754281848</v>
          </cell>
          <cell r="E967">
            <v>0.10109553472910442</v>
          </cell>
          <cell r="F967">
            <v>2.0652593277734055E-4</v>
          </cell>
          <cell r="G967">
            <v>5.9194353742228478E-5</v>
          </cell>
          <cell r="H967">
            <v>9.291523344884256E-5</v>
          </cell>
          <cell r="I967">
            <v>8.5260221128394397E-5</v>
          </cell>
          <cell r="J967">
            <v>9.7341159438874892E-5</v>
          </cell>
          <cell r="K967">
            <v>-2.0746379340362312E-5</v>
          </cell>
          <cell r="L967">
            <v>-3.5672216791658972E-6</v>
          </cell>
          <cell r="M967">
            <v>-2.3915471297366704E-5</v>
          </cell>
          <cell r="N967">
            <v>-5.8466913534114002E-6</v>
          </cell>
          <cell r="O967">
            <v>-2.5169093585056407E-5</v>
          </cell>
        </row>
        <row r="968">
          <cell r="A968" t="str">
            <v>RHSA-WHSTG-ELCHP</v>
          </cell>
          <cell r="B968" t="str">
            <v>VAR_fout</v>
          </cell>
          <cell r="C968" t="str">
            <v>RHSA-WHAELCH</v>
          </cell>
          <cell r="D968">
            <v>7.6590664039796805E-7</v>
          </cell>
          <cell r="E968">
            <v>2.9791779976705984E-6</v>
          </cell>
          <cell r="F968">
            <v>0.8638984191159842</v>
          </cell>
          <cell r="G968">
            <v>1.1691473548286413</v>
          </cell>
          <cell r="H968">
            <v>1.2476890642187075</v>
          </cell>
          <cell r="I968">
            <v>1.5255290083165942</v>
          </cell>
          <cell r="J968">
            <v>1.5451948137094074</v>
          </cell>
          <cell r="K968">
            <v>1.6363223905479423</v>
          </cell>
          <cell r="L968">
            <v>1.9635286795851359</v>
          </cell>
          <cell r="M968">
            <v>1.9874763587638988</v>
          </cell>
          <cell r="N968">
            <v>1.7259704762260248</v>
          </cell>
          <cell r="O968">
            <v>1.9297050460805623</v>
          </cell>
        </row>
        <row r="969">
          <cell r="A969" t="str">
            <v>RHSA-WHSTG-ELCHP</v>
          </cell>
          <cell r="B969" t="str">
            <v>VAR_fin</v>
          </cell>
          <cell r="C969" t="str">
            <v>RHSA-WHAELCH</v>
          </cell>
          <cell r="D969">
            <v>1.5105885449763437E-5</v>
          </cell>
          <cell r="E969">
            <v>1.0794189251905548E-5</v>
          </cell>
          <cell r="F969">
            <v>0.86392935137276761</v>
          </cell>
          <cell r="G969">
            <v>1.1691800975217872</v>
          </cell>
          <cell r="H969">
            <v>1.2477417359449707</v>
          </cell>
          <cell r="I969">
            <v>1.525594514175151</v>
          </cell>
          <cell r="J969">
            <v>1.5452637402321678</v>
          </cell>
          <cell r="K969">
            <v>1.6363962537952073</v>
          </cell>
          <cell r="L969">
            <v>1.9636231173755807</v>
          </cell>
          <cell r="M969">
            <v>1.9875697721927397</v>
          </cell>
          <cell r="N969">
            <v>1.7260553037737254</v>
          </cell>
          <cell r="O969">
            <v>1.9298218572567389</v>
          </cell>
        </row>
        <row r="970">
          <cell r="A970" t="str">
            <v>RHSA-WHSTG-ELCHP</v>
          </cell>
          <cell r="B970" t="str">
            <v>VAR_ncap</v>
          </cell>
          <cell r="C970" t="str">
            <v>-</v>
          </cell>
          <cell r="D970">
            <v>6.1857446537775303E-3</v>
          </cell>
          <cell r="E970">
            <v>5.17667311722948E-2</v>
          </cell>
          <cell r="F970">
            <v>2.1517238160414402E-2</v>
          </cell>
          <cell r="G970">
            <v>1.6970154651748101E-2</v>
          </cell>
          <cell r="H970">
            <v>5.8213244086728698E-2</v>
          </cell>
          <cell r="I970">
            <v>5.2382221144747103E-2</v>
          </cell>
          <cell r="J970">
            <v>2.3328246040828501E-2</v>
          </cell>
          <cell r="K970">
            <v>5.8856961131239401E-2</v>
          </cell>
          <cell r="L970">
            <v>8.0688698085363497E-2</v>
          </cell>
          <cell r="M970">
            <v>3.0479444534369401E-2</v>
          </cell>
          <cell r="N970">
            <v>5.04509825837118E-2</v>
          </cell>
          <cell r="O970">
            <v>8.6612670758590402E-2</v>
          </cell>
        </row>
        <row r="971">
          <cell r="A971" t="str">
            <v>RHSA-WHSTG-ELCHP</v>
          </cell>
          <cell r="B971" t="str">
            <v>VAR_cap</v>
          </cell>
          <cell r="C971" t="str">
            <v>-</v>
          </cell>
          <cell r="D971">
            <v>6.1869841831806187E-3</v>
          </cell>
          <cell r="E971">
            <v>5.7912656979523698E-2</v>
          </cell>
          <cell r="F971">
            <v>7.9410977378980951E-2</v>
          </cell>
          <cell r="G971">
            <v>9.6367858086424313E-2</v>
          </cell>
          <cell r="H971">
            <v>0.12469054045955694</v>
          </cell>
          <cell r="I971">
            <v>0.12876754381052782</v>
          </cell>
          <cell r="J971">
            <v>0.13385606011119539</v>
          </cell>
          <cell r="K971">
            <v>0.13438942460863113</v>
          </cell>
          <cell r="L971">
            <v>0.1675711767372432</v>
          </cell>
          <cell r="M971">
            <v>0.16972225639201044</v>
          </cell>
          <cell r="N971">
            <v>0.14606315642061155</v>
          </cell>
          <cell r="O971">
            <v>0.16723426655527848</v>
          </cell>
        </row>
        <row r="972">
          <cell r="A972" t="str">
            <v>ITOT-SWHSTG-ELCHP</v>
          </cell>
          <cell r="B972" t="str">
            <v>VAR_fout</v>
          </cell>
          <cell r="C972" t="str">
            <v>ITOT-SWHAELCH</v>
          </cell>
          <cell r="D972">
            <v>3.9027900295834727E-4</v>
          </cell>
          <cell r="E972">
            <v>9.2832520848441628E-5</v>
          </cell>
          <cell r="F972">
            <v>4.1018367706349562E-3</v>
          </cell>
          <cell r="G972">
            <v>1.4266764464530509E-2</v>
          </cell>
          <cell r="H972">
            <v>2.8650910340638552E-3</v>
          </cell>
          <cell r="I972">
            <v>2.9785137399629641E-3</v>
          </cell>
          <cell r="J972">
            <v>4.7434900514528354E-3</v>
          </cell>
          <cell r="K972">
            <v>8.831647089503146E-2</v>
          </cell>
          <cell r="L972">
            <v>0.15310663796176321</v>
          </cell>
          <cell r="M972">
            <v>0.1780038464465509</v>
          </cell>
          <cell r="N972">
            <v>0.25617100477334476</v>
          </cell>
          <cell r="O972">
            <v>0.33310038463873376</v>
          </cell>
        </row>
        <row r="973">
          <cell r="A973" t="str">
            <v>ITOT-SWHSTG-ELCHP</v>
          </cell>
          <cell r="B973" t="str">
            <v>VAR_fin</v>
          </cell>
          <cell r="C973" t="str">
            <v>ITOT-SWHAELCH</v>
          </cell>
          <cell r="D973">
            <v>5.2680923881636842E-4</v>
          </cell>
          <cell r="E973">
            <v>1.1741998218293196E-4</v>
          </cell>
          <cell r="F973">
            <v>5.3114830541314707E-3</v>
          </cell>
          <cell r="G973">
            <v>1.7859704714075445E-2</v>
          </cell>
          <cell r="H973">
            <v>3.4529678681321E-3</v>
          </cell>
          <cell r="I973">
            <v>3.5136425202500826E-3</v>
          </cell>
          <cell r="J973">
            <v>5.4601110720168431E-3</v>
          </cell>
          <cell r="K973">
            <v>9.8149528389125468E-2</v>
          </cell>
          <cell r="L973">
            <v>0.17014686819775104</v>
          </cell>
          <cell r="M973">
            <v>0.19781215369812707</v>
          </cell>
          <cell r="N973">
            <v>0.28467645538470887</v>
          </cell>
          <cell r="O973">
            <v>0.37016442725181209</v>
          </cell>
        </row>
        <row r="974">
          <cell r="A974" t="str">
            <v>ITOT-SWHSTG-ELCHP</v>
          </cell>
          <cell r="B974" t="str">
            <v>VAR_ncap</v>
          </cell>
          <cell r="C974" t="str">
            <v>-</v>
          </cell>
          <cell r="D974">
            <v>1.7812538700395199E-2</v>
          </cell>
          <cell r="E974">
            <v>2.81079111726317E-4</v>
          </cell>
          <cell r="F974">
            <v>2.7512901905293399E-2</v>
          </cell>
          <cell r="G974">
            <v>2.8981750142411E-2</v>
          </cell>
          <cell r="H974">
            <v>4.4068007584121702E-2</v>
          </cell>
          <cell r="I974">
            <v>4.0221317867275799E-2</v>
          </cell>
          <cell r="J974">
            <v>2.9216714542323701E-2</v>
          </cell>
          <cell r="K974">
            <v>4.3947166248630501E-2</v>
          </cell>
          <cell r="L974">
            <v>3.8122117426578499E-2</v>
          </cell>
          <cell r="M974">
            <v>4.5614313132719998E-2</v>
          </cell>
          <cell r="N974">
            <v>4.7994156656679103E-2</v>
          </cell>
          <cell r="O974">
            <v>3.3544276908680899E-2</v>
          </cell>
        </row>
        <row r="975">
          <cell r="A975" t="str">
            <v>ITOT-SWHSTG-ELCHP</v>
          </cell>
          <cell r="B975" t="str">
            <v>VAR_cap</v>
          </cell>
          <cell r="C975" t="str">
            <v>-</v>
          </cell>
          <cell r="D975">
            <v>1.7812538700395199E-2</v>
          </cell>
          <cell r="E975">
            <v>1.79565484283787E-2</v>
          </cell>
          <cell r="F975">
            <v>4.5435647000677676E-2</v>
          </cell>
          <cell r="G975">
            <v>7.4465859158822076E-2</v>
          </cell>
          <cell r="H975">
            <v>0.10507685767502646</v>
          </cell>
          <cell r="I975">
            <v>0.11344188760034893</v>
          </cell>
          <cell r="J975">
            <v>0.11342424913803871</v>
          </cell>
          <cell r="K975">
            <v>0.11315430399931521</v>
          </cell>
          <cell r="L975">
            <v>0.11330980242242183</v>
          </cell>
          <cell r="M975">
            <v>0.1272984303839419</v>
          </cell>
          <cell r="N975">
            <v>0.12701288031274624</v>
          </cell>
          <cell r="O975">
            <v>0.12679391449412117</v>
          </cell>
        </row>
        <row r="976">
          <cell r="A976" t="str">
            <v>D-RHNS_LTH_CHPWOD</v>
          </cell>
          <cell r="B976" t="str">
            <v>VAR_fout</v>
          </cell>
          <cell r="C976" t="str">
            <v>RHNS_LTH_CHPWOD_ON</v>
          </cell>
          <cell r="D976">
            <v>3.9204893535391104E-5</v>
          </cell>
          <cell r="E976">
            <v>3.3842401249832479E-5</v>
          </cell>
          <cell r="F976">
            <v>1.9661275030949621E-5</v>
          </cell>
          <cell r="G976">
            <v>1.8744670142417414E-3</v>
          </cell>
          <cell r="H976">
            <v>4.0972046638338274E-3</v>
          </cell>
          <cell r="I976">
            <v>4.0349234857913448E-3</v>
          </cell>
          <cell r="J976">
            <v>3.8711045668115072E-3</v>
          </cell>
          <cell r="K976">
            <v>1.0154710579460838E-2</v>
          </cell>
          <cell r="L976">
            <v>1.0175661721664014E-2</v>
          </cell>
          <cell r="M976">
            <v>1.3381983213957985E-2</v>
          </cell>
          <cell r="N976">
            <v>5.9249883266293962E-3</v>
          </cell>
          <cell r="O976">
            <v>9.7218733998038192E-3</v>
          </cell>
        </row>
        <row r="977">
          <cell r="A977" t="str">
            <v>D-RHNS_LTH_CHPWOD</v>
          </cell>
          <cell r="B977" t="str">
            <v>VAR_fout</v>
          </cell>
          <cell r="C977" t="str">
            <v>RHSA_LTH</v>
          </cell>
          <cell r="D977">
            <v>3.1529468688463971E-5</v>
          </cell>
          <cell r="E977">
            <v>1.217300960710601E-4</v>
          </cell>
          <cell r="F977">
            <v>5.1890219626114366E-5</v>
          </cell>
          <cell r="G977">
            <v>1.3994171027071508E-5</v>
          </cell>
          <cell r="H977">
            <v>3.1942713233903029E-5</v>
          </cell>
          <cell r="I977">
            <v>6.9530757750023013E-5</v>
          </cell>
          <cell r="J977">
            <v>3.5495692244725753E-5</v>
          </cell>
          <cell r="K977">
            <v>5.9052008898104929E-4</v>
          </cell>
          <cell r="L977">
            <v>4.008964298684809E-4</v>
          </cell>
          <cell r="M977">
            <v>8.2555999597449286E-5</v>
          </cell>
          <cell r="N977">
            <v>2.0942000414874578E-4</v>
          </cell>
          <cell r="O977">
            <v>9.9781977407557124E-5</v>
          </cell>
        </row>
        <row r="978">
          <cell r="A978" t="str">
            <v>D-RHNS_LTH_CHPWOD</v>
          </cell>
          <cell r="B978" t="str">
            <v>VAR_fout</v>
          </cell>
          <cell r="C978" t="str">
            <v>LTH</v>
          </cell>
          <cell r="E978">
            <v>2.3262437110380433E-6</v>
          </cell>
          <cell r="F978">
            <v>4.6093661362616149E-6</v>
          </cell>
          <cell r="G978">
            <v>3.710519159984648E-7</v>
          </cell>
          <cell r="H978">
            <v>3.9387920004012133E-6</v>
          </cell>
          <cell r="I978">
            <v>5.4439940710395193E-6</v>
          </cell>
          <cell r="J978">
            <v>6.5879004593909761E-6</v>
          </cell>
          <cell r="K978">
            <v>2.0672190108813574E-5</v>
          </cell>
          <cell r="L978">
            <v>2.1836455694292209E-5</v>
          </cell>
          <cell r="M978">
            <v>3.31663036373777E-5</v>
          </cell>
          <cell r="N978">
            <v>1.7764199950175982E-5</v>
          </cell>
          <cell r="O978">
            <v>3.186153027972873E-5</v>
          </cell>
        </row>
        <row r="979">
          <cell r="A979" t="str">
            <v>D-RHNS_LTH_CHPWOD</v>
          </cell>
          <cell r="B979" t="str">
            <v>VAR_fin</v>
          </cell>
          <cell r="C979" t="str">
            <v>RHNS_LTH_CHPWOD</v>
          </cell>
          <cell r="D979">
            <v>7.0734362223855108E-5</v>
          </cell>
          <cell r="E979">
            <v>1.578987410319306E-4</v>
          </cell>
          <cell r="F979">
            <v>7.6160860793325646E-5</v>
          </cell>
          <cell r="G979">
            <v>1.8899082103798026E-3</v>
          </cell>
          <cell r="H979">
            <v>4.1336432045233108E-3</v>
          </cell>
          <cell r="I979">
            <v>4.1103335991691898E-3</v>
          </cell>
          <cell r="J979">
            <v>3.9136447544813905E-3</v>
          </cell>
          <cell r="K979">
            <v>1.0765902858550693E-2</v>
          </cell>
          <cell r="L979">
            <v>1.0598454345792237E-2</v>
          </cell>
          <cell r="M979">
            <v>1.3497705517192817E-2</v>
          </cell>
          <cell r="N979">
            <v>6.1521725307283146E-3</v>
          </cell>
          <cell r="O979">
            <v>9.853516907491101E-3</v>
          </cell>
        </row>
        <row r="980">
          <cell r="A980" t="str">
            <v>D-SBIO</v>
          </cell>
          <cell r="B980" t="str">
            <v>VAR_fout</v>
          </cell>
          <cell r="C980" t="str">
            <v>SBIO</v>
          </cell>
          <cell r="D980">
            <v>4.0477018834402987</v>
          </cell>
          <cell r="E980">
            <v>4.5834789601622532</v>
          </cell>
          <cell r="F980">
            <v>4.66247900000314</v>
          </cell>
          <cell r="G980">
            <v>4.6542984907350009</v>
          </cell>
          <cell r="H980">
            <v>4.7674741667079541</v>
          </cell>
          <cell r="I980">
            <v>4.8651972469804994</v>
          </cell>
          <cell r="J980">
            <v>4.9377928240647</v>
          </cell>
          <cell r="K980">
            <v>5.2412890442641027</v>
          </cell>
          <cell r="L980">
            <v>5.4370904050030644</v>
          </cell>
          <cell r="M980">
            <v>5.4374218302369535</v>
          </cell>
          <cell r="N980">
            <v>6.3927060169477041</v>
          </cell>
          <cell r="O980">
            <v>6.7045792190132358</v>
          </cell>
        </row>
        <row r="981">
          <cell r="A981" t="str">
            <v>D-SBIO</v>
          </cell>
          <cell r="B981" t="str">
            <v>VAR_fin</v>
          </cell>
          <cell r="C981" t="str">
            <v>BIO</v>
          </cell>
          <cell r="D981">
            <v>4.0477018834402987</v>
          </cell>
          <cell r="E981">
            <v>4.5834789601622532</v>
          </cell>
          <cell r="F981">
            <v>4.66247900000314</v>
          </cell>
          <cell r="G981">
            <v>4.6542984907350009</v>
          </cell>
          <cell r="H981">
            <v>4.7674741667079541</v>
          </cell>
          <cell r="I981">
            <v>4.8651972469804994</v>
          </cell>
          <cell r="J981">
            <v>4.9377928240647</v>
          </cell>
          <cell r="K981">
            <v>5.2412890442641027</v>
          </cell>
          <cell r="L981">
            <v>5.4370904050030644</v>
          </cell>
          <cell r="M981">
            <v>5.4374218302369535</v>
          </cell>
          <cell r="N981">
            <v>6.3927060169477041</v>
          </cell>
          <cell r="O981">
            <v>6.7045792190132358</v>
          </cell>
        </row>
        <row r="982">
          <cell r="A982" t="str">
            <v>RHEM-SHDEM</v>
          </cell>
          <cell r="B982" t="str">
            <v>VAR_fout</v>
          </cell>
          <cell r="C982" t="str">
            <v>RHEM-SHD</v>
          </cell>
          <cell r="D982">
            <v>66.986774791699034</v>
          </cell>
          <cell r="E982">
            <v>66.782026660973159</v>
          </cell>
          <cell r="F982">
            <v>65.887030306479787</v>
          </cell>
          <cell r="G982">
            <v>64.87837932369753</v>
          </cell>
          <cell r="H982">
            <v>63.959017636009939</v>
          </cell>
          <cell r="I982">
            <v>62.328030452496208</v>
          </cell>
          <cell r="J982">
            <v>60.28450390115048</v>
          </cell>
          <cell r="K982">
            <v>58.319860093770238</v>
          </cell>
          <cell r="L982">
            <v>55.800958860111159</v>
          </cell>
          <cell r="M982">
            <v>52.537901814509972</v>
          </cell>
          <cell r="N982">
            <v>51.531428599672736</v>
          </cell>
          <cell r="O982">
            <v>41.792267123779538</v>
          </cell>
        </row>
        <row r="983">
          <cell r="A983" t="str">
            <v>RHEM-SHDEM</v>
          </cell>
          <cell r="B983" t="str">
            <v>VAR_fin</v>
          </cell>
          <cell r="C983" t="str">
            <v>RHEM-SHNST</v>
          </cell>
          <cell r="D983">
            <v>3.9956497332836642E-3</v>
          </cell>
          <cell r="E983">
            <v>5.692391021366568E-5</v>
          </cell>
          <cell r="F983">
            <v>2.0171615447480812E-3</v>
          </cell>
          <cell r="G983">
            <v>8.6873612150930126E-4</v>
          </cell>
          <cell r="H983">
            <v>5.3051567084594258E-3</v>
          </cell>
          <cell r="I983">
            <v>2.4493052473251735E-3</v>
          </cell>
          <cell r="J983">
            <v>1.2734057160357819E-3</v>
          </cell>
          <cell r="K983">
            <v>3.4099090510770268E-3</v>
          </cell>
          <cell r="L983">
            <v>1.568836079917971E-3</v>
          </cell>
          <cell r="M983">
            <v>2.7824633069123013E-3</v>
          </cell>
          <cell r="N983">
            <v>2.1811887219900326E-3</v>
          </cell>
          <cell r="O983">
            <v>3.9470386546707889E-3</v>
          </cell>
        </row>
        <row r="984">
          <cell r="A984" t="str">
            <v>RHEM-SHDEM</v>
          </cell>
          <cell r="B984" t="str">
            <v>VAR_fin</v>
          </cell>
          <cell r="C984" t="str">
            <v>RHEM-SHPLT</v>
          </cell>
          <cell r="D984">
            <v>1.3985241724178745</v>
          </cell>
          <cell r="E984">
            <v>1.6077889190072863</v>
          </cell>
          <cell r="F984">
            <v>1.6062349516850871</v>
          </cell>
          <cell r="G984">
            <v>1.6071405763833453</v>
          </cell>
          <cell r="H984">
            <v>1.6013108725254073</v>
          </cell>
          <cell r="I984">
            <v>1.6050708794802699</v>
          </cell>
          <cell r="J984">
            <v>1.6067508309267837</v>
          </cell>
          <cell r="K984">
            <v>1.6045984696922573</v>
          </cell>
          <cell r="L984">
            <v>1.6064520362233008</v>
          </cell>
          <cell r="M984">
            <v>1.60531098918293</v>
          </cell>
          <cell r="N984">
            <v>1.6057985918014916</v>
          </cell>
          <cell r="O984">
            <v>1.60447674880636</v>
          </cell>
        </row>
        <row r="985">
          <cell r="A985" t="str">
            <v>RHEM-SHDEM</v>
          </cell>
          <cell r="B985" t="str">
            <v>VAR_fin</v>
          </cell>
          <cell r="C985" t="str">
            <v>RHEM-SHNGAH</v>
          </cell>
          <cell r="D985">
            <v>5.9955545763615238E-4</v>
          </cell>
          <cell r="E985">
            <v>6.8908091741396128E-6</v>
          </cell>
          <cell r="F985">
            <v>4.764726212892526E-3</v>
          </cell>
          <cell r="G985">
            <v>3.3847315918963988E-3</v>
          </cell>
          <cell r="H985">
            <v>1.2248233679084499E-2</v>
          </cell>
          <cell r="I985">
            <v>6.0268289523332953E-3</v>
          </cell>
          <cell r="J985">
            <v>3.396310908841702E-3</v>
          </cell>
          <cell r="K985">
            <v>8.1299180245533089E-3</v>
          </cell>
          <cell r="L985">
            <v>5.4482463712638828E-3</v>
          </cell>
          <cell r="M985">
            <v>6.6190789132896449E-3</v>
          </cell>
          <cell r="N985">
            <v>5.2235280127890379E-3</v>
          </cell>
          <cell r="O985">
            <v>1.4491732681568312E-2</v>
          </cell>
        </row>
        <row r="986">
          <cell r="A986" t="str">
            <v>RHEM-SHDEM</v>
          </cell>
          <cell r="B986" t="str">
            <v>VAR_fin</v>
          </cell>
          <cell r="C986" t="str">
            <v>RHEM-SHLTHC-WOD</v>
          </cell>
          <cell r="D986">
            <v>1.0689350751806067E-2</v>
          </cell>
          <cell r="E986">
            <v>1.9015168275512551E-6</v>
          </cell>
          <cell r="G986">
            <v>3.8410860212610637E-3</v>
          </cell>
          <cell r="H986">
            <v>1.2873860623533448E-2</v>
          </cell>
          <cell r="I986">
            <v>7.150706605706169E-3</v>
          </cell>
          <cell r="J986">
            <v>4.6918433756349583E-3</v>
          </cell>
          <cell r="K986">
            <v>1.3192272807540853E-2</v>
          </cell>
          <cell r="L986">
            <v>1.167741019202412E-2</v>
          </cell>
          <cell r="M986">
            <v>1.0022279404409338E-2</v>
          </cell>
          <cell r="N986">
            <v>1.0670339008740365E-2</v>
          </cell>
          <cell r="O986">
            <v>2.1510986286328991E-2</v>
          </cell>
        </row>
        <row r="987">
          <cell r="A987" t="str">
            <v>RHEM-SHDEM</v>
          </cell>
          <cell r="B987" t="str">
            <v>VAR_fin</v>
          </cell>
          <cell r="C987" t="str">
            <v>RHEM-SHSOL</v>
          </cell>
          <cell r="D987">
            <v>0.40643385958249084</v>
          </cell>
          <cell r="E987">
            <v>0.47093094876144431</v>
          </cell>
          <cell r="F987">
            <v>0.46919453303094516</v>
          </cell>
          <cell r="G987">
            <v>0.47011639480915435</v>
          </cell>
          <cell r="H987">
            <v>0.44535178272145537</v>
          </cell>
          <cell r="I987">
            <v>0.4702748556775333</v>
          </cell>
          <cell r="J987">
            <v>0.46859642955663477</v>
          </cell>
          <cell r="K987">
            <v>0.42365795346084822</v>
          </cell>
          <cell r="L987">
            <v>0.46054535997118778</v>
          </cell>
          <cell r="M987">
            <v>0.40136331779374546</v>
          </cell>
          <cell r="N987">
            <v>0.4343347357262991</v>
          </cell>
          <cell r="O987">
            <v>0.36769782833509534</v>
          </cell>
        </row>
        <row r="988">
          <cell r="A988" t="str">
            <v>RHEM-SHDEM</v>
          </cell>
          <cell r="B988" t="str">
            <v>VAR_fin</v>
          </cell>
          <cell r="C988" t="str">
            <v>RHEM-SHLTHD</v>
          </cell>
          <cell r="D988">
            <v>2.0356459357474175</v>
          </cell>
          <cell r="E988">
            <v>3.7887103547011174</v>
          </cell>
          <cell r="F988">
            <v>4.1721206809566622</v>
          </cell>
          <cell r="G988">
            <v>3.6938570779528246</v>
          </cell>
          <cell r="H988">
            <v>3.138493825121957</v>
          </cell>
          <cell r="I988">
            <v>3.898203054652936</v>
          </cell>
          <cell r="J988">
            <v>3.7984030395800943</v>
          </cell>
          <cell r="K988">
            <v>3.6647118305849826</v>
          </cell>
          <cell r="L988">
            <v>3.4985416087488428</v>
          </cell>
          <cell r="M988">
            <v>3.1095201053400778</v>
          </cell>
          <cell r="N988">
            <v>3.212537127415596</v>
          </cell>
          <cell r="O988">
            <v>2.5600090933356503</v>
          </cell>
        </row>
        <row r="989">
          <cell r="A989" t="str">
            <v>RHEM-SHDEM</v>
          </cell>
          <cell r="B989" t="str">
            <v>VAR_fin</v>
          </cell>
          <cell r="C989" t="str">
            <v>RHEM-SHNGA</v>
          </cell>
          <cell r="D989">
            <v>18.97305590287559</v>
          </cell>
          <cell r="E989">
            <v>18.866995414505784</v>
          </cell>
          <cell r="F989">
            <v>18.981634384737454</v>
          </cell>
          <cell r="G989">
            <v>18.856897299500115</v>
          </cell>
          <cell r="H989">
            <v>18.459245671514658</v>
          </cell>
          <cell r="I989">
            <v>17.862756736111223</v>
          </cell>
          <cell r="J989">
            <v>17.288439599842306</v>
          </cell>
          <cell r="K989">
            <v>16.728485029207505</v>
          </cell>
          <cell r="L989">
            <v>15.963132953765879</v>
          </cell>
          <cell r="M989">
            <v>14.967104689302687</v>
          </cell>
          <cell r="N989">
            <v>14.66207117825604</v>
          </cell>
          <cell r="O989">
            <v>11.68145769053946</v>
          </cell>
        </row>
        <row r="990">
          <cell r="A990" t="str">
            <v>RHEM-SHDEM</v>
          </cell>
          <cell r="B990" t="str">
            <v>VAR_fin</v>
          </cell>
          <cell r="C990" t="str">
            <v>RHEM-SHELCB</v>
          </cell>
          <cell r="D990">
            <v>4.6112204707938984</v>
          </cell>
          <cell r="E990">
            <v>3.7253966261704345</v>
          </cell>
          <cell r="F990">
            <v>3.9898550852349968</v>
          </cell>
          <cell r="G990">
            <v>3.0613911273959946</v>
          </cell>
          <cell r="H990">
            <v>1.9145338603179323</v>
          </cell>
          <cell r="I990">
            <v>2.1126187058951196</v>
          </cell>
          <cell r="J990">
            <v>1.6227796666910035</v>
          </cell>
          <cell r="K990">
            <v>1.3961135209094884</v>
          </cell>
          <cell r="L990">
            <v>0.34498594855158149</v>
          </cell>
          <cell r="M990">
            <v>0.32256466719340343</v>
          </cell>
          <cell r="N990">
            <v>0.31645673133841834</v>
          </cell>
          <cell r="O990">
            <v>0.25207776690931549</v>
          </cell>
        </row>
        <row r="991">
          <cell r="A991" t="str">
            <v>RHEM-SHDEM</v>
          </cell>
          <cell r="B991" t="str">
            <v>VAR_fin</v>
          </cell>
          <cell r="C991" t="str">
            <v>RHEM-SHELCH</v>
          </cell>
          <cell r="D991">
            <v>9.8798503571331082</v>
          </cell>
          <cell r="E991">
            <v>11.655193105434121</v>
          </cell>
          <cell r="F991">
            <v>11.653175635099894</v>
          </cell>
          <cell r="G991">
            <v>11.654503521496661</v>
          </cell>
          <cell r="H991">
            <v>16.153688932814518</v>
          </cell>
          <cell r="I991">
            <v>16.159923149249686</v>
          </cell>
          <cell r="J991">
            <v>16.161966265773188</v>
          </cell>
          <cell r="K991">
            <v>16.158708534798865</v>
          </cell>
          <cell r="L991">
            <v>16.161368445223051</v>
          </cell>
          <cell r="M991">
            <v>16.159613045204051</v>
          </cell>
          <cell r="N991">
            <v>16.161492363229986</v>
          </cell>
          <cell r="O991">
            <v>16.157825829930474</v>
          </cell>
        </row>
        <row r="992">
          <cell r="A992" t="str">
            <v>RHEM-SHDEM</v>
          </cell>
          <cell r="B992" t="str">
            <v>VAR_fin</v>
          </cell>
          <cell r="C992" t="str">
            <v>RHEM-SHLFO</v>
          </cell>
          <cell r="D992">
            <v>23.408317493369097</v>
          </cell>
          <cell r="E992">
            <v>18.584567699316949</v>
          </cell>
          <cell r="F992">
            <v>17.569628054232215</v>
          </cell>
          <cell r="G992">
            <v>19.242227053915325</v>
          </cell>
          <cell r="H992">
            <v>16.199816128780121</v>
          </cell>
          <cell r="I992">
            <v>14.46351343025375</v>
          </cell>
          <cell r="J992">
            <v>13.89426244626052</v>
          </cell>
          <cell r="K992">
            <v>13.188829355593541</v>
          </cell>
          <cell r="L992">
            <v>12.7342391840819</v>
          </cell>
          <cell r="M992">
            <v>11.118665284245628</v>
          </cell>
          <cell r="N992">
            <v>10.201277161877691</v>
          </cell>
          <cell r="O992">
            <v>4.3509511191449892</v>
          </cell>
        </row>
        <row r="993">
          <cell r="A993" t="str">
            <v>RHEM-SHDEM</v>
          </cell>
          <cell r="B993" t="str">
            <v>VAR_fin</v>
          </cell>
          <cell r="C993" t="str">
            <v>RHEM-SHCON</v>
          </cell>
          <cell r="D993">
            <v>1.4666463304838768</v>
          </cell>
          <cell r="E993">
            <v>3.4136746826736597</v>
          </cell>
          <cell r="F993">
            <v>3.4133509273180103</v>
          </cell>
          <cell r="G993">
            <v>3.4129239703797389</v>
          </cell>
          <cell r="H993">
            <v>3.4131868337166651</v>
          </cell>
          <cell r="I993">
            <v>3.413209016598707</v>
          </cell>
          <cell r="J993">
            <v>3.41304318856373</v>
          </cell>
          <cell r="K993">
            <v>3.4125557792929326</v>
          </cell>
          <cell r="L993">
            <v>3.4126608359350499</v>
          </cell>
          <cell r="M993">
            <v>3.4127480392604745</v>
          </cell>
          <cell r="N993">
            <v>3.4125890852464633</v>
          </cell>
          <cell r="O993">
            <v>3.4134126180805802</v>
          </cell>
        </row>
        <row r="994">
          <cell r="A994" t="str">
            <v>RHEM-SHDEM</v>
          </cell>
          <cell r="B994" t="str">
            <v>VAR_fin</v>
          </cell>
          <cell r="C994" t="str">
            <v>RHEM-SHWOD</v>
          </cell>
          <cell r="D994">
            <v>4.7273106283839095</v>
          </cell>
          <cell r="E994">
            <v>4.6693920754697062</v>
          </cell>
          <cell r="F994">
            <v>3.8619430155949175</v>
          </cell>
          <cell r="G994">
            <v>2.3740966293232866</v>
          </cell>
          <cell r="H994">
            <v>2.1081524162311949</v>
          </cell>
          <cell r="I994">
            <v>1.8171985660584264</v>
          </cell>
          <cell r="J994">
            <v>1.5103517327828151</v>
          </cell>
          <cell r="K994">
            <v>1.2174462433837208</v>
          </cell>
          <cell r="L994">
            <v>1.0985588847320653</v>
          </cell>
          <cell r="M994">
            <v>0.92044487726881952</v>
          </cell>
          <cell r="N994">
            <v>0.8691927699292028</v>
          </cell>
          <cell r="O994">
            <v>0.36769382786714622</v>
          </cell>
        </row>
        <row r="995">
          <cell r="A995" t="str">
            <v>RHEM-SHDEM</v>
          </cell>
          <cell r="B995" t="str">
            <v>VAR_fin</v>
          </cell>
          <cell r="C995" t="str">
            <v>RHEM-SHLTHC-NGA</v>
          </cell>
          <cell r="D995">
            <v>6.5814334209920847E-2</v>
          </cell>
          <cell r="E995">
            <v>7.2697461920404537E-4</v>
          </cell>
          <cell r="F995">
            <v>0.16475710537103755</v>
          </cell>
          <cell r="G995">
            <v>0.49805774471282394</v>
          </cell>
          <cell r="H995">
            <v>0.4960847770947272</v>
          </cell>
          <cell r="I995">
            <v>0.51085798062360532</v>
          </cell>
          <cell r="J995">
            <v>0.51194462597659729</v>
          </cell>
          <cell r="K995">
            <v>0.5014419298149696</v>
          </cell>
          <cell r="L995">
            <v>0.50268260791067232</v>
          </cell>
          <cell r="M995">
            <v>0.50263067046093579</v>
          </cell>
          <cell r="N995">
            <v>0.63847228449567817</v>
          </cell>
          <cell r="O995">
            <v>0.99885924575736451</v>
          </cell>
        </row>
        <row r="996">
          <cell r="A996" t="str">
            <v>ITOT-SWHH2BR</v>
          </cell>
          <cell r="B996" t="str">
            <v>VAR_fout</v>
          </cell>
          <cell r="C996" t="str">
            <v>ITOT-SWH</v>
          </cell>
          <cell r="G996">
            <v>5.3646286453350677E-4</v>
          </cell>
          <cell r="H996">
            <v>3.1309674988002178E-3</v>
          </cell>
          <cell r="I996">
            <v>4.0376450161458601E-3</v>
          </cell>
          <cell r="J996">
            <v>4.0727344880198474E-3</v>
          </cell>
          <cell r="K996">
            <v>3.3776361824299904E-2</v>
          </cell>
          <cell r="L996">
            <v>4.9911192571369591E-2</v>
          </cell>
          <cell r="M996">
            <v>0.13255947629813289</v>
          </cell>
          <cell r="N996">
            <v>0.132561372513048</v>
          </cell>
          <cell r="O996">
            <v>0.13325495570214604</v>
          </cell>
        </row>
        <row r="997">
          <cell r="A997" t="str">
            <v>ITOT-SWHH2BR</v>
          </cell>
          <cell r="B997" t="str">
            <v>VAR_fin</v>
          </cell>
          <cell r="C997" t="str">
            <v>IH2</v>
          </cell>
          <cell r="G997">
            <v>6.6641073870338653E-4</v>
          </cell>
          <cell r="H997">
            <v>3.8808921104050904E-3</v>
          </cell>
          <cell r="I997">
            <v>4.9938316994191691E-3</v>
          </cell>
          <cell r="J997">
            <v>5.0262800881039479E-3</v>
          </cell>
          <cell r="K997">
            <v>4.1593965580884358E-2</v>
          </cell>
          <cell r="L997">
            <v>6.1436579287933696E-2</v>
          </cell>
          <cell r="M997">
            <v>0.16309909867977654</v>
          </cell>
          <cell r="N997">
            <v>0.16303076133700883</v>
          </cell>
          <cell r="O997">
            <v>0.16381278680569253</v>
          </cell>
        </row>
        <row r="998">
          <cell r="A998" t="str">
            <v>ITOT-SWHH2BR</v>
          </cell>
          <cell r="B998" t="str">
            <v>VAR_ncap</v>
          </cell>
          <cell r="C998" t="str">
            <v>-</v>
          </cell>
          <cell r="G998">
            <v>4.9293521167238398E-5</v>
          </cell>
          <cell r="H998">
            <v>2.3686983178965301E-4</v>
          </cell>
          <cell r="I998">
            <v>1.19381894999972E-4</v>
          </cell>
          <cell r="J998">
            <v>5.15356940488367E-5</v>
          </cell>
          <cell r="K998">
            <v>3.03703857876794E-3</v>
          </cell>
          <cell r="L998">
            <v>1.75559794350612E-3</v>
          </cell>
          <cell r="M998">
            <v>6.3599158317628399E-3</v>
          </cell>
          <cell r="N998">
            <v>4.0979130785126399E-3</v>
          </cell>
          <cell r="O998">
            <v>1.1056305916361401E-3</v>
          </cell>
        </row>
        <row r="999">
          <cell r="A999" t="str">
            <v>ITOT-SWHH2BR</v>
          </cell>
          <cell r="B999" t="str">
            <v>VAR_cap</v>
          </cell>
          <cell r="C999" t="str">
            <v>-</v>
          </cell>
          <cell r="G999">
            <v>4.9293521167238398E-5</v>
          </cell>
          <cell r="H999">
            <v>2.8182862587644098E-4</v>
          </cell>
          <cell r="I999">
            <v>3.7538967349878171E-4</v>
          </cell>
          <cell r="J999">
            <v>3.7786767953137821E-4</v>
          </cell>
          <cell r="K999">
            <v>3.1790034326834114E-3</v>
          </cell>
          <cell r="L999">
            <v>4.8273983269975992E-3</v>
          </cell>
          <cell r="M999">
            <v>1.1114973856463513E-2</v>
          </cell>
          <cell r="N999">
            <v>1.2144971991383022E-2</v>
          </cell>
          <cell r="O999">
            <v>1.1524112225267951E-2</v>
          </cell>
        </row>
        <row r="1000">
          <cell r="A1000" t="str">
            <v>RHNS-SHSTG-ELC</v>
          </cell>
          <cell r="B1000" t="str">
            <v>VAR_fout</v>
          </cell>
          <cell r="C1000" t="str">
            <v>RHNS-SHAELCB</v>
          </cell>
          <cell r="E1000">
            <v>2.9798629215290387E-6</v>
          </cell>
          <cell r="F1000">
            <v>1.7691557606071457E-2</v>
          </cell>
          <cell r="G1000">
            <v>1.8633208556842629E-2</v>
          </cell>
          <cell r="H1000">
            <v>1.0168572494443957E-2</v>
          </cell>
          <cell r="I1000">
            <v>9.6332801333333178E-4</v>
          </cell>
          <cell r="J1000">
            <v>5.0565697514046458E-2</v>
          </cell>
          <cell r="K1000">
            <v>5.8130460908920954E-2</v>
          </cell>
          <cell r="L1000">
            <v>1.0017012866290753E-2</v>
          </cell>
          <cell r="M1000">
            <v>2.9817453567794282E-4</v>
          </cell>
          <cell r="N1000">
            <v>2.7818772485790677E-4</v>
          </cell>
          <cell r="O1000">
            <v>2.7617130256201388E-4</v>
          </cell>
        </row>
        <row r="1001">
          <cell r="A1001" t="str">
            <v>RHNS-SHSTG-ELC</v>
          </cell>
          <cell r="B1001" t="str">
            <v>VAR_fin</v>
          </cell>
          <cell r="C1001" t="str">
            <v>RHNS-SHAELCB</v>
          </cell>
          <cell r="E1001">
            <v>1.4494324845493785E-6</v>
          </cell>
          <cell r="F1001">
            <v>1.7687898599999155E-2</v>
          </cell>
          <cell r="G1001">
            <v>1.86297832110125E-2</v>
          </cell>
          <cell r="H1001">
            <v>1.0168176978101802E-2</v>
          </cell>
          <cell r="I1001">
            <v>9.6522157962804765E-4</v>
          </cell>
          <cell r="J1001">
            <v>5.0567737655212365E-2</v>
          </cell>
          <cell r="K1001">
            <v>5.8136644946204019E-2</v>
          </cell>
          <cell r="L1001">
            <v>1.0022435453916043E-2</v>
          </cell>
          <cell r="M1001">
            <v>3.0282639910962807E-4</v>
          </cell>
          <cell r="N1001">
            <v>2.7787600637417412E-4</v>
          </cell>
          <cell r="O1001">
            <v>2.8087785991127198E-4</v>
          </cell>
        </row>
        <row r="1002">
          <cell r="A1002" t="str">
            <v>RHNS-SHSTG-ELC</v>
          </cell>
          <cell r="B1002" t="str">
            <v>VAR_ncap</v>
          </cell>
          <cell r="C1002" t="str">
            <v>-</v>
          </cell>
          <cell r="D1002">
            <v>7.7212755606016597E-6</v>
          </cell>
          <cell r="E1002">
            <v>9.7920163724751907E-6</v>
          </cell>
          <cell r="F1002">
            <v>1.9356264806342199E-3</v>
          </cell>
          <cell r="G1002">
            <v>1.7143645341220399E-5</v>
          </cell>
          <cell r="H1002">
            <v>4.0170529640154098E-5</v>
          </cell>
          <cell r="I1002">
            <v>5.7231599179091103E-5</v>
          </cell>
          <cell r="J1002">
            <v>5.5820728210650202E-3</v>
          </cell>
          <cell r="K1002">
            <v>7.5054825877688398E-5</v>
          </cell>
          <cell r="L1002">
            <v>7.8348985302843603E-5</v>
          </cell>
          <cell r="M1002">
            <v>7.1505055606049903E-5</v>
          </cell>
          <cell r="N1002">
            <v>5.4541174914684697E-5</v>
          </cell>
          <cell r="O1002">
            <v>6.7660443891261597E-5</v>
          </cell>
        </row>
        <row r="1003">
          <cell r="A1003" t="str">
            <v>RHNS-SHSTG-ELC</v>
          </cell>
          <cell r="B1003" t="str">
            <v>VAR_cap</v>
          </cell>
          <cell r="C1003" t="str">
            <v>-</v>
          </cell>
          <cell r="D1003">
            <v>7.7212755606016597E-6</v>
          </cell>
          <cell r="E1003">
            <v>-1.7576706645950165E-7</v>
          </cell>
          <cell r="F1003">
            <v>1.9367149833705206E-3</v>
          </cell>
          <cell r="G1003">
            <v>1.9367314451661755E-3</v>
          </cell>
          <cell r="H1003">
            <v>1.1506638905727138E-3</v>
          </cell>
          <cell r="I1003">
            <v>1.5604853964992993E-4</v>
          </cell>
          <cell r="J1003">
            <v>5.6488461142301114E-3</v>
          </cell>
          <cell r="K1003">
            <v>5.4886587626400548E-3</v>
          </cell>
          <cell r="L1003">
            <v>1.0978757996623996E-3</v>
          </cell>
          <cell r="M1003">
            <v>7.6115518845829987E-5</v>
          </cell>
          <cell r="N1003">
            <v>7.0236737993476005E-5</v>
          </cell>
          <cell r="O1003">
            <v>8.0642037211808008E-5</v>
          </cell>
        </row>
        <row r="1004">
          <cell r="A1004" t="str">
            <v>RHES-SHCOABR</v>
          </cell>
          <cell r="B1004" t="str">
            <v>VAR_fout</v>
          </cell>
          <cell r="C1004" t="str">
            <v>CO2_R</v>
          </cell>
          <cell r="D1004">
            <v>9.2700968222343505</v>
          </cell>
          <cell r="E1004">
            <v>9.2700887317488796</v>
          </cell>
          <cell r="F1004">
            <v>0.19195943958690601</v>
          </cell>
          <cell r="G1004">
            <v>0.16352377951901401</v>
          </cell>
          <cell r="H1004">
            <v>6.6685435583247701E-2</v>
          </cell>
        </row>
        <row r="1005">
          <cell r="A1005" t="str">
            <v>RHES-SHCOABR</v>
          </cell>
          <cell r="B1005" t="str">
            <v>VAR_fout</v>
          </cell>
          <cell r="C1005" t="str">
            <v>RHES-SHCOA</v>
          </cell>
          <cell r="D1005">
            <v>7.2000752017354119E-2</v>
          </cell>
          <cell r="E1005">
            <v>7.2000689178632116E-2</v>
          </cell>
          <cell r="F1005">
            <v>1.4909471035876171E-3</v>
          </cell>
          <cell r="G1005">
            <v>1.2700876079146759E-3</v>
          </cell>
          <cell r="H1005">
            <v>5.1794513074367209E-4</v>
          </cell>
        </row>
        <row r="1006">
          <cell r="A1006" t="str">
            <v>RHES-SHCOABR</v>
          </cell>
          <cell r="B1006" t="str">
            <v>VAR_fin</v>
          </cell>
          <cell r="C1006" t="str">
            <v>RCOA</v>
          </cell>
          <cell r="D1006">
            <v>0.1000010444685473</v>
          </cell>
          <cell r="E1006">
            <v>0.10000095719254458</v>
          </cell>
          <cell r="F1006">
            <v>2.0707598660939116E-3</v>
          </cell>
          <cell r="G1006">
            <v>1.7640105665481622E-3</v>
          </cell>
          <cell r="H1006">
            <v>7.1936823714398919E-4</v>
          </cell>
        </row>
        <row r="1007">
          <cell r="A1007" t="str">
            <v>RHES-SHCOABR</v>
          </cell>
          <cell r="B1007" t="str">
            <v>VAR_cap</v>
          </cell>
          <cell r="C1007" t="str">
            <v>-</v>
          </cell>
          <cell r="D1007">
            <v>7.0000000000000001E-3</v>
          </cell>
          <cell r="E1007">
            <v>6.6212267449170794E-3</v>
          </cell>
          <cell r="F1007">
            <v>2.1194270579638023E-4</v>
          </cell>
          <cell r="G1007">
            <v>1.9738861844841027E-4</v>
          </cell>
          <cell r="H1007">
            <v>5.1250138306999831E-5</v>
          </cell>
        </row>
        <row r="1008">
          <cell r="A1008" t="str">
            <v>D-INGA</v>
          </cell>
          <cell r="B1008" t="str">
            <v>VAR_fout</v>
          </cell>
          <cell r="C1008" t="str">
            <v>CO2</v>
          </cell>
          <cell r="D1008">
            <v>2101.7883929483301</v>
          </cell>
          <cell r="E1008">
            <v>1715.5377032942299</v>
          </cell>
          <cell r="F1008">
            <v>1770.03120587898</v>
          </cell>
          <cell r="G1008">
            <v>1590.1365849210199</v>
          </cell>
          <cell r="H1008">
            <v>1436.8977239221199</v>
          </cell>
          <cell r="I1008">
            <v>1279.05133303506</v>
          </cell>
          <cell r="J1008">
            <v>1114.0952430299401</v>
          </cell>
          <cell r="K1008">
            <v>970.42028306654504</v>
          </cell>
          <cell r="L1008">
            <v>867.41584649231095</v>
          </cell>
          <cell r="M1008">
            <v>731.19844426603595</v>
          </cell>
          <cell r="N1008">
            <v>653.90338784541598</v>
          </cell>
          <cell r="O1008">
            <v>571.73733615727599</v>
          </cell>
        </row>
        <row r="1009">
          <cell r="A1009" t="str">
            <v>D-INGA</v>
          </cell>
          <cell r="B1009" t="str">
            <v>VAR_fout</v>
          </cell>
          <cell r="C1009" t="str">
            <v>IH2</v>
          </cell>
          <cell r="G1009">
            <v>2.7616474410593998E-3</v>
          </cell>
          <cell r="H1009">
            <v>9.2810969493113925E-3</v>
          </cell>
          <cell r="I1009">
            <v>1.4719404717989628E-2</v>
          </cell>
          <cell r="J1009">
            <v>1.3787881325264333E-2</v>
          </cell>
          <cell r="K1009">
            <v>7.4686071022978653E-2</v>
          </cell>
          <cell r="L1009">
            <v>8.8385203128657094E-2</v>
          </cell>
          <cell r="M1009">
            <v>0.17383453483540784</v>
          </cell>
          <cell r="N1009">
            <v>0.19673368711687106</v>
          </cell>
          <cell r="O1009">
            <v>0.18511113044140806</v>
          </cell>
        </row>
        <row r="1010">
          <cell r="A1010" t="str">
            <v>D-INGA</v>
          </cell>
          <cell r="B1010" t="str">
            <v>VAR_fout</v>
          </cell>
          <cell r="C1010" t="str">
            <v>INGA</v>
          </cell>
          <cell r="D1010">
            <v>37.473771828746017</v>
          </cell>
          <cell r="E1010">
            <v>30.320564048956509</v>
          </cell>
          <cell r="F1010">
            <v>34.030494360880134</v>
          </cell>
          <cell r="G1010">
            <v>30.851366455706817</v>
          </cell>
          <cell r="H1010">
            <v>28.143003312120406</v>
          </cell>
          <cell r="I1010">
            <v>25.353200331307601</v>
          </cell>
          <cell r="J1010">
            <v>22.43777595699498</v>
          </cell>
          <cell r="K1010">
            <v>19.898259323212628</v>
          </cell>
          <cell r="L1010">
            <v>18.077717506748115</v>
          </cell>
          <cell r="M1010">
            <v>15.669943405469086</v>
          </cell>
          <cell r="N1010">
            <v>14.30375830435473</v>
          </cell>
          <cell r="O1010">
            <v>12.851602623539332</v>
          </cell>
        </row>
        <row r="1011">
          <cell r="A1011" t="str">
            <v>D-INGA</v>
          </cell>
          <cell r="B1011" t="str">
            <v>VAR_fin</v>
          </cell>
          <cell r="C1011" t="str">
            <v>NGA</v>
          </cell>
          <cell r="D1011">
            <v>37.2657516480201</v>
          </cell>
          <cell r="E1011">
            <v>30.417335164791336</v>
          </cell>
          <cell r="F1011">
            <v>31.383532019130957</v>
          </cell>
          <cell r="G1011">
            <v>28.19391108015995</v>
          </cell>
          <cell r="H1011">
            <v>25.47690999861916</v>
          </cell>
          <cell r="I1011">
            <v>22.678215124735189</v>
          </cell>
          <cell r="J1011">
            <v>19.753461755850065</v>
          </cell>
          <cell r="K1011">
            <v>17.206033387704714</v>
          </cell>
          <cell r="L1011">
            <v>15.379713590289203</v>
          </cell>
          <cell r="M1011">
            <v>12.964511423156663</v>
          </cell>
          <cell r="N1011">
            <v>11.594031699386816</v>
          </cell>
          <cell r="O1011">
            <v>10.137186811299213</v>
          </cell>
        </row>
        <row r="1012">
          <cell r="A1012" t="str">
            <v>D-INGA</v>
          </cell>
          <cell r="B1012" t="str">
            <v>VAR_fin</v>
          </cell>
          <cell r="C1012" t="str">
            <v>BNGA</v>
          </cell>
          <cell r="D1012">
            <v>0.32773462624862343</v>
          </cell>
          <cell r="E1012">
            <v>1.1533728650658892E-4</v>
          </cell>
          <cell r="F1012">
            <v>2.7556768256259172</v>
          </cell>
          <cell r="G1012">
            <v>2.7560544141975956</v>
          </cell>
          <cell r="H1012">
            <v>2.7560574509048132</v>
          </cell>
          <cell r="I1012">
            <v>2.7560590000865695</v>
          </cell>
          <cell r="J1012">
            <v>2.75606391937007</v>
          </cell>
          <cell r="K1012">
            <v>2.7560738300497154</v>
          </cell>
          <cell r="L1012">
            <v>2.7560676079764006</v>
          </cell>
          <cell r="M1012">
            <v>2.7560722002478069</v>
          </cell>
          <cell r="N1012">
            <v>2.7560769696735505</v>
          </cell>
          <cell r="O1012">
            <v>2.7561477048589977</v>
          </cell>
        </row>
        <row r="1013">
          <cell r="A1013" t="str">
            <v>D-INGA</v>
          </cell>
          <cell r="B1013" t="str">
            <v>VAR_fin</v>
          </cell>
          <cell r="C1013" t="str">
            <v>H2</v>
          </cell>
          <cell r="G1013">
            <v>2.7613571959470128E-3</v>
          </cell>
          <cell r="H1013">
            <v>9.2778499523337356E-3</v>
          </cell>
          <cell r="I1013">
            <v>1.4711938891555533E-2</v>
          </cell>
          <cell r="J1013">
            <v>1.3780415498830256E-2</v>
          </cell>
          <cell r="K1013">
            <v>7.4670072823475819E-2</v>
          </cell>
          <cell r="L1013">
            <v>8.8377737302223244E-2</v>
          </cell>
          <cell r="M1013">
            <v>0.17382386936907432</v>
          </cell>
          <cell r="N1013">
            <v>0.19672944938500736</v>
          </cell>
          <cell r="O1013">
            <v>0.18507913404240484</v>
          </cell>
        </row>
        <row r="1014">
          <cell r="A1014" t="str">
            <v>D-INGA</v>
          </cell>
          <cell r="B1014" t="str">
            <v>VAR_ncap</v>
          </cell>
          <cell r="C1014" t="str">
            <v>-</v>
          </cell>
          <cell r="D1014">
            <v>7.1166269084510401E-7</v>
          </cell>
          <cell r="E1014">
            <v>4.8148470281905604E-7</v>
          </cell>
          <cell r="F1014">
            <v>7.2431566620819399E-7</v>
          </cell>
          <cell r="G1014">
            <v>8.7966749812732098E-7</v>
          </cell>
          <cell r="H1014">
            <v>1.41259780378197E-6</v>
          </cell>
          <cell r="I1014">
            <v>2.00382022284548E-6</v>
          </cell>
          <cell r="J1014">
            <v>3.6959026941698401E-6</v>
          </cell>
          <cell r="K1014">
            <v>8.2860385658075603E-2</v>
          </cell>
          <cell r="L1014">
            <v>0.55996332862449205</v>
          </cell>
          <cell r="M1014">
            <v>4.4408688790834203E-5</v>
          </cell>
          <cell r="N1014">
            <v>1.6710896210807698E-5</v>
          </cell>
          <cell r="O1014">
            <v>5.1464271598213802E-5</v>
          </cell>
        </row>
        <row r="1015">
          <cell r="A1015" t="str">
            <v>D-INGA</v>
          </cell>
          <cell r="B1015" t="str">
            <v>VAR_cap</v>
          </cell>
          <cell r="C1015" t="str">
            <v>-</v>
          </cell>
          <cell r="D1015">
            <v>1.9844840819287908</v>
          </cell>
          <cell r="E1015">
            <v>1.9844845634134938</v>
          </cell>
          <cell r="F1015">
            <v>1.9844852877291599</v>
          </cell>
          <cell r="G1015">
            <v>1.9844861673966581</v>
          </cell>
          <cell r="H1015">
            <v>1.9844875799944617</v>
          </cell>
          <cell r="I1015">
            <v>1.9844895838146845</v>
          </cell>
          <cell r="J1015">
            <v>1.9844932797173789</v>
          </cell>
          <cell r="K1015">
            <v>0.97628455031740136</v>
          </cell>
          <cell r="L1015">
            <v>0.74968167293252597</v>
          </cell>
          <cell r="M1015">
            <v>0.64287727051964405</v>
          </cell>
          <cell r="N1015">
            <v>0.64289267528133198</v>
          </cell>
          <cell r="O1015">
            <v>0.64294341045988801</v>
          </cell>
        </row>
        <row r="1016">
          <cell r="A1016" t="str">
            <v>RHEM-SHNGAHP</v>
          </cell>
          <cell r="B1016" t="str">
            <v>VAR_fout</v>
          </cell>
          <cell r="C1016" t="str">
            <v>CO2_R</v>
          </cell>
          <cell r="F1016">
            <v>7.2508162770668294E-2</v>
          </cell>
          <cell r="G1016">
            <v>7.7044159987640803E-2</v>
          </cell>
          <cell r="H1016">
            <v>8.6593721323057593E-2</v>
          </cell>
          <cell r="I1016">
            <v>5.7899615371212097E-2</v>
          </cell>
          <cell r="J1016">
            <v>5.7224195275093599E-2</v>
          </cell>
          <cell r="K1016">
            <v>9.65444305350244E-2</v>
          </cell>
          <cell r="L1016">
            <v>9.6942009982764393E-2</v>
          </cell>
          <cell r="M1016">
            <v>9.7614978393717397E-2</v>
          </cell>
          <cell r="N1016">
            <v>7.0305988331129596E-2</v>
          </cell>
          <cell r="O1016">
            <v>0.30361590489156798</v>
          </cell>
        </row>
        <row r="1017">
          <cell r="A1017" t="str">
            <v>RHEM-SHNGAHP</v>
          </cell>
          <cell r="B1017" t="str">
            <v>VAR_fout</v>
          </cell>
          <cell r="C1017" t="str">
            <v>RHEM-SHANGAH</v>
          </cell>
          <cell r="F1017">
            <v>2.57121144576838E-3</v>
          </cell>
          <cell r="G1017">
            <v>2.8413449073456188E-3</v>
          </cell>
          <cell r="H1017">
            <v>3.3010017880243563E-3</v>
          </cell>
          <cell r="I1017">
            <v>2.2790274135477107E-3</v>
          </cell>
          <cell r="J1017">
            <v>2.3133185323974035E-3</v>
          </cell>
          <cell r="K1017">
            <v>4.0055667987935655E-3</v>
          </cell>
          <cell r="L1017">
            <v>4.0220621163061824E-3</v>
          </cell>
          <cell r="M1017">
            <v>4.0499831461223174E-3</v>
          </cell>
          <cell r="N1017">
            <v>2.9169505796958041E-3</v>
          </cell>
          <cell r="O1017">
            <v>1.2596830096565047E-2</v>
          </cell>
        </row>
        <row r="1018">
          <cell r="A1018" t="str">
            <v>RHEM-SHNGAHP</v>
          </cell>
          <cell r="B1018" t="str">
            <v>VAR_fin</v>
          </cell>
          <cell r="C1018" t="str">
            <v>RHEMELCHPC</v>
          </cell>
          <cell r="F1018">
            <v>2.57121144576838E-3</v>
          </cell>
          <cell r="G1018">
            <v>2.8413449073456188E-3</v>
          </cell>
          <cell r="H1018">
            <v>3.3010017880243563E-3</v>
          </cell>
          <cell r="I1018">
            <v>2.2790274135477107E-3</v>
          </cell>
          <cell r="J1018">
            <v>2.3133185323974035E-3</v>
          </cell>
          <cell r="K1018">
            <v>4.0055667987935655E-3</v>
          </cell>
          <cell r="L1018">
            <v>4.0220621163061824E-3</v>
          </cell>
          <cell r="M1018">
            <v>4.0499831461223174E-3</v>
          </cell>
          <cell r="N1018">
            <v>2.9169505796958041E-3</v>
          </cell>
          <cell r="O1018">
            <v>1.2596830096565047E-2</v>
          </cell>
        </row>
        <row r="1019">
          <cell r="A1019" t="str">
            <v>RHEM-SHNGAHP</v>
          </cell>
          <cell r="B1019" t="str">
            <v>VAR_fin</v>
          </cell>
          <cell r="C1019" t="str">
            <v>RNGA</v>
          </cell>
          <cell r="F1019">
            <v>1.2856057228841904E-3</v>
          </cell>
          <cell r="G1019">
            <v>1.3660312054546251E-3</v>
          </cell>
          <cell r="H1019">
            <v>1.5353496688485381E-3</v>
          </cell>
          <cell r="I1019">
            <v>1.0265889250214914E-3</v>
          </cell>
          <cell r="J1019">
            <v>1.014613391402369E-3</v>
          </cell>
          <cell r="K1019">
            <v>1.7117806832451128E-3</v>
          </cell>
          <cell r="L1019">
            <v>1.7188299642334085E-3</v>
          </cell>
          <cell r="M1019">
            <v>1.7307620282574017E-3</v>
          </cell>
          <cell r="N1019">
            <v>1.2465600767930785E-3</v>
          </cell>
          <cell r="O1019">
            <v>5.383260725027799E-3</v>
          </cell>
        </row>
        <row r="1020">
          <cell r="A1020" t="str">
            <v>RHEM-SHNGAHP</v>
          </cell>
          <cell r="B1020" t="str">
            <v>VAR_ncap</v>
          </cell>
          <cell r="C1020" t="str">
            <v>-</v>
          </cell>
          <cell r="D1020">
            <v>7.54592135734625E-8</v>
          </cell>
          <cell r="E1020">
            <v>1.4265963809287599E-7</v>
          </cell>
          <cell r="F1020">
            <v>2.1043839940058801E-4</v>
          </cell>
          <cell r="G1020">
            <v>4.0399486504035199E-6</v>
          </cell>
          <cell r="H1020">
            <v>5.8278525336391501E-5</v>
          </cell>
          <cell r="I1020">
            <v>9.5020242073997005E-5</v>
          </cell>
          <cell r="J1020">
            <v>4.1422508767000301E-5</v>
          </cell>
          <cell r="K1020">
            <v>2.3872460032479801E-4</v>
          </cell>
          <cell r="L1020">
            <v>3.3529643242053098E-5</v>
          </cell>
          <cell r="M1020">
            <v>1.06108550202627E-4</v>
          </cell>
          <cell r="N1020">
            <v>1.0718256047432E-4</v>
          </cell>
          <cell r="O1020">
            <v>7.9150023822183201E-4</v>
          </cell>
        </row>
        <row r="1021">
          <cell r="A1021" t="str">
            <v>RHEM-SHNGAHP</v>
          </cell>
          <cell r="B1021" t="str">
            <v>VAR_cap</v>
          </cell>
          <cell r="C1021" t="str">
            <v>-</v>
          </cell>
          <cell r="D1021">
            <v>7.54592135734625E-8</v>
          </cell>
          <cell r="E1021">
            <v>-3.5902569648894597E-7</v>
          </cell>
          <cell r="F1021">
            <v>2.1031349458573904E-4</v>
          </cell>
          <cell r="G1021">
            <v>2.144714894250373E-4</v>
          </cell>
          <cell r="H1021">
            <v>2.7230450999696449E-4</v>
          </cell>
          <cell r="I1021">
            <v>2.0025338792095624E-4</v>
          </cell>
          <cell r="J1021">
            <v>1.943610156043452E-4</v>
          </cell>
          <cell r="K1021">
            <v>3.7458515411159412E-4</v>
          </cell>
          <cell r="L1021">
            <v>3.2228792220963411E-4</v>
          </cell>
          <cell r="M1021">
            <v>3.7766139983341882E-4</v>
          </cell>
          <cell r="N1021">
            <v>2.7785891692150988E-4</v>
          </cell>
          <cell r="O1021">
            <v>1.0040758851949081E-3</v>
          </cell>
        </row>
        <row r="1022">
          <cell r="A1022" t="str">
            <v>D-SPLT</v>
          </cell>
          <cell r="B1022" t="str">
            <v>VAR_fout</v>
          </cell>
          <cell r="C1022" t="str">
            <v>SPLT</v>
          </cell>
          <cell r="D1022">
            <v>2.0856391487670529</v>
          </cell>
          <cell r="E1022">
            <v>2.4000936664245707</v>
          </cell>
          <cell r="F1022">
            <v>2.3203174169881171</v>
          </cell>
          <cell r="G1022">
            <v>2.5333130937199804</v>
          </cell>
          <cell r="H1022">
            <v>2.6821881542859396</v>
          </cell>
          <cell r="I1022">
            <v>3.0342107639805862</v>
          </cell>
          <cell r="J1022">
            <v>2.8917537740626575</v>
          </cell>
          <cell r="K1022">
            <v>2.9539177868909241</v>
          </cell>
          <cell r="L1022">
            <v>2.8831042316394275</v>
          </cell>
          <cell r="M1022">
            <v>2.815671455330647</v>
          </cell>
          <cell r="N1022">
            <v>2.754624434808477</v>
          </cell>
          <cell r="O1022">
            <v>2.6330475628142276</v>
          </cell>
        </row>
        <row r="1023">
          <cell r="A1023" t="str">
            <v>D-SPLT</v>
          </cell>
          <cell r="B1023" t="str">
            <v>VAR_fin</v>
          </cell>
          <cell r="C1023" t="str">
            <v>PLT</v>
          </cell>
          <cell r="D1023">
            <v>2.0856391487670529</v>
          </cell>
          <cell r="E1023">
            <v>2.4000936664245707</v>
          </cell>
          <cell r="F1023">
            <v>2.3203174169881171</v>
          </cell>
          <cell r="G1023">
            <v>2.5333130937199804</v>
          </cell>
          <cell r="H1023">
            <v>2.6821881542859396</v>
          </cell>
          <cell r="I1023">
            <v>3.0342107639805862</v>
          </cell>
          <cell r="J1023">
            <v>2.8917537740626575</v>
          </cell>
          <cell r="K1023">
            <v>2.9539177868909241</v>
          </cell>
          <cell r="L1023">
            <v>2.8831042316394275</v>
          </cell>
          <cell r="M1023">
            <v>2.815671455330647</v>
          </cell>
          <cell r="N1023">
            <v>2.754624434808477</v>
          </cell>
          <cell r="O1023">
            <v>2.6330475628142276</v>
          </cell>
        </row>
        <row r="1024">
          <cell r="A1024" t="str">
            <v>RHES-SHCONBR</v>
          </cell>
          <cell r="B1024" t="str">
            <v>VAR_fout</v>
          </cell>
          <cell r="C1024" t="str">
            <v>RHES-SHCON</v>
          </cell>
          <cell r="F1024">
            <v>1.1320553305834616E-4</v>
          </cell>
          <cell r="G1024">
            <v>5.5499691828520062E-5</v>
          </cell>
          <cell r="H1024">
            <v>1.0282446094598322E-4</v>
          </cell>
          <cell r="I1024">
            <v>1.0120937418852644E-4</v>
          </cell>
          <cell r="J1024">
            <v>1.0037699579542812E-4</v>
          </cell>
          <cell r="K1024">
            <v>2.3049670207829617E-4</v>
          </cell>
          <cell r="L1024">
            <v>1.9990783114645768E-4</v>
          </cell>
          <cell r="M1024">
            <v>2.4242099222223756E-4</v>
          </cell>
          <cell r="N1024">
            <v>2.3968323365882802E-4</v>
          </cell>
          <cell r="O1024">
            <v>3.6048656633657635E-4</v>
          </cell>
        </row>
        <row r="1025">
          <cell r="A1025" t="str">
            <v>RHES-SHCONBR</v>
          </cell>
          <cell r="B1025" t="str">
            <v>VAR_fin</v>
          </cell>
          <cell r="C1025" t="str">
            <v>CON</v>
          </cell>
          <cell r="F1025">
            <v>1.1320553305834616E-4</v>
          </cell>
          <cell r="G1025">
            <v>5.5499691828520062E-5</v>
          </cell>
          <cell r="H1025">
            <v>1.0282446094598322E-4</v>
          </cell>
          <cell r="I1025">
            <v>1.0120937418852644E-4</v>
          </cell>
          <cell r="J1025">
            <v>1.0037699579542812E-4</v>
          </cell>
          <cell r="K1025">
            <v>2.3049670207829617E-4</v>
          </cell>
          <cell r="L1025">
            <v>1.9990783114645768E-4</v>
          </cell>
          <cell r="M1025">
            <v>2.4242099222223756E-4</v>
          </cell>
          <cell r="N1025">
            <v>2.3968323365882802E-4</v>
          </cell>
          <cell r="O1025">
            <v>3.6048656633657635E-4</v>
          </cell>
        </row>
        <row r="1026">
          <cell r="A1026" t="str">
            <v>RHES-SHCONBR</v>
          </cell>
          <cell r="B1026" t="str">
            <v>VAR_ncap</v>
          </cell>
          <cell r="C1026" t="str">
            <v>-</v>
          </cell>
          <cell r="E1026">
            <v>3.65964376830104E-8</v>
          </cell>
          <cell r="F1026">
            <v>2.1654887245697699E-6</v>
          </cell>
          <cell r="G1026">
            <v>6.49250584890952E-7</v>
          </cell>
          <cell r="H1026">
            <v>1.9691244014520701E-7</v>
          </cell>
          <cell r="I1026">
            <v>1.1186907381218E-7</v>
          </cell>
          <cell r="J1026">
            <v>9.0283964407977394E-8</v>
          </cell>
          <cell r="K1026">
            <v>7.4031203611037098E-6</v>
          </cell>
          <cell r="L1026">
            <v>5.4422051235634802E-7</v>
          </cell>
          <cell r="M1026">
            <v>2.5226244449671E-7</v>
          </cell>
          <cell r="N1026">
            <v>2.6480860088133202E-7</v>
          </cell>
          <cell r="O1026">
            <v>6.7360312016024001E-6</v>
          </cell>
        </row>
        <row r="1027">
          <cell r="A1027" t="str">
            <v>RHES-SHCONBR</v>
          </cell>
          <cell r="B1027" t="str">
            <v>VAR_cap</v>
          </cell>
          <cell r="C1027" t="str">
            <v>-</v>
          </cell>
          <cell r="E1027">
            <v>3.65964376830104E-8</v>
          </cell>
          <cell r="F1027">
            <v>2.175597878504952E-6</v>
          </cell>
          <cell r="G1027">
            <v>2.8121955808306484E-6</v>
          </cell>
          <cell r="H1027">
            <v>2.9397893090375162E-6</v>
          </cell>
          <cell r="I1027">
            <v>3.020257455379265E-6</v>
          </cell>
          <cell r="J1027">
            <v>3.0260897279221671E-6</v>
          </cell>
          <cell r="K1027">
            <v>1.0249725604528603E-5</v>
          </cell>
          <cell r="L1027">
            <v>1.0964956029398109E-5</v>
          </cell>
          <cell r="M1027">
            <v>1.0969886887192433E-5</v>
          </cell>
          <cell r="N1027">
            <v>1.1234727533830004E-5</v>
          </cell>
          <cell r="O1027">
            <v>1.8333771393696595E-5</v>
          </cell>
        </row>
        <row r="1028">
          <cell r="A1028" t="str">
            <v>RHSA-WHSOLBR</v>
          </cell>
          <cell r="B1028" t="str">
            <v>VAR_fout</v>
          </cell>
          <cell r="C1028" t="str">
            <v>RHSA-WHASOL</v>
          </cell>
          <cell r="D1028">
            <v>1.721488024659851</v>
          </cell>
          <cell r="E1028">
            <v>1.9867547494505686</v>
          </cell>
          <cell r="F1028">
            <v>1.9453972817079406</v>
          </cell>
          <cell r="G1028">
            <v>1.4929196211214442</v>
          </cell>
          <cell r="H1028">
            <v>1.1324030537615706</v>
          </cell>
          <cell r="I1028">
            <v>1.0932031907297761</v>
          </cell>
          <cell r="J1028">
            <v>1.0938184682080285</v>
          </cell>
          <cell r="K1028">
            <v>1.0272265770572933</v>
          </cell>
          <cell r="L1028">
            <v>1.0128443079298899</v>
          </cell>
          <cell r="M1028">
            <v>0.94750976929652364</v>
          </cell>
          <cell r="N1028">
            <v>0.95998004438106366</v>
          </cell>
          <cell r="O1028">
            <v>0.81400115753697266</v>
          </cell>
        </row>
        <row r="1029">
          <cell r="A1029" t="str">
            <v>RHSA-WHSOLBR</v>
          </cell>
          <cell r="B1029" t="str">
            <v>VAR_fin</v>
          </cell>
          <cell r="C1029" t="str">
            <v>SOL</v>
          </cell>
          <cell r="D1029">
            <v>1.721488024659851</v>
          </cell>
          <cell r="E1029">
            <v>1.9867547494505686</v>
          </cell>
          <cell r="F1029">
            <v>1.9453972817079406</v>
          </cell>
          <cell r="G1029">
            <v>1.4929196211214442</v>
          </cell>
          <cell r="H1029">
            <v>1.1324030537615706</v>
          </cell>
          <cell r="I1029">
            <v>1.0932031907297761</v>
          </cell>
          <cell r="J1029">
            <v>1.0938184682080285</v>
          </cell>
          <cell r="K1029">
            <v>1.0272265770572933</v>
          </cell>
          <cell r="L1029">
            <v>1.0128443079298899</v>
          </cell>
          <cell r="M1029">
            <v>0.94750976929652364</v>
          </cell>
          <cell r="N1029">
            <v>0.95998004438106366</v>
          </cell>
          <cell r="O1029">
            <v>0.81400115753697266</v>
          </cell>
        </row>
        <row r="1030">
          <cell r="A1030" t="str">
            <v>RHSA-WHSOLBR</v>
          </cell>
          <cell r="B1030" t="str">
            <v>VAR_fin</v>
          </cell>
          <cell r="C1030" t="str">
            <v>RHSASOLBRC</v>
          </cell>
          <cell r="D1030">
            <v>1.721488024659851</v>
          </cell>
          <cell r="E1030">
            <v>1.9867547494505686</v>
          </cell>
          <cell r="F1030">
            <v>1.9453972817079406</v>
          </cell>
          <cell r="G1030">
            <v>1.4929196211214442</v>
          </cell>
          <cell r="H1030">
            <v>1.1324030537615706</v>
          </cell>
          <cell r="I1030">
            <v>1.0932031907297761</v>
          </cell>
          <cell r="J1030">
            <v>1.0938184682080285</v>
          </cell>
          <cell r="K1030">
            <v>1.0272265770572933</v>
          </cell>
          <cell r="L1030">
            <v>1.0128443079298899</v>
          </cell>
          <cell r="M1030">
            <v>0.94750976929652364</v>
          </cell>
          <cell r="N1030">
            <v>0.95998004438106366</v>
          </cell>
          <cell r="O1030">
            <v>0.81400115753697266</v>
          </cell>
        </row>
        <row r="1031">
          <cell r="A1031" t="str">
            <v>RHSA-WHSOLBR</v>
          </cell>
          <cell r="B1031" t="str">
            <v>VAR_ncap</v>
          </cell>
          <cell r="C1031" t="str">
            <v>-</v>
          </cell>
          <cell r="E1031">
            <v>8.2642793168563794E-2</v>
          </cell>
          <cell r="F1031">
            <v>1.0256390914527101E-6</v>
          </cell>
          <cell r="G1031">
            <v>4.2596434251717098E-6</v>
          </cell>
          <cell r="H1031">
            <v>7.1299520853632697E-2</v>
          </cell>
          <cell r="I1031">
            <v>8.7539340666647605E-2</v>
          </cell>
          <cell r="J1031">
            <v>1.6916987353158999E-4</v>
          </cell>
          <cell r="K1031">
            <v>6.2133441212935001E-2</v>
          </cell>
          <cell r="L1031">
            <v>7.4558229514123206E-2</v>
          </cell>
          <cell r="M1031">
            <v>1.2781923012462699E-3</v>
          </cell>
          <cell r="N1031">
            <v>7.64433322121333E-2</v>
          </cell>
          <cell r="O1031">
            <v>4.1135508590028499E-2</v>
          </cell>
        </row>
        <row r="1032">
          <cell r="A1032" t="str">
            <v>RHSA-WHSOLBR</v>
          </cell>
          <cell r="B1032" t="str">
            <v>VAR_cap</v>
          </cell>
          <cell r="C1032" t="str">
            <v>-</v>
          </cell>
          <cell r="D1032">
            <v>0.25000991745774798</v>
          </cell>
          <cell r="E1032">
            <v>0.33265271062631174</v>
          </cell>
          <cell r="F1032">
            <v>0.33265373626540329</v>
          </cell>
          <cell r="G1032">
            <v>0.33265799590882839</v>
          </cell>
          <cell r="H1032">
            <v>0.17848252953981142</v>
          </cell>
          <cell r="I1032">
            <v>0.15884252616099001</v>
          </cell>
          <cell r="J1032">
            <v>0.159008031393812</v>
          </cell>
          <cell r="K1032">
            <v>0.14984195175311399</v>
          </cell>
          <cell r="L1032">
            <v>0.15028920303604901</v>
          </cell>
          <cell r="M1032">
            <v>0.137969863028305</v>
          </cell>
          <cell r="N1032">
            <v>0.13964896915016201</v>
          </cell>
          <cell r="O1032">
            <v>0.11885703310340801</v>
          </cell>
        </row>
        <row r="1033">
          <cell r="A1033" t="str">
            <v>SCOM-SHCONBR</v>
          </cell>
          <cell r="B1033" t="str">
            <v>VAR_ncap</v>
          </cell>
          <cell r="C1033" t="str">
            <v>-</v>
          </cell>
          <cell r="H1033">
            <v>1.2119716686633599E-8</v>
          </cell>
          <cell r="I1033">
            <v>2.52630386784652E-8</v>
          </cell>
          <cell r="J1033">
            <v>1.0819843416638999E-8</v>
          </cell>
          <cell r="K1033">
            <v>2.4691319452672001E-8</v>
          </cell>
          <cell r="L1033">
            <v>5.2945654195753601E-8</v>
          </cell>
          <cell r="M1033">
            <v>3.1728711970215999E-8</v>
          </cell>
          <cell r="N1033">
            <v>1.06543883440273E-7</v>
          </cell>
          <cell r="O1033">
            <v>6.9114405624373005E-8</v>
          </cell>
        </row>
        <row r="1034">
          <cell r="A1034" t="str">
            <v>SCOM-SHCONBR</v>
          </cell>
          <cell r="B1034" t="str">
            <v>VAR_cap</v>
          </cell>
          <cell r="C1034" t="str">
            <v>-</v>
          </cell>
          <cell r="E1034">
            <v>-7.1135723811583395E-7</v>
          </cell>
          <cell r="F1034">
            <v>-1.3160531260852401E-6</v>
          </cell>
          <cell r="G1034">
            <v>-7.7431259501687702E-7</v>
          </cell>
          <cell r="H1034">
            <v>-1.2341916360972164E-6</v>
          </cell>
          <cell r="I1034">
            <v>3.7382755365098798E-8</v>
          </cell>
          <cell r="J1034">
            <v>-2.649057732322372E-6</v>
          </cell>
          <cell r="K1034">
            <v>-1.8556202570991202E-6</v>
          </cell>
          <cell r="L1034">
            <v>-2.5922700354489916E-9</v>
          </cell>
          <cell r="M1034">
            <v>-2.8314947349086809E-6</v>
          </cell>
          <cell r="N1034">
            <v>7.6364802050130195E-9</v>
          </cell>
          <cell r="O1034">
            <v>3.3322657346502599E-7</v>
          </cell>
        </row>
        <row r="1035">
          <cell r="A1035" t="str">
            <v>RHES-SHSOLBR</v>
          </cell>
          <cell r="B1035" t="str">
            <v>VAR_fout</v>
          </cell>
          <cell r="C1035" t="str">
            <v>RHES-SHASOL</v>
          </cell>
          <cell r="D1035">
            <v>0.37732610756439694</v>
          </cell>
          <cell r="E1035">
            <v>0.43547200306209294</v>
          </cell>
          <cell r="F1035">
            <v>0.43521394481841075</v>
          </cell>
          <cell r="G1035">
            <v>0.43527319343390863</v>
          </cell>
          <cell r="H1035">
            <v>0.42088452302447782</v>
          </cell>
          <cell r="I1035">
            <v>0.37404476824895766</v>
          </cell>
          <cell r="J1035">
            <v>0.37471011013111527</v>
          </cell>
          <cell r="K1035">
            <v>0.36092943159713081</v>
          </cell>
          <cell r="L1035">
            <v>0.31285379620591275</v>
          </cell>
          <cell r="M1035">
            <v>0.30722353806564617</v>
          </cell>
          <cell r="N1035">
            <v>0.30973166956140635</v>
          </cell>
          <cell r="O1035">
            <v>0.26270271945979701</v>
          </cell>
        </row>
        <row r="1036">
          <cell r="A1036" t="str">
            <v>RHES-SHSOLBR</v>
          </cell>
          <cell r="B1036" t="str">
            <v>VAR_fin</v>
          </cell>
          <cell r="C1036" t="str">
            <v>SOL</v>
          </cell>
          <cell r="D1036">
            <v>0.37732610756439694</v>
          </cell>
          <cell r="E1036">
            <v>0.43547200306209294</v>
          </cell>
          <cell r="F1036">
            <v>0.43521394481841075</v>
          </cell>
          <cell r="G1036">
            <v>0.43527319343390863</v>
          </cell>
          <cell r="H1036">
            <v>0.42088452302447782</v>
          </cell>
          <cell r="I1036">
            <v>0.37404476824895766</v>
          </cell>
          <cell r="J1036">
            <v>0.37471011013111527</v>
          </cell>
          <cell r="K1036">
            <v>0.36092943159713081</v>
          </cell>
          <cell r="L1036">
            <v>0.31285379620591275</v>
          </cell>
          <cell r="M1036">
            <v>0.30722353806564617</v>
          </cell>
          <cell r="N1036">
            <v>0.30973166956140635</v>
          </cell>
          <cell r="O1036">
            <v>0.26270271945979701</v>
          </cell>
        </row>
        <row r="1037">
          <cell r="A1037" t="str">
            <v>RHES-SHSOLBR</v>
          </cell>
          <cell r="B1037" t="str">
            <v>VAR_ncap</v>
          </cell>
          <cell r="C1037" t="str">
            <v>-</v>
          </cell>
          <cell r="E1037">
            <v>8.4513189185525892E-3</v>
          </cell>
          <cell r="F1037">
            <v>5.27397429076046E-7</v>
          </cell>
          <cell r="G1037">
            <v>3.2306296252313499E-7</v>
          </cell>
          <cell r="H1037">
            <v>4.2664309713099001E-2</v>
          </cell>
          <cell r="I1037">
            <v>1.6563143246459699E-2</v>
          </cell>
          <cell r="J1037">
            <v>3.37014977419133E-7</v>
          </cell>
          <cell r="K1037">
            <v>4.0756351735679701E-2</v>
          </cell>
          <cell r="L1037">
            <v>1.21656670393965E-2</v>
          </cell>
          <cell r="M1037">
            <v>7.5276422428358395E-4</v>
          </cell>
          <cell r="N1037">
            <v>3.56600508455664E-2</v>
          </cell>
          <cell r="O1037">
            <v>1.38531101737477E-2</v>
          </cell>
        </row>
        <row r="1038">
          <cell r="A1038" t="str">
            <v>RHES-SHSOLBR</v>
          </cell>
          <cell r="B1038" t="str">
            <v>VAR_cap</v>
          </cell>
          <cell r="C1038" t="str">
            <v>-</v>
          </cell>
          <cell r="D1038">
            <v>5.4798678617278197E-2</v>
          </cell>
          <cell r="E1038">
            <v>6.3249997535830785E-2</v>
          </cell>
          <cell r="F1038">
            <v>6.3250524933259861E-2</v>
          </cell>
          <cell r="G1038">
            <v>6.3250847996222381E-2</v>
          </cell>
          <cell r="H1038">
            <v>6.1206329780659902E-2</v>
          </cell>
          <cell r="I1038">
            <v>5.9227825312652402E-2</v>
          </cell>
          <cell r="J1038">
            <v>5.9227789974536198E-2</v>
          </cell>
          <cell r="K1038">
            <v>5.7319831997116898E-2</v>
          </cell>
          <cell r="L1038">
            <v>5.5467305639814703E-2</v>
          </cell>
          <cell r="M1038">
            <v>5.3674782999359801E-2</v>
          </cell>
          <cell r="N1038">
            <v>5.1940642510116403E-2</v>
          </cell>
          <cell r="O1038">
            <v>5.0265925243597603E-2</v>
          </cell>
        </row>
        <row r="1039">
          <cell r="A1039" t="str">
            <v>SCOM-SHSOLBR</v>
          </cell>
          <cell r="B1039" t="str">
            <v>VAR_fout</v>
          </cell>
          <cell r="C1039" t="str">
            <v>SCOM-SHASOL</v>
          </cell>
          <cell r="D1039">
            <v>0.62699680764505905</v>
          </cell>
          <cell r="E1039">
            <v>0.68734364804233028</v>
          </cell>
          <cell r="F1039">
            <v>0.68718362234502062</v>
          </cell>
          <cell r="G1039">
            <v>0.68734450827781024</v>
          </cell>
          <cell r="H1039">
            <v>0.6872266842979694</v>
          </cell>
          <cell r="I1039">
            <v>0.68729923544794069</v>
          </cell>
          <cell r="J1039">
            <v>0.687294554997396</v>
          </cell>
          <cell r="K1039">
            <v>0.68704032868807707</v>
          </cell>
          <cell r="L1039">
            <v>0.68731520711353422</v>
          </cell>
          <cell r="M1039">
            <v>0.68710531914054318</v>
          </cell>
          <cell r="N1039">
            <v>0.68727871936955165</v>
          </cell>
          <cell r="O1039">
            <v>0.68719550815647923</v>
          </cell>
        </row>
        <row r="1040">
          <cell r="A1040" t="str">
            <v>SCOM-SHSOLBR</v>
          </cell>
          <cell r="B1040" t="str">
            <v>VAR_fin</v>
          </cell>
          <cell r="C1040" t="str">
            <v>SOL</v>
          </cell>
          <cell r="D1040">
            <v>0.62699680764505905</v>
          </cell>
          <cell r="E1040">
            <v>0.68734364804233028</v>
          </cell>
          <cell r="F1040">
            <v>0.68718362234502062</v>
          </cell>
          <cell r="G1040">
            <v>0.68734450827781024</v>
          </cell>
          <cell r="H1040">
            <v>0.6872266842979694</v>
          </cell>
          <cell r="I1040">
            <v>0.68729923544794069</v>
          </cell>
          <cell r="J1040">
            <v>0.687294554997396</v>
          </cell>
          <cell r="K1040">
            <v>0.68704032868807707</v>
          </cell>
          <cell r="L1040">
            <v>0.68731520711353422</v>
          </cell>
          <cell r="M1040">
            <v>0.68710531914054318</v>
          </cell>
          <cell r="N1040">
            <v>0.68727871936955165</v>
          </cell>
          <cell r="O1040">
            <v>0.68719550815647923</v>
          </cell>
        </row>
        <row r="1041">
          <cell r="A1041" t="str">
            <v>SCOM-SHSOLBR</v>
          </cell>
          <cell r="B1041" t="str">
            <v>VAR_ncap</v>
          </cell>
          <cell r="C1041" t="str">
            <v>-</v>
          </cell>
          <cell r="D1041">
            <v>1.6886889217665101E-5</v>
          </cell>
          <cell r="E1041">
            <v>8.7726784264172408E-3</v>
          </cell>
          <cell r="F1041">
            <v>1.07688463087707E-6</v>
          </cell>
          <cell r="G1041">
            <v>2.6630810132154098E-6</v>
          </cell>
          <cell r="H1041">
            <v>7.1734745491369697E-2</v>
          </cell>
          <cell r="I1041">
            <v>2.8114652782183901E-2</v>
          </cell>
          <cell r="J1041">
            <v>6.6306905514059897E-6</v>
          </cell>
          <cell r="K1041">
            <v>7.1740329384380797E-2</v>
          </cell>
          <cell r="L1041">
            <v>2.3800057807980099E-2</v>
          </cell>
          <cell r="M1041">
            <v>4.3328592323393098E-3</v>
          </cell>
          <cell r="N1041">
            <v>6.6591658111809601E-2</v>
          </cell>
          <cell r="O1041">
            <v>2.9004443826446701E-2</v>
          </cell>
        </row>
        <row r="1042">
          <cell r="A1042" t="str">
            <v>SCOM-SHSOLBR</v>
          </cell>
          <cell r="B1042" t="str">
            <v>VAR_cap</v>
          </cell>
          <cell r="C1042" t="str">
            <v>-</v>
          </cell>
          <cell r="D1042">
            <v>9.1074480365297167E-2</v>
          </cell>
          <cell r="E1042">
            <v>9.9847158791714408E-2</v>
          </cell>
          <cell r="F1042">
            <v>9.9848235676345279E-2</v>
          </cell>
          <cell r="G1042">
            <v>9.9850898757358489E-2</v>
          </cell>
          <cell r="H1042">
            <v>9.9851869084586709E-2</v>
          </cell>
          <cell r="I1042">
            <v>9.9851780854242594E-2</v>
          </cell>
          <cell r="J1042">
            <v>9.9856028964105004E-2</v>
          </cell>
          <cell r="K1042">
            <v>9.9861612857116006E-2</v>
          </cell>
          <cell r="L1042">
            <v>9.9866070395527098E-2</v>
          </cell>
          <cell r="M1042">
            <v>9.9873246424700204E-2</v>
          </cell>
          <cell r="N1042">
            <v>9.9886416111959406E-2</v>
          </cell>
          <cell r="O1042">
            <v>9.9928961170595604E-2</v>
          </cell>
        </row>
        <row r="1043">
          <cell r="A1043" t="str">
            <v>RHEM-SHSTG-ELCHP</v>
          </cell>
          <cell r="B1043" t="str">
            <v>VAR_fout</v>
          </cell>
          <cell r="C1043" t="str">
            <v>RHEM-SHAELCH</v>
          </cell>
          <cell r="D1043">
            <v>3.2713208271330945E-7</v>
          </cell>
          <cell r="E1043">
            <v>3.231775079556117E-6</v>
          </cell>
          <cell r="F1043">
            <v>1.8037757041363565</v>
          </cell>
          <cell r="G1043">
            <v>2.0366115024405627</v>
          </cell>
          <cell r="H1043">
            <v>2.4091802847105961</v>
          </cell>
          <cell r="I1043">
            <v>2.396061115732246</v>
          </cell>
          <cell r="J1043">
            <v>2.5236072822808926</v>
          </cell>
          <cell r="K1043">
            <v>2.704817230904109</v>
          </cell>
          <cell r="L1043">
            <v>2.7228787721085572</v>
          </cell>
          <cell r="M1043">
            <v>2.6193812491064685</v>
          </cell>
          <cell r="N1043">
            <v>2.5957739440253609</v>
          </cell>
          <cell r="O1043">
            <v>2.5005524344768362</v>
          </cell>
        </row>
        <row r="1044">
          <cell r="A1044" t="str">
            <v>RHEM-SHSTG-ELCHP</v>
          </cell>
          <cell r="B1044" t="str">
            <v>VAR_fin</v>
          </cell>
          <cell r="C1044" t="str">
            <v>RHEM-SHAELCH</v>
          </cell>
          <cell r="D1044">
            <v>1.145416076963778E-5</v>
          </cell>
          <cell r="E1044">
            <v>9.6648524312985244E-6</v>
          </cell>
          <cell r="F1044">
            <v>1.803861288038173</v>
          </cell>
          <cell r="G1044">
            <v>2.0366894955975807</v>
          </cell>
          <cell r="H1044">
            <v>2.4092967074118246</v>
          </cell>
          <cell r="I1044">
            <v>2.3961842674897156</v>
          </cell>
          <cell r="J1044">
            <v>2.5237477235364625</v>
          </cell>
          <cell r="K1044">
            <v>2.7049691159004348</v>
          </cell>
          <cell r="L1044">
            <v>2.7230204629204611</v>
          </cell>
          <cell r="M1044">
            <v>2.6195388610475412</v>
          </cell>
          <cell r="N1044">
            <v>2.5959064785394399</v>
          </cell>
          <cell r="O1044">
            <v>2.5007064271107646</v>
          </cell>
        </row>
        <row r="1045">
          <cell r="A1045" t="str">
            <v>RHEM-SHSTG-ELCHP</v>
          </cell>
          <cell r="B1045" t="str">
            <v>VAR_ncap</v>
          </cell>
          <cell r="C1045" t="str">
            <v>-</v>
          </cell>
          <cell r="D1045">
            <v>7.3175989096677004E-3</v>
          </cell>
          <cell r="E1045">
            <v>0.18635845563268699</v>
          </cell>
          <cell r="F1045">
            <v>4.6366084682348403E-5</v>
          </cell>
          <cell r="G1045">
            <v>5.8762229360305099E-5</v>
          </cell>
          <cell r="H1045">
            <v>0.171210840876547</v>
          </cell>
          <cell r="I1045">
            <v>9.7340988248246302E-2</v>
          </cell>
          <cell r="J1045">
            <v>1.3890945229877099E-4</v>
          </cell>
          <cell r="K1045">
            <v>0.17127797394310901</v>
          </cell>
          <cell r="L1045">
            <v>8.2461358717809893E-2</v>
          </cell>
          <cell r="M1045">
            <v>1.5221127895404399E-2</v>
          </cell>
          <cell r="N1045">
            <v>0.16718468121171801</v>
          </cell>
          <cell r="O1045">
            <v>8.6550050723140606E-2</v>
          </cell>
        </row>
        <row r="1046">
          <cell r="A1046" t="str">
            <v>RHEM-SHSTG-ELCHP</v>
          </cell>
          <cell r="B1046" t="str">
            <v>VAR_cap</v>
          </cell>
          <cell r="C1046" t="str">
            <v>-</v>
          </cell>
          <cell r="D1046">
            <v>7.3175989096677004E-3</v>
          </cell>
          <cell r="E1046">
            <v>0.19364901776867224</v>
          </cell>
          <cell r="F1046">
            <v>0.19365565140614838</v>
          </cell>
          <cell r="G1046">
            <v>0.19366239096234222</v>
          </cell>
          <cell r="H1046">
            <v>0.26854713029024319</v>
          </cell>
          <cell r="I1046">
            <v>0.26856089903007824</v>
          </cell>
          <cell r="J1046">
            <v>0.2685627313531142</v>
          </cell>
          <cell r="K1046">
            <v>0.26856734851166053</v>
          </cell>
          <cell r="L1046">
            <v>0.26857344296065327</v>
          </cell>
          <cell r="M1046">
            <v>0.26857007226687313</v>
          </cell>
          <cell r="N1046">
            <v>0.2685899791323455</v>
          </cell>
          <cell r="O1046">
            <v>0.26860284115068062</v>
          </cell>
        </row>
        <row r="1047">
          <cell r="A1047" t="str">
            <v>ITOT-SWHELCBR</v>
          </cell>
          <cell r="B1047" t="str">
            <v>VAR_fout</v>
          </cell>
          <cell r="C1047" t="str">
            <v>ITOT-SWHAELC</v>
          </cell>
          <cell r="D1047">
            <v>9.8139195202505558</v>
          </cell>
          <cell r="E1047">
            <v>10.335085692333859</v>
          </cell>
          <cell r="F1047">
            <v>10.335134157333735</v>
          </cell>
          <cell r="G1047">
            <v>10.582229751318476</v>
          </cell>
          <cell r="H1047">
            <v>10.862147730041317</v>
          </cell>
          <cell r="I1047">
            <v>11.101051563456695</v>
          </cell>
          <cell r="J1047">
            <v>11.31937352204775</v>
          </cell>
          <cell r="K1047">
            <v>11.538047053067823</v>
          </cell>
          <cell r="L1047">
            <v>11.538050688436646</v>
          </cell>
          <cell r="M1047">
            <v>11.736575596171493</v>
          </cell>
          <cell r="N1047">
            <v>11.736574628993402</v>
          </cell>
          <cell r="O1047">
            <v>11.736599514343462</v>
          </cell>
        </row>
        <row r="1048">
          <cell r="A1048" t="str">
            <v>ITOT-SWHELCBR</v>
          </cell>
          <cell r="B1048" t="str">
            <v>VAR_fin</v>
          </cell>
          <cell r="C1048" t="str">
            <v>ITOT_ELC</v>
          </cell>
          <cell r="D1048">
            <v>11.646973432570563</v>
          </cell>
          <cell r="E1048">
            <v>12.258981209082204</v>
          </cell>
          <cell r="F1048">
            <v>12.249298048354747</v>
          </cell>
          <cell r="G1048">
            <v>12.525570690630333</v>
          </cell>
          <cell r="H1048">
            <v>12.839912178542928</v>
          </cell>
          <cell r="I1048">
            <v>13.105006414976147</v>
          </cell>
          <cell r="J1048">
            <v>13.345136937453445</v>
          </cell>
          <cell r="K1048">
            <v>13.58504958888666</v>
          </cell>
          <cell r="L1048">
            <v>13.585053869218108</v>
          </cell>
          <cell r="M1048">
            <v>13.818799727923905</v>
          </cell>
          <cell r="N1048">
            <v>13.8187985891556</v>
          </cell>
          <cell r="O1048">
            <v>13.818827889496729</v>
          </cell>
        </row>
        <row r="1049">
          <cell r="A1049" t="str">
            <v>ITOT-SWHELCBR</v>
          </cell>
          <cell r="B1049" t="str">
            <v>VAR_ncap</v>
          </cell>
          <cell r="C1049" t="str">
            <v>-</v>
          </cell>
          <cell r="E1049">
            <v>0.219337621298311</v>
          </cell>
          <cell r="F1049">
            <v>3.8619956828468401E-4</v>
          </cell>
          <cell r="G1049">
            <v>5.1905187287363298E-2</v>
          </cell>
          <cell r="H1049">
            <v>0.58343132860119995</v>
          </cell>
          <cell r="I1049">
            <v>0.34859413600704198</v>
          </cell>
          <cell r="J1049">
            <v>0.11542985959649001</v>
          </cell>
          <cell r="K1049">
            <v>0.54357262215368496</v>
          </cell>
          <cell r="L1049">
            <v>0.28209355404168901</v>
          </cell>
          <cell r="M1049">
            <v>0.20428745132957599</v>
          </cell>
          <cell r="N1049">
            <v>0.51616118203711703</v>
          </cell>
          <cell r="O1049">
            <v>0.30699016357954201</v>
          </cell>
        </row>
        <row r="1050">
          <cell r="A1050" t="str">
            <v>ITOT-SWHELCBR</v>
          </cell>
          <cell r="B1050" t="str">
            <v>VAR_cap</v>
          </cell>
          <cell r="C1050" t="str">
            <v>-</v>
          </cell>
          <cell r="D1050">
            <v>0.55644997413134401</v>
          </cell>
          <cell r="E1050">
            <v>0.77578319502261484</v>
          </cell>
          <cell r="F1050">
            <v>0.77615415977299729</v>
          </cell>
          <cell r="G1050">
            <v>0.82804498808419214</v>
          </cell>
          <cell r="H1050">
            <v>0.89233815475252598</v>
          </cell>
          <cell r="I1050">
            <v>0.97409926555063342</v>
          </cell>
          <cell r="J1050">
            <v>1.0474293563564181</v>
          </cell>
          <cell r="K1050">
            <v>1.0075526212110879</v>
          </cell>
          <cell r="L1050">
            <v>0.97932053099635374</v>
          </cell>
          <cell r="M1050">
            <v>1.0299072817932378</v>
          </cell>
          <cell r="N1050">
            <v>1.0093267597249109</v>
          </cell>
          <cell r="O1050">
            <v>1.0273897461809107</v>
          </cell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N4">
            <v>5.2618617248993491</v>
          </cell>
          <cell r="O4">
            <v>8.6405474009095027</v>
          </cell>
          <cell r="P4">
            <v>10.914398767781085</v>
          </cell>
        </row>
        <row r="5">
          <cell r="B5" t="str">
            <v>CO2_O</v>
          </cell>
          <cell r="C5" t="str">
            <v>EQ_combalM</v>
          </cell>
          <cell r="D5" t="str">
            <v>-</v>
          </cell>
          <cell r="N5">
            <v>5.2618617248993491</v>
          </cell>
          <cell r="O5">
            <v>8.6405474009095027</v>
          </cell>
          <cell r="P5">
            <v>10.914398767781085</v>
          </cell>
        </row>
        <row r="6">
          <cell r="B6" t="str">
            <v>CO2_R</v>
          </cell>
          <cell r="C6" t="str">
            <v>VAR_fout</v>
          </cell>
          <cell r="D6" t="str">
            <v>RHNS-SHNGAHP</v>
          </cell>
          <cell r="G6">
            <v>7.1225402380533501E-2</v>
          </cell>
          <cell r="H6">
            <v>6.6416539893073098E-2</v>
          </cell>
          <cell r="I6">
            <v>13.8543520176501</v>
          </cell>
          <cell r="J6">
            <v>33.146730819249598</v>
          </cell>
          <cell r="K6">
            <v>32.274931284010201</v>
          </cell>
          <cell r="L6">
            <v>38.152069435858301</v>
          </cell>
          <cell r="M6">
            <v>38.151549838403497</v>
          </cell>
          <cell r="N6">
            <v>38.151173571598797</v>
          </cell>
          <cell r="O6">
            <v>38.149047039450799</v>
          </cell>
          <cell r="P6">
            <v>38.151158675600598</v>
          </cell>
        </row>
        <row r="7">
          <cell r="B7" t="str">
            <v>CO2_R</v>
          </cell>
          <cell r="C7" t="str">
            <v>VAR_fout</v>
          </cell>
          <cell r="D7" t="str">
            <v>RHNS-CHPGFC</v>
          </cell>
          <cell r="H7">
            <v>1.7558720616588901E-2</v>
          </cell>
          <cell r="I7">
            <v>6.0850037067911297E-2</v>
          </cell>
          <cell r="J7">
            <v>6.0617752123187103E-2</v>
          </cell>
          <cell r="K7">
            <v>6.3878698295563197E-2</v>
          </cell>
          <cell r="L7">
            <v>0.15020964812609899</v>
          </cell>
          <cell r="M7">
            <v>0.12183393443302799</v>
          </cell>
          <cell r="N7">
            <v>0.19313710024937999</v>
          </cell>
          <cell r="O7">
            <v>0.18491633183101</v>
          </cell>
          <cell r="P7">
            <v>0.33050854439609301</v>
          </cell>
        </row>
        <row r="8">
          <cell r="B8" t="str">
            <v>CO2_R</v>
          </cell>
          <cell r="C8" t="str">
            <v>VAR_fout</v>
          </cell>
          <cell r="D8" t="str">
            <v>RHES-CHPNGA</v>
          </cell>
          <cell r="E8">
            <v>3.7582680079911199</v>
          </cell>
          <cell r="F8">
            <v>0.52642462256863898</v>
          </cell>
          <cell r="G8">
            <v>1.943627909498</v>
          </cell>
          <cell r="H8">
            <v>1.74994966826967</v>
          </cell>
          <cell r="I8">
            <v>1.95317241341436</v>
          </cell>
          <cell r="J8">
            <v>2.19918936080823</v>
          </cell>
          <cell r="K8">
            <v>2.1207030964714901</v>
          </cell>
          <cell r="L8">
            <v>2.4404766528378099</v>
          </cell>
          <cell r="M8">
            <v>2.0662250579599299</v>
          </cell>
          <cell r="N8">
            <v>2.23212922138348</v>
          </cell>
          <cell r="O8">
            <v>18.620168822208399</v>
          </cell>
          <cell r="P8">
            <v>21.088082239318101</v>
          </cell>
        </row>
        <row r="9">
          <cell r="B9" t="str">
            <v>CO2_R</v>
          </cell>
          <cell r="C9" t="str">
            <v>VAR_fout</v>
          </cell>
          <cell r="D9" t="str">
            <v>RHEM-CHPGFC</v>
          </cell>
          <cell r="H9">
            <v>7.7078008805392201E-2</v>
          </cell>
          <cell r="I9">
            <v>0.30274927703107901</v>
          </cell>
          <cell r="J9">
            <v>0.303553197950446</v>
          </cell>
          <cell r="K9">
            <v>0.337293735127352</v>
          </cell>
          <cell r="L9">
            <v>0.92293592760362198</v>
          </cell>
          <cell r="M9">
            <v>0.80395806221378596</v>
          </cell>
          <cell r="N9">
            <v>1.6229324577141799</v>
          </cell>
          <cell r="O9">
            <v>1.5820107396788401</v>
          </cell>
          <cell r="P9">
            <v>3.0818295222983698</v>
          </cell>
        </row>
        <row r="10">
          <cell r="B10" t="str">
            <v>CO2_R</v>
          </cell>
          <cell r="C10" t="str">
            <v>VAR_fout</v>
          </cell>
          <cell r="D10" t="str">
            <v>RHEM-SHNGABR</v>
          </cell>
          <cell r="E10">
            <v>1127.96413709898</v>
          </cell>
          <cell r="F10">
            <v>1120.1043067542801</v>
          </cell>
          <cell r="G10">
            <v>1127.0273109976299</v>
          </cell>
          <cell r="H10">
            <v>1119.55854801895</v>
          </cell>
          <cell r="I10">
            <v>1096.39375478385</v>
          </cell>
          <cell r="J10">
            <v>1060.6880719451101</v>
          </cell>
          <cell r="K10">
            <v>1026.4720139692599</v>
          </cell>
          <cell r="L10">
            <v>993.40806469616803</v>
          </cell>
          <cell r="M10">
            <v>947.82250799489304</v>
          </cell>
          <cell r="N10">
            <v>888.78623906374696</v>
          </cell>
          <cell r="O10">
            <v>870.63776755253195</v>
          </cell>
          <cell r="P10">
            <v>693.849179717737</v>
          </cell>
        </row>
        <row r="11">
          <cell r="B11" t="str">
            <v>CO2_R</v>
          </cell>
          <cell r="C11" t="str">
            <v>VAR_fout</v>
          </cell>
          <cell r="D11" t="str">
            <v>RHSA-WHNGAHP</v>
          </cell>
          <cell r="G11">
            <v>9.1253980893390901E-2</v>
          </cell>
          <cell r="H11">
            <v>0.103427719202317</v>
          </cell>
          <cell r="I11">
            <v>16.158475207553099</v>
          </cell>
          <cell r="J11">
            <v>40.784096110868497</v>
          </cell>
          <cell r="K11">
            <v>54.495397724323297</v>
          </cell>
          <cell r="L11">
            <v>87.538622693695402</v>
          </cell>
          <cell r="M11">
            <v>93.590078677851395</v>
          </cell>
          <cell r="N11">
            <v>97.944156566238505</v>
          </cell>
          <cell r="O11">
            <v>133.96202604305</v>
          </cell>
          <cell r="P11">
            <v>134.10869217578201</v>
          </cell>
        </row>
        <row r="12">
          <cell r="B12" t="str">
            <v>CO2_R</v>
          </cell>
          <cell r="C12" t="str">
            <v>VAR_fout</v>
          </cell>
          <cell r="D12" t="str">
            <v>RHEM-SHLFOBR</v>
          </cell>
          <cell r="E12">
            <v>1928.7110939726499</v>
          </cell>
          <cell r="F12">
            <v>1528.94848412242</v>
          </cell>
          <cell r="G12">
            <v>1445.61341471893</v>
          </cell>
          <cell r="H12">
            <v>1583.12878236191</v>
          </cell>
          <cell r="I12">
            <v>1333.4607869798101</v>
          </cell>
          <cell r="J12">
            <v>1190.19509307772</v>
          </cell>
          <cell r="K12">
            <v>1143.19673729491</v>
          </cell>
          <cell r="L12">
            <v>1085.41267561891</v>
          </cell>
          <cell r="M12">
            <v>1047.80670572087</v>
          </cell>
          <cell r="N12">
            <v>915.02739379444495</v>
          </cell>
          <cell r="O12">
            <v>839.497176450089</v>
          </cell>
          <cell r="P12">
            <v>358.374334980762</v>
          </cell>
        </row>
        <row r="13">
          <cell r="B13" t="str">
            <v>CO2_R</v>
          </cell>
          <cell r="C13" t="str">
            <v>VAR_fout</v>
          </cell>
          <cell r="D13" t="str">
            <v>RHES-SHNGAHP</v>
          </cell>
          <cell r="G13">
            <v>4.84166789681124E-2</v>
          </cell>
          <cell r="H13">
            <v>4.7900631938134701E-2</v>
          </cell>
          <cell r="I13">
            <v>0.56757156212934401</v>
          </cell>
          <cell r="J13">
            <v>0.62998458233480603</v>
          </cell>
          <cell r="K13">
            <v>0.61422473803441602</v>
          </cell>
          <cell r="L13">
            <v>39.332044766699298</v>
          </cell>
          <cell r="M13">
            <v>39.331472365669697</v>
          </cell>
          <cell r="N13">
            <v>39.332154366450197</v>
          </cell>
          <cell r="O13">
            <v>123.24538687143099</v>
          </cell>
          <cell r="P13">
            <v>123.24668341338401</v>
          </cell>
        </row>
        <row r="14">
          <cell r="B14" t="str">
            <v>CO2_R</v>
          </cell>
          <cell r="C14" t="str">
            <v>VAR_fout</v>
          </cell>
          <cell r="D14" t="str">
            <v>RHES-CHPGFC</v>
          </cell>
          <cell r="H14">
            <v>1.77192754254724E-2</v>
          </cell>
          <cell r="I14">
            <v>6.2200994914415199E-2</v>
          </cell>
          <cell r="J14">
            <v>6.1987252372899898E-2</v>
          </cell>
          <cell r="K14">
            <v>6.4005497443437004E-2</v>
          </cell>
          <cell r="L14">
            <v>0.15190581018100499</v>
          </cell>
          <cell r="M14">
            <v>0.122843361136646</v>
          </cell>
          <cell r="N14">
            <v>0.19973724000786799</v>
          </cell>
          <cell r="O14">
            <v>0.19323554062235401</v>
          </cell>
          <cell r="P14">
            <v>0.371197158893038</v>
          </cell>
        </row>
        <row r="15">
          <cell r="B15" t="str">
            <v>CO2_R</v>
          </cell>
          <cell r="C15" t="str">
            <v>VAR_fout</v>
          </cell>
          <cell r="D15" t="str">
            <v>RHNM-CHPNGA</v>
          </cell>
          <cell r="F15">
            <v>0.24943900743542899</v>
          </cell>
          <cell r="G15">
            <v>2.5419919213812299</v>
          </cell>
          <cell r="H15">
            <v>71.538091470533402</v>
          </cell>
          <cell r="I15">
            <v>72.648546073719302</v>
          </cell>
          <cell r="J15">
            <v>75.482728333569696</v>
          </cell>
          <cell r="K15">
            <v>74.9100599038686</v>
          </cell>
          <cell r="L15">
            <v>79.085697565336304</v>
          </cell>
          <cell r="M15">
            <v>77.946529910280205</v>
          </cell>
          <cell r="N15">
            <v>74.855695444705106</v>
          </cell>
          <cell r="O15">
            <v>51.586869884469401</v>
          </cell>
          <cell r="P15">
            <v>5.3050004532272501</v>
          </cell>
        </row>
        <row r="16">
          <cell r="B16" t="str">
            <v>CO2_R</v>
          </cell>
          <cell r="C16" t="str">
            <v>VAR_fout</v>
          </cell>
          <cell r="D16" t="str">
            <v>RHNM-SHNGAHP</v>
          </cell>
          <cell r="G16">
            <v>0.195127391064599</v>
          </cell>
          <cell r="H16">
            <v>0.189707336612081</v>
          </cell>
          <cell r="I16">
            <v>51.273303234906699</v>
          </cell>
          <cell r="J16">
            <v>86.224052727920693</v>
          </cell>
          <cell r="K16">
            <v>109.780092265373</v>
          </cell>
          <cell r="L16">
            <v>126.041785172958</v>
          </cell>
          <cell r="M16">
            <v>140.109071442595</v>
          </cell>
          <cell r="N16">
            <v>150.23850737014101</v>
          </cell>
          <cell r="O16">
            <v>150.236747271958</v>
          </cell>
          <cell r="P16">
            <v>150.23639643487201</v>
          </cell>
        </row>
        <row r="17">
          <cell r="B17" t="str">
            <v>CO2_R</v>
          </cell>
          <cell r="C17" t="str">
            <v>VAR_fout</v>
          </cell>
          <cell r="D17" t="str">
            <v>RHES-SHNGABR</v>
          </cell>
          <cell r="E17">
            <v>1043.1361302708001</v>
          </cell>
          <cell r="F17">
            <v>1212.91017372895</v>
          </cell>
          <cell r="G17">
            <v>1085.7278643981299</v>
          </cell>
          <cell r="H17">
            <v>1180.8349821035699</v>
          </cell>
          <cell r="I17">
            <v>1211.7216779508601</v>
          </cell>
          <cell r="J17">
            <v>1132.01563188419</v>
          </cell>
          <cell r="K17">
            <v>1100.7295842590499</v>
          </cell>
          <cell r="L17">
            <v>1069.3351051473901</v>
          </cell>
          <cell r="M17">
            <v>997.66782896678296</v>
          </cell>
          <cell r="N17">
            <v>924.18197234660204</v>
          </cell>
          <cell r="O17">
            <v>905.069522389658</v>
          </cell>
          <cell r="P17">
            <v>754.27294725910303</v>
          </cell>
        </row>
        <row r="18">
          <cell r="B18" t="str">
            <v>CO2_R</v>
          </cell>
          <cell r="C18" t="str">
            <v>VAR_fout</v>
          </cell>
          <cell r="D18" t="str">
            <v>RHSA-WHNGABR</v>
          </cell>
          <cell r="E18">
            <v>479.81095726375003</v>
          </cell>
          <cell r="F18">
            <v>384.94681076549</v>
          </cell>
          <cell r="G18">
            <v>668.93148891075896</v>
          </cell>
          <cell r="H18">
            <v>669.10214395350397</v>
          </cell>
          <cell r="I18">
            <v>705.39753579899195</v>
          </cell>
          <cell r="J18">
            <v>684.84185247640596</v>
          </cell>
          <cell r="K18">
            <v>660.20654792768801</v>
          </cell>
          <cell r="L18">
            <v>636.19696435630306</v>
          </cell>
          <cell r="M18">
            <v>600.03501522014801</v>
          </cell>
          <cell r="N18">
            <v>559.16267206281395</v>
          </cell>
          <cell r="O18">
            <v>547.67004940650099</v>
          </cell>
          <cell r="P18">
            <v>446.63645559147</v>
          </cell>
        </row>
        <row r="19">
          <cell r="B19" t="str">
            <v>CO2_R</v>
          </cell>
          <cell r="C19" t="str">
            <v>VAR_fout</v>
          </cell>
          <cell r="D19" t="str">
            <v>RHSA-WHLFOBR</v>
          </cell>
          <cell r="E19">
            <v>726.71262598251406</v>
          </cell>
          <cell r="F19">
            <v>612.36616364483098</v>
          </cell>
          <cell r="G19">
            <v>125.60606319577001</v>
          </cell>
          <cell r="H19">
            <v>198.19975362796001</v>
          </cell>
          <cell r="I19">
            <v>57.281549997323097</v>
          </cell>
          <cell r="J19">
            <v>0.523194229994287</v>
          </cell>
          <cell r="K19">
            <v>0.52276610286839698</v>
          </cell>
          <cell r="L19">
            <v>0.49202574970646801</v>
          </cell>
          <cell r="M19">
            <v>0.68160882602684003</v>
          </cell>
          <cell r="N19">
            <v>1.0293787527828999</v>
          </cell>
          <cell r="O19">
            <v>0.86140569149581803</v>
          </cell>
          <cell r="P19">
            <v>2.4401426737611902</v>
          </cell>
        </row>
        <row r="20">
          <cell r="B20" t="str">
            <v>CO2_R</v>
          </cell>
          <cell r="C20" t="str">
            <v>VAR_fout</v>
          </cell>
          <cell r="D20" t="str">
            <v>RHES-SHLFOBR</v>
          </cell>
          <cell r="E20">
            <v>1783.6632696767099</v>
          </cell>
          <cell r="F20">
            <v>1640.9693150770299</v>
          </cell>
          <cell r="G20">
            <v>1719.7913329395799</v>
          </cell>
          <cell r="H20">
            <v>1599.26161165352</v>
          </cell>
          <cell r="I20">
            <v>1317.9634229155099</v>
          </cell>
          <cell r="J20">
            <v>1290.1292852829099</v>
          </cell>
          <cell r="K20">
            <v>1249.7442102479399</v>
          </cell>
          <cell r="L20">
            <v>968.41595076470003</v>
          </cell>
          <cell r="M20">
            <v>867.71309793726505</v>
          </cell>
          <cell r="N20">
            <v>730.756680897308</v>
          </cell>
          <cell r="O20">
            <v>392.802182137194</v>
          </cell>
          <cell r="P20">
            <v>114.839394640707</v>
          </cell>
        </row>
        <row r="21">
          <cell r="B21" t="str">
            <v>CO2_R</v>
          </cell>
          <cell r="C21" t="str">
            <v>VAR_fout</v>
          </cell>
          <cell r="D21" t="str">
            <v>RHNS-CHPNGA</v>
          </cell>
          <cell r="F21">
            <v>9.7627333637914607E-2</v>
          </cell>
          <cell r="G21">
            <v>0.429402601555605</v>
          </cell>
          <cell r="H21">
            <v>0.38112110903990998</v>
          </cell>
          <cell r="I21">
            <v>1.0473430453438799</v>
          </cell>
          <cell r="J21">
            <v>0.993988819750521</v>
          </cell>
          <cell r="K21">
            <v>1.8549774847307099</v>
          </cell>
          <cell r="L21">
            <v>2.7473482476098199</v>
          </cell>
          <cell r="M21">
            <v>2.2046580684308501</v>
          </cell>
          <cell r="N21">
            <v>2.5625597949041801</v>
          </cell>
          <cell r="O21">
            <v>1.3732764743358501</v>
          </cell>
          <cell r="P21">
            <v>1.7020291809261201</v>
          </cell>
        </row>
        <row r="22">
          <cell r="B22" t="str">
            <v>CO2_R</v>
          </cell>
          <cell r="C22" t="str">
            <v>VAR_fout</v>
          </cell>
          <cell r="D22" t="str">
            <v>RHNM-CHPGFC</v>
          </cell>
          <cell r="H22">
            <v>7.7877281150226504E-2</v>
          </cell>
          <cell r="I22">
            <v>0.30174478846636699</v>
          </cell>
          <cell r="J22">
            <v>0.30211642146346401</v>
          </cell>
          <cell r="K22">
            <v>0.338275267155143</v>
          </cell>
          <cell r="L22">
            <v>0.91386239214811804</v>
          </cell>
          <cell r="M22">
            <v>0.77864318257676501</v>
          </cell>
          <cell r="N22">
            <v>1.6122922288219701</v>
          </cell>
          <cell r="O22">
            <v>1.56098657175588</v>
          </cell>
          <cell r="P22">
            <v>2.4522489910205501</v>
          </cell>
        </row>
        <row r="23">
          <cell r="B23" t="str">
            <v>CO2_R</v>
          </cell>
          <cell r="C23" t="str">
            <v>VAR_fout</v>
          </cell>
          <cell r="D23" t="str">
            <v>RHEM-CHPNGA</v>
          </cell>
          <cell r="E23">
            <v>6.2741022959197101</v>
          </cell>
          <cell r="F23">
            <v>4.3287984361885101</v>
          </cell>
          <cell r="G23">
            <v>17.5743176785532</v>
          </cell>
          <cell r="H23">
            <v>47.047173666059599</v>
          </cell>
          <cell r="I23">
            <v>50.698945921753698</v>
          </cell>
          <cell r="J23">
            <v>62.657586610553203</v>
          </cell>
          <cell r="K23">
            <v>49.458801540541103</v>
          </cell>
          <cell r="L23">
            <v>54.518728120030403</v>
          </cell>
          <cell r="M23">
            <v>52.512298385990803</v>
          </cell>
          <cell r="N23">
            <v>49.185638744510001</v>
          </cell>
          <cell r="O23">
            <v>61.2630481425727</v>
          </cell>
          <cell r="P23">
            <v>94.813549830182396</v>
          </cell>
        </row>
        <row r="24">
          <cell r="B24" t="str">
            <v>CO2_R</v>
          </cell>
          <cell r="C24" t="str">
            <v>VAR_fout</v>
          </cell>
          <cell r="D24" t="str">
            <v>RHES-SHCOABR</v>
          </cell>
          <cell r="E24">
            <v>9.2700968222343505</v>
          </cell>
          <cell r="F24">
            <v>9.2700887317488796</v>
          </cell>
          <cell r="G24">
            <v>0.19195943958690601</v>
          </cell>
          <cell r="H24">
            <v>0.16352377951901401</v>
          </cell>
          <cell r="I24">
            <v>6.6685435583247701E-2</v>
          </cell>
        </row>
        <row r="25">
          <cell r="B25" t="str">
            <v>CO2_R</v>
          </cell>
          <cell r="C25" t="str">
            <v>VAR_fout</v>
          </cell>
          <cell r="D25" t="str">
            <v>RHEM-SHNGAHP</v>
          </cell>
          <cell r="G25">
            <v>7.2508162770668294E-2</v>
          </cell>
          <cell r="H25">
            <v>7.7044159987640803E-2</v>
          </cell>
          <cell r="I25">
            <v>8.6593721323057593E-2</v>
          </cell>
          <cell r="J25">
            <v>5.7899615371212097E-2</v>
          </cell>
          <cell r="K25">
            <v>5.7224195275093599E-2</v>
          </cell>
          <cell r="L25">
            <v>9.65444305350244E-2</v>
          </cell>
          <cell r="M25">
            <v>9.6942009982764393E-2</v>
          </cell>
          <cell r="N25">
            <v>9.7614978393717397E-2</v>
          </cell>
          <cell r="O25">
            <v>7.0305988331129596E-2</v>
          </cell>
          <cell r="P25">
            <v>0.30361590489156798</v>
          </cell>
        </row>
        <row r="26">
          <cell r="B26" t="str">
            <v>CO2_R</v>
          </cell>
          <cell r="C26" t="str">
            <v>VAR_comnet</v>
          </cell>
          <cell r="D26" t="str">
            <v>-</v>
          </cell>
          <cell r="E26">
            <v>7109.3006813915499</v>
          </cell>
          <cell r="F26">
            <v>6514.7176322245896</v>
          </cell>
          <cell r="G26">
            <v>6195.8573063274498</v>
          </cell>
          <cell r="H26">
            <v>6471.6404110864696</v>
          </cell>
          <cell r="I26">
            <v>5931.3012621571997</v>
          </cell>
          <cell r="J26">
            <v>5661.2976605006797</v>
          </cell>
          <cell r="K26">
            <v>5507.2417252323703</v>
          </cell>
          <cell r="L26">
            <v>5185.3530171967996</v>
          </cell>
          <cell r="M26">
            <v>4909.5628689635096</v>
          </cell>
          <cell r="N26">
            <v>4477.1720660028204</v>
          </cell>
          <cell r="O26">
            <v>4138.5661293491703</v>
          </cell>
          <cell r="P26">
            <v>2945.6034473883301</v>
          </cell>
        </row>
        <row r="27">
          <cell r="B27" t="str">
            <v>CO2_S</v>
          </cell>
          <cell r="C27" t="str">
            <v>VAR_fout</v>
          </cell>
          <cell r="D27" t="str">
            <v>SCOM-SHNGAHP</v>
          </cell>
          <cell r="G27">
            <v>5.82930636888997E-2</v>
          </cell>
          <cell r="H27">
            <v>5.6173290897194902E-2</v>
          </cell>
          <cell r="I27">
            <v>0.23962268531170999</v>
          </cell>
          <cell r="J27">
            <v>0.362600207008827</v>
          </cell>
          <cell r="K27">
            <v>0.72649947498817002</v>
          </cell>
          <cell r="L27">
            <v>0.58839612460041701</v>
          </cell>
          <cell r="M27">
            <v>0.42095468778041001</v>
          </cell>
          <cell r="N27">
            <v>1.4514140270570299</v>
          </cell>
          <cell r="O27">
            <v>1.41495720604389</v>
          </cell>
          <cell r="P27">
            <v>2.6562108545003</v>
          </cell>
        </row>
        <row r="28">
          <cell r="B28" t="str">
            <v>CO2_S</v>
          </cell>
          <cell r="C28" t="str">
            <v>VAR_fout</v>
          </cell>
          <cell r="D28" t="str">
            <v>SCOM-CHPNGA</v>
          </cell>
          <cell r="E28">
            <v>93.865023717487105</v>
          </cell>
          <cell r="F28">
            <v>98.055901778777397</v>
          </cell>
          <cell r="G28">
            <v>82.583685490939601</v>
          </cell>
          <cell r="H28">
            <v>351.31396717233099</v>
          </cell>
          <cell r="I28">
            <v>620.52556592577901</v>
          </cell>
          <cell r="J28">
            <v>594.14312170780602</v>
          </cell>
          <cell r="K28">
            <v>585.31787878886996</v>
          </cell>
          <cell r="L28">
            <v>406.11160619182198</v>
          </cell>
          <cell r="M28">
            <v>407.23662243943397</v>
          </cell>
          <cell r="N28">
            <v>416.24865149634797</v>
          </cell>
          <cell r="O28">
            <v>447.75852260512897</v>
          </cell>
          <cell r="P28">
            <v>473.70080796163597</v>
          </cell>
        </row>
        <row r="29">
          <cell r="B29" t="str">
            <v>CO2_S</v>
          </cell>
          <cell r="C29" t="str">
            <v>VAR_fout</v>
          </cell>
          <cell r="D29" t="str">
            <v>SCOM-SHNGABR</v>
          </cell>
          <cell r="E29">
            <v>1440.9463494311599</v>
          </cell>
          <cell r="F29">
            <v>1508.68788320209</v>
          </cell>
          <cell r="G29">
            <v>1440.0143797790499</v>
          </cell>
          <cell r="H29">
            <v>1491.76110632369</v>
          </cell>
          <cell r="I29">
            <v>1509.36655824938</v>
          </cell>
          <cell r="J29">
            <v>1519.09153419415</v>
          </cell>
          <cell r="K29">
            <v>1421.0965842861999</v>
          </cell>
          <cell r="L29">
            <v>1327.20842415727</v>
          </cell>
          <cell r="M29">
            <v>1295.7619155750799</v>
          </cell>
          <cell r="N29">
            <v>1262.9500100748901</v>
          </cell>
          <cell r="O29">
            <v>1235.5784928452999</v>
          </cell>
          <cell r="P29">
            <v>1177.89831015548</v>
          </cell>
        </row>
        <row r="30">
          <cell r="B30" t="str">
            <v>CO2_S</v>
          </cell>
          <cell r="C30" t="str">
            <v>VAR_fout</v>
          </cell>
          <cell r="D30" t="str">
            <v>SCOM-CHPGFC</v>
          </cell>
          <cell r="H30">
            <v>0.14553736091031799</v>
          </cell>
          <cell r="I30">
            <v>0.46761153215303097</v>
          </cell>
          <cell r="J30">
            <v>0.44983297991041798</v>
          </cell>
          <cell r="K30">
            <v>0.33872934988977499</v>
          </cell>
          <cell r="L30">
            <v>0.73139294430094004</v>
          </cell>
          <cell r="M30">
            <v>0.733045661472983</v>
          </cell>
          <cell r="N30">
            <v>1.5557310727971301</v>
          </cell>
          <cell r="O30">
            <v>1.2009752973388299</v>
          </cell>
          <cell r="P30">
            <v>2.7581653548780598</v>
          </cell>
        </row>
        <row r="31">
          <cell r="B31" t="str">
            <v>CO2_S</v>
          </cell>
          <cell r="C31" t="str">
            <v>VAR_fout</v>
          </cell>
          <cell r="D31" t="str">
            <v>SCOM-SHLFOBR</v>
          </cell>
          <cell r="E31">
            <v>2229.9140360583101</v>
          </cell>
          <cell r="F31">
            <v>1978.9434860444201</v>
          </cell>
          <cell r="G31">
            <v>1860.06527064857</v>
          </cell>
          <cell r="H31">
            <v>1598.3599453606801</v>
          </cell>
          <cell r="I31">
            <v>1254.76921844511</v>
          </cell>
          <cell r="J31">
            <v>1061.35514921867</v>
          </cell>
          <cell r="K31">
            <v>987.99472243202501</v>
          </cell>
          <cell r="L31">
            <v>762.514165335646</v>
          </cell>
          <cell r="M31">
            <v>636.32853663859203</v>
          </cell>
          <cell r="N31">
            <v>518.36741756598997</v>
          </cell>
          <cell r="O31">
            <v>304.60154844843402</v>
          </cell>
          <cell r="P31">
            <v>104.71492251282299</v>
          </cell>
        </row>
        <row r="32">
          <cell r="B32" t="str">
            <v>CO2_S</v>
          </cell>
          <cell r="C32" t="str">
            <v>VAR_comnet</v>
          </cell>
          <cell r="D32" t="str">
            <v>-</v>
          </cell>
          <cell r="E32">
            <v>3764.7254092069602</v>
          </cell>
          <cell r="F32">
            <v>3585.6872710252901</v>
          </cell>
          <cell r="G32">
            <v>3382.72162898225</v>
          </cell>
          <cell r="H32">
            <v>3441.6367295085101</v>
          </cell>
          <cell r="I32">
            <v>3385.36857683773</v>
          </cell>
          <cell r="J32">
            <v>3175.4022383075499</v>
          </cell>
          <cell r="K32">
            <v>2995.4744143319799</v>
          </cell>
          <cell r="L32">
            <v>2497.1539847536401</v>
          </cell>
          <cell r="M32">
            <v>2340.4810750023598</v>
          </cell>
          <cell r="N32">
            <v>2200.57322423708</v>
          </cell>
          <cell r="O32">
            <v>1990.5544964022399</v>
          </cell>
          <cell r="P32">
            <v>1761.7284168393201</v>
          </cell>
        </row>
        <row r="33">
          <cell r="B33" t="str">
            <v>CO2_T</v>
          </cell>
          <cell r="C33" t="str">
            <v>VAR_fout</v>
          </cell>
          <cell r="D33" t="str">
            <v>T_B_u-ICENGAEXT</v>
          </cell>
          <cell r="E33">
            <v>1.7835324958576999E-2</v>
          </cell>
          <cell r="F33">
            <v>1.7890809108090901E-2</v>
          </cell>
          <cell r="G33">
            <v>1.7837169874748999E-2</v>
          </cell>
        </row>
        <row r="34">
          <cell r="B34" t="str">
            <v>CO2_T</v>
          </cell>
          <cell r="C34" t="str">
            <v>VAR_fout</v>
          </cell>
          <cell r="D34" t="str">
            <v>TFHGV-ICENGA</v>
          </cell>
          <cell r="E34">
            <v>1.524603954293734</v>
          </cell>
          <cell r="F34">
            <v>0.12586640638265559</v>
          </cell>
          <cell r="G34">
            <v>0.16117218491807225</v>
          </cell>
          <cell r="H34">
            <v>0.15881627258212519</v>
          </cell>
          <cell r="I34">
            <v>0.14691249028081729</v>
          </cell>
          <cell r="J34">
            <v>0.14341004581267741</v>
          </cell>
          <cell r="K34">
            <v>0.13711081793871641</v>
          </cell>
          <cell r="L34">
            <v>0.13003887994855512</v>
          </cell>
          <cell r="M34">
            <v>0.12695930492975591</v>
          </cell>
          <cell r="N34">
            <v>0.12651048616845381</v>
          </cell>
          <cell r="O34">
            <v>0.12729728614982438</v>
          </cell>
          <cell r="P34">
            <v>0.1265975276413486</v>
          </cell>
        </row>
        <row r="35">
          <cell r="B35" t="str">
            <v>CO2_T</v>
          </cell>
          <cell r="C35" t="str">
            <v>VAR_fout</v>
          </cell>
          <cell r="D35" t="str">
            <v>T-Plg-GSL-mix_S1</v>
          </cell>
          <cell r="E35">
            <v>2.2379118978968101E-2</v>
          </cell>
          <cell r="F35">
            <v>5.9853387896414201E-2</v>
          </cell>
          <cell r="G35">
            <v>7.2265389992309303E-2</v>
          </cell>
          <cell r="H35">
            <v>7.1287077247905339E-2</v>
          </cell>
          <cell r="I35">
            <v>5.8067514226113448E-2</v>
          </cell>
          <cell r="J35">
            <v>5.2467254685543599E-2</v>
          </cell>
          <cell r="K35">
            <v>6.2214647231833599E-2</v>
          </cell>
          <cell r="L35">
            <v>4.7812086937427306E-2</v>
          </cell>
          <cell r="M35">
            <v>8.8325918246804302E-2</v>
          </cell>
          <cell r="N35">
            <v>0.16555382882471179</v>
          </cell>
          <cell r="O35">
            <v>0.24380525541012149</v>
          </cell>
          <cell r="P35">
            <v>0.372854774992396</v>
          </cell>
        </row>
        <row r="36">
          <cell r="B36" t="str">
            <v>CO2_T</v>
          </cell>
          <cell r="C36" t="str">
            <v>VAR_fout</v>
          </cell>
          <cell r="D36" t="str">
            <v>T-Plg-GSL-mix_S2</v>
          </cell>
          <cell r="E36">
            <v>6.2570768204203002</v>
          </cell>
          <cell r="F36">
            <v>12.32266214459368</v>
          </cell>
          <cell r="G36">
            <v>11.895477486138422</v>
          </cell>
          <cell r="H36">
            <v>9.6418644227520467</v>
          </cell>
          <cell r="I36">
            <v>1.0451675587915064</v>
          </cell>
          <cell r="J36">
            <v>0.2283702495703521</v>
          </cell>
          <cell r="K36">
            <v>0.2078182663949858</v>
          </cell>
          <cell r="L36">
            <v>0.13046436232041009</v>
          </cell>
          <cell r="M36">
            <v>0.22056039330582219</v>
          </cell>
          <cell r="N36">
            <v>6.2545642687784593</v>
          </cell>
          <cell r="O36">
            <v>14.081949771642375</v>
          </cell>
          <cell r="P36">
            <v>16.996016551888509</v>
          </cell>
        </row>
        <row r="37">
          <cell r="B37" t="str">
            <v>CO2_T</v>
          </cell>
          <cell r="C37" t="str">
            <v>VAR_fout</v>
          </cell>
          <cell r="D37" t="str">
            <v>T-Plg-GSL-mix_S3</v>
          </cell>
          <cell r="E37">
            <v>6.6356548346329998</v>
          </cell>
          <cell r="F37">
            <v>18.097193040738759</v>
          </cell>
          <cell r="G37">
            <v>65.6845902349</v>
          </cell>
          <cell r="H37">
            <v>65.57311444551766</v>
          </cell>
          <cell r="I37">
            <v>72.622950091985388</v>
          </cell>
          <cell r="J37">
            <v>35.255979202071032</v>
          </cell>
          <cell r="K37">
            <v>25.947487017135192</v>
          </cell>
          <cell r="L37">
            <v>7.4361435193512104</v>
          </cell>
          <cell r="M37">
            <v>18.010067360325721</v>
          </cell>
          <cell r="N37">
            <v>15.218052670906076</v>
          </cell>
          <cell r="O37">
            <v>11.262874483527185</v>
          </cell>
          <cell r="P37">
            <v>2.2008267475104102</v>
          </cell>
        </row>
        <row r="38">
          <cell r="B38" t="str">
            <v>CO2_T</v>
          </cell>
          <cell r="C38" t="str">
            <v>VAR_fout</v>
          </cell>
          <cell r="D38" t="str">
            <v>T-Plg-GSL-mix_S4</v>
          </cell>
          <cell r="E38">
            <v>12.5970671586397</v>
          </cell>
          <cell r="F38">
            <v>22.534238445710798</v>
          </cell>
          <cell r="G38">
            <v>21.659912050904346</v>
          </cell>
          <cell r="H38">
            <v>17.324431597648761</v>
          </cell>
          <cell r="I38">
            <v>2.5817641421148001</v>
          </cell>
          <cell r="J38">
            <v>0.58674466305766537</v>
          </cell>
          <cell r="K38">
            <v>0.88111360059857602</v>
          </cell>
          <cell r="L38">
            <v>0.481251646385919</v>
          </cell>
          <cell r="M38">
            <v>10.131897689763694</v>
          </cell>
          <cell r="N38">
            <v>9.4498239923415213</v>
          </cell>
          <cell r="O38">
            <v>6.4645617707957239</v>
          </cell>
          <cell r="P38">
            <v>38.684220937055102</v>
          </cell>
        </row>
        <row r="39">
          <cell r="B39" t="str">
            <v>CO2_T</v>
          </cell>
          <cell r="C39" t="str">
            <v>VAR_fout</v>
          </cell>
          <cell r="D39" t="str">
            <v>TFLGV-HYBDSL</v>
          </cell>
          <cell r="F39">
            <v>32.837556943133997</v>
          </cell>
          <cell r="G39">
            <v>97.883350178276999</v>
          </cell>
          <cell r="H39">
            <v>276.90913191908851</v>
          </cell>
          <cell r="I39">
            <v>333.354604430282</v>
          </cell>
          <cell r="J39">
            <v>166.05038666383186</v>
          </cell>
          <cell r="K39">
            <v>180.04781157064542</v>
          </cell>
          <cell r="L39">
            <v>190.79451216901319</v>
          </cell>
          <cell r="M39">
            <v>195.81320441800221</v>
          </cell>
          <cell r="N39">
            <v>196.47105021790918</v>
          </cell>
          <cell r="O39">
            <v>194.50602256961338</v>
          </cell>
          <cell r="P39">
            <v>197.96752359291071</v>
          </cell>
        </row>
        <row r="40">
          <cell r="B40" t="str">
            <v>CO2_T</v>
          </cell>
          <cell r="C40" t="str">
            <v>VAR_fout</v>
          </cell>
          <cell r="D40" t="str">
            <v>TFLGV-ICEGSLExt</v>
          </cell>
          <cell r="E40">
            <v>53.328718566280401</v>
          </cell>
          <cell r="F40">
            <v>99.972565371459893</v>
          </cell>
          <cell r="G40">
            <v>42.050781046136002</v>
          </cell>
          <cell r="H40">
            <v>20.016644356621899</v>
          </cell>
        </row>
        <row r="41">
          <cell r="B41" t="str">
            <v>CO2_T</v>
          </cell>
          <cell r="C41" t="str">
            <v>VAR_fout</v>
          </cell>
          <cell r="D41" t="str">
            <v>TFLGV-ICEDSLExt</v>
          </cell>
          <cell r="E41">
            <v>812.44484431433102</v>
          </cell>
          <cell r="F41">
            <v>579.71560948673505</v>
          </cell>
          <cell r="G41">
            <v>415.409292851006</v>
          </cell>
          <cell r="H41">
            <v>199.79034807306499</v>
          </cell>
        </row>
        <row r="42">
          <cell r="B42" t="str">
            <v>CO2_T</v>
          </cell>
          <cell r="C42" t="str">
            <v>VAR_fout</v>
          </cell>
          <cell r="D42" t="str">
            <v>T_C-ICE-NGA-S1</v>
          </cell>
          <cell r="E42">
            <v>0.20226028507816232</v>
          </cell>
          <cell r="F42">
            <v>0.12034171646988343</v>
          </cell>
          <cell r="G42">
            <v>0.12095933201043614</v>
          </cell>
          <cell r="H42">
            <v>8.2240016852059578E-3</v>
          </cell>
          <cell r="I42">
            <v>4.4928068126245833E-3</v>
          </cell>
          <cell r="J42">
            <v>3.4959602310361024E-3</v>
          </cell>
          <cell r="K42">
            <v>3.3179395604985302E-3</v>
          </cell>
          <cell r="L42">
            <v>3.3398957732030049E-3</v>
          </cell>
          <cell r="M42">
            <v>2.8076013739986301E-3</v>
          </cell>
          <cell r="N42">
            <v>3.001283763311794E-3</v>
          </cell>
          <cell r="O42">
            <v>2.9036176585753347E-3</v>
          </cell>
          <cell r="P42">
            <v>3.1190135198415703E-3</v>
          </cell>
        </row>
        <row r="43">
          <cell r="B43" t="str">
            <v>CO2_T</v>
          </cell>
          <cell r="C43" t="str">
            <v>VAR_fout</v>
          </cell>
          <cell r="D43" t="str">
            <v>T_C-ICE-NGA-S2</v>
          </cell>
          <cell r="E43">
            <v>2.660382295154037</v>
          </cell>
          <cell r="F43">
            <v>1.8471660848455336</v>
          </cell>
          <cell r="G43">
            <v>2.5172959356103601</v>
          </cell>
          <cell r="H43">
            <v>7.693873842421141E-3</v>
          </cell>
          <cell r="I43">
            <v>8.1703815011712616E-3</v>
          </cell>
          <cell r="J43">
            <v>8.3618903386963265E-3</v>
          </cell>
          <cell r="K43">
            <v>7.9694578546819807E-3</v>
          </cell>
          <cell r="L43">
            <v>7.398559864016661E-3</v>
          </cell>
          <cell r="M43">
            <v>6.3529430666629284E-3</v>
          </cell>
          <cell r="N43">
            <v>6.4200566554682998E-3</v>
          </cell>
          <cell r="O43">
            <v>6.203257650246193E-3</v>
          </cell>
          <cell r="P43">
            <v>6.4374976552916095E-3</v>
          </cell>
        </row>
        <row r="44">
          <cell r="B44" t="str">
            <v>CO2_T</v>
          </cell>
          <cell r="C44" t="str">
            <v>VAR_fout</v>
          </cell>
          <cell r="D44" t="str">
            <v>TFLGV-ICEDSL</v>
          </cell>
          <cell r="E44">
            <v>325.86531500841312</v>
          </cell>
          <cell r="F44">
            <v>384.71111388951948</v>
          </cell>
          <cell r="G44">
            <v>384.66005963497821</v>
          </cell>
          <cell r="H44">
            <v>153.89078764159794</v>
          </cell>
          <cell r="I44">
            <v>19.866112532911842</v>
          </cell>
          <cell r="J44">
            <v>19.714741288161122</v>
          </cell>
          <cell r="K44">
            <v>10.779462649488911</v>
          </cell>
          <cell r="L44">
            <v>0.93162499386741304</v>
          </cell>
          <cell r="M44">
            <v>0.82962190535361602</v>
          </cell>
          <cell r="N44">
            <v>0.68818515879017994</v>
          </cell>
          <cell r="O44">
            <v>0.56148428086756552</v>
          </cell>
          <cell r="P44">
            <v>0.80789870609799297</v>
          </cell>
        </row>
        <row r="45">
          <cell r="B45" t="str">
            <v>CO2_T</v>
          </cell>
          <cell r="C45" t="str">
            <v>VAR_fout</v>
          </cell>
          <cell r="D45" t="str">
            <v>T_C-ICE-NGA-S3</v>
          </cell>
          <cell r="E45">
            <v>0.24376544320607779</v>
          </cell>
          <cell r="F45">
            <v>0.20421910855559816</v>
          </cell>
          <cell r="G45">
            <v>0.27436895566866487</v>
          </cell>
          <cell r="H45">
            <v>3.0043582667026135E-2</v>
          </cell>
          <cell r="I45">
            <v>1.3609754778316108E-2</v>
          </cell>
          <cell r="J45">
            <v>1.1450085536091481E-2</v>
          </cell>
          <cell r="K45">
            <v>1.1435814518206511E-2</v>
          </cell>
          <cell r="L45">
            <v>1.0497238736395909E-2</v>
          </cell>
          <cell r="M45">
            <v>9.2304593364721035E-3</v>
          </cell>
          <cell r="N45">
            <v>8.8932619113633697E-3</v>
          </cell>
          <cell r="O45">
            <v>8.3181092367915765E-3</v>
          </cell>
          <cell r="P45">
            <v>8.2004396653089506E-3</v>
          </cell>
        </row>
        <row r="46">
          <cell r="B46" t="str">
            <v>CO2_T</v>
          </cell>
          <cell r="C46" t="str">
            <v>VAR_fout</v>
          </cell>
          <cell r="D46" t="str">
            <v>T_C-ICE-NGA-S4</v>
          </cell>
          <cell r="E46">
            <v>2.7205125767707798</v>
          </cell>
          <cell r="F46">
            <v>2.6565861672736619</v>
          </cell>
          <cell r="G46">
            <v>2.4830051231120098</v>
          </cell>
          <cell r="H46">
            <v>4.4147441073152539E-3</v>
          </cell>
          <cell r="I46">
            <v>9.7009083125838662E-3</v>
          </cell>
          <cell r="J46">
            <v>1.1440036367881171E-2</v>
          </cell>
          <cell r="K46">
            <v>1.103362440724487E-2</v>
          </cell>
          <cell r="L46">
            <v>1.015895589037695E-2</v>
          </cell>
          <cell r="M46">
            <v>9.1209418269617495E-3</v>
          </cell>
          <cell r="N46">
            <v>8.4607071724591004E-3</v>
          </cell>
          <cell r="O46">
            <v>7.2935312717224759E-3</v>
          </cell>
          <cell r="P46">
            <v>7.1287909465364094E-3</v>
          </cell>
        </row>
        <row r="47">
          <cell r="B47" t="str">
            <v>CO2_T</v>
          </cell>
          <cell r="C47" t="str">
            <v>VAR_fout</v>
          </cell>
          <cell r="D47" t="str">
            <v>T_C-MHY-GSL-S1</v>
          </cell>
          <cell r="F47">
            <v>3.9018543897438598E-2</v>
          </cell>
          <cell r="G47">
            <v>15.765541300983427</v>
          </cell>
          <cell r="H47">
            <v>14.706793267333014</v>
          </cell>
          <cell r="I47">
            <v>10.601476911267827</v>
          </cell>
          <cell r="J47">
            <v>2.0652518550875318</v>
          </cell>
          <cell r="K47">
            <v>7.7831168145885102E-2</v>
          </cell>
          <cell r="L47">
            <v>5.7961590911651997E-2</v>
          </cell>
          <cell r="M47">
            <v>4.2583323072777776E-2</v>
          </cell>
          <cell r="N47">
            <v>6.4649752134046196E-2</v>
          </cell>
          <cell r="O47">
            <v>0.15716017730291995</v>
          </cell>
          <cell r="P47">
            <v>0.20904818190888047</v>
          </cell>
        </row>
        <row r="48">
          <cell r="B48" t="str">
            <v>CO2_T</v>
          </cell>
          <cell r="C48" t="str">
            <v>VAR_fout</v>
          </cell>
          <cell r="D48" t="str">
            <v>T_C-MHY-GSL-S2</v>
          </cell>
          <cell r="F48">
            <v>3.1372165457834097E-2</v>
          </cell>
          <cell r="G48">
            <v>0.38535464460784474</v>
          </cell>
          <cell r="H48">
            <v>0.48458288288230755</v>
          </cell>
          <cell r="I48">
            <v>0.43008551343012852</v>
          </cell>
          <cell r="J48">
            <v>0.24835139497725528</v>
          </cell>
          <cell r="K48">
            <v>0.13457776158982698</v>
          </cell>
          <cell r="L48">
            <v>0.10573499907469291</v>
          </cell>
          <cell r="M48">
            <v>8.3186564257795026E-2</v>
          </cell>
          <cell r="N48">
            <v>0.1126812177691587</v>
          </cell>
          <cell r="O48">
            <v>0.1746114188647046</v>
          </cell>
          <cell r="P48">
            <v>0.195662628445506</v>
          </cell>
        </row>
        <row r="49">
          <cell r="B49" t="str">
            <v>CO2_T</v>
          </cell>
          <cell r="C49" t="str">
            <v>VAR_fout</v>
          </cell>
          <cell r="D49" t="str">
            <v>T_C-MHY-DSL-S1</v>
          </cell>
          <cell r="F49">
            <v>4.01656846005429E-2</v>
          </cell>
          <cell r="G49">
            <v>61.425680520156092</v>
          </cell>
          <cell r="H49">
            <v>157.29849922096321</v>
          </cell>
          <cell r="I49">
            <v>141.53954200692286</v>
          </cell>
          <cell r="J49">
            <v>84.701285864452672</v>
          </cell>
          <cell r="K49">
            <v>22.29063749418119</v>
          </cell>
          <cell r="L49">
            <v>7.5495009298959976</v>
          </cell>
          <cell r="M49">
            <v>1.0025508680346831</v>
          </cell>
          <cell r="N49">
            <v>7.8031181492853999E-2</v>
          </cell>
          <cell r="O49">
            <v>8.7940775857975245E-2</v>
          </cell>
          <cell r="P49">
            <v>9.2428898947471499E-2</v>
          </cell>
        </row>
        <row r="50">
          <cell r="B50" t="str">
            <v>CO2_T</v>
          </cell>
          <cell r="C50" t="str">
            <v>VAR_fout</v>
          </cell>
          <cell r="D50" t="str">
            <v>T_C-MHY-GSL-S3</v>
          </cell>
          <cell r="F50">
            <v>4.9579220912980101E-2</v>
          </cell>
          <cell r="G50">
            <v>0.28108748712998832</v>
          </cell>
          <cell r="H50">
            <v>0.39803901873803482</v>
          </cell>
          <cell r="I50">
            <v>0.35498758906910449</v>
          </cell>
          <cell r="J50">
            <v>0.23790130266065981</v>
          </cell>
          <cell r="K50">
            <v>0.1767613340622593</v>
          </cell>
          <cell r="L50">
            <v>0.1653421545928164</v>
          </cell>
          <cell r="M50">
            <v>0.13893099420757257</v>
          </cell>
          <cell r="N50">
            <v>0.1856466674569707</v>
          </cell>
          <cell r="O50">
            <v>0.27355222479651692</v>
          </cell>
          <cell r="P50">
            <v>0.2704455334564877</v>
          </cell>
        </row>
        <row r="51">
          <cell r="B51" t="str">
            <v>CO2_T</v>
          </cell>
          <cell r="C51" t="str">
            <v>VAR_fout</v>
          </cell>
          <cell r="D51" t="str">
            <v>T_C-MHY-DSL-S2</v>
          </cell>
          <cell r="F51">
            <v>3.0144196066149299E-2</v>
          </cell>
          <cell r="G51">
            <v>0.23293340101046861</v>
          </cell>
          <cell r="H51">
            <v>0.45380656703616395</v>
          </cell>
          <cell r="I51">
            <v>1.1827695211133216</v>
          </cell>
          <cell r="J51">
            <v>1.2588507759960321</v>
          </cell>
          <cell r="K51">
            <v>0.73247206631998618</v>
          </cell>
          <cell r="L51">
            <v>0.32553002775050782</v>
          </cell>
          <cell r="M51">
            <v>0.1999918936860435</v>
          </cell>
          <cell r="N51">
            <v>0.24205218016090899</v>
          </cell>
          <cell r="O51">
            <v>0.33712428489879487</v>
          </cell>
          <cell r="P51">
            <v>0.45944650966902401</v>
          </cell>
        </row>
        <row r="52">
          <cell r="B52" t="str">
            <v>CO2_T</v>
          </cell>
          <cell r="C52" t="str">
            <v>VAR_fout</v>
          </cell>
          <cell r="D52" t="str">
            <v>T_C-MHY-GSL-S4</v>
          </cell>
          <cell r="F52">
            <v>6.5309518854229795E-2</v>
          </cell>
          <cell r="G52">
            <v>73.619111205793828</v>
          </cell>
          <cell r="H52">
            <v>294.91746909151288</v>
          </cell>
          <cell r="I52">
            <v>270.78273926422764</v>
          </cell>
          <cell r="J52">
            <v>280.49947696460777</v>
          </cell>
          <cell r="K52">
            <v>266.06721712151557</v>
          </cell>
          <cell r="L52">
            <v>255.32779360425491</v>
          </cell>
          <cell r="M52">
            <v>243.23033032814129</v>
          </cell>
          <cell r="N52">
            <v>234.89943121615062</v>
          </cell>
          <cell r="O52">
            <v>228.64731627767821</v>
          </cell>
          <cell r="P52">
            <v>225.4426335041621</v>
          </cell>
        </row>
        <row r="53">
          <cell r="B53" t="str">
            <v>CO2_T</v>
          </cell>
          <cell r="C53" t="str">
            <v>VAR_fout</v>
          </cell>
          <cell r="D53" t="str">
            <v>T_C-MHY-DSL-S3</v>
          </cell>
          <cell r="F53">
            <v>4.5735006837225298E-2</v>
          </cell>
          <cell r="G53">
            <v>0.19833402600424818</v>
          </cell>
          <cell r="H53">
            <v>0.36800820379381638</v>
          </cell>
          <cell r="I53">
            <v>5.0581618836233764</v>
          </cell>
          <cell r="J53">
            <v>78.023821929154494</v>
          </cell>
          <cell r="K53">
            <v>150.50425672837005</v>
          </cell>
          <cell r="L53">
            <v>164.9784502367597</v>
          </cell>
          <cell r="M53">
            <v>164.93521503609495</v>
          </cell>
          <cell r="N53">
            <v>161.01506832054548</v>
          </cell>
          <cell r="O53">
            <v>157.07582556925439</v>
          </cell>
          <cell r="P53">
            <v>154.78253319387571</v>
          </cell>
        </row>
        <row r="54">
          <cell r="B54" t="str">
            <v>CO2_T</v>
          </cell>
          <cell r="C54" t="str">
            <v>VAR_fout</v>
          </cell>
          <cell r="D54" t="str">
            <v>T_B_c-HYBDSL-S1</v>
          </cell>
          <cell r="F54">
            <v>0.112817282148456</v>
          </cell>
          <cell r="G54">
            <v>0.14208043485793789</v>
          </cell>
          <cell r="H54">
            <v>7.2293116655526402E-2</v>
          </cell>
          <cell r="I54">
            <v>0.43587068911120896</v>
          </cell>
          <cell r="J54">
            <v>0.5135120823488758</v>
          </cell>
          <cell r="K54">
            <v>0.73402433561230196</v>
          </cell>
          <cell r="L54">
            <v>1.0913482223089779</v>
          </cell>
          <cell r="M54">
            <v>1.579394790067542</v>
          </cell>
          <cell r="N54">
            <v>2.385713414267403</v>
          </cell>
          <cell r="O54">
            <v>2.468047917599316</v>
          </cell>
          <cell r="P54">
            <v>3.9046721378820539</v>
          </cell>
        </row>
        <row r="55">
          <cell r="B55" t="str">
            <v>CO2_T</v>
          </cell>
          <cell r="C55" t="str">
            <v>VAR_fout</v>
          </cell>
          <cell r="D55" t="str">
            <v>T_C-MHY-DSL-S4</v>
          </cell>
          <cell r="F55">
            <v>2.8729913777275601E-2</v>
          </cell>
          <cell r="G55">
            <v>7.8335281652762601E-2</v>
          </cell>
          <cell r="H55">
            <v>0.1168219882000353</v>
          </cell>
          <cell r="I55">
            <v>0.18346429150803906</v>
          </cell>
          <cell r="J55">
            <v>0.36185140477046912</v>
          </cell>
          <cell r="K55">
            <v>0.4847450134692714</v>
          </cell>
          <cell r="L55">
            <v>0.75361402222208196</v>
          </cell>
          <cell r="M55">
            <v>0.80866781364459583</v>
          </cell>
          <cell r="N55">
            <v>0.6308444108028779</v>
          </cell>
          <cell r="O55">
            <v>0.3222598397086659</v>
          </cell>
          <cell r="P55">
            <v>0.33376210674138218</v>
          </cell>
        </row>
        <row r="56">
          <cell r="B56" t="str">
            <v>CO2_T</v>
          </cell>
          <cell r="C56" t="str">
            <v>VAR_fout</v>
          </cell>
          <cell r="D56" t="str">
            <v>T_B_c-HYBDSL-S2</v>
          </cell>
          <cell r="F56">
            <v>2.97168676538575E-2</v>
          </cell>
          <cell r="G56">
            <v>4.1552478804245849</v>
          </cell>
          <cell r="H56">
            <v>16.89320902598984</v>
          </cell>
          <cell r="I56">
            <v>16.194321756879159</v>
          </cell>
          <cell r="J56">
            <v>14.87166734844226</v>
          </cell>
          <cell r="K56">
            <v>14.362162481615844</v>
          </cell>
          <cell r="L56">
            <v>13.45352318759203</v>
          </cell>
          <cell r="M56">
            <v>14.19269617530513</v>
          </cell>
          <cell r="N56">
            <v>15.12038966969058</v>
          </cell>
          <cell r="O56">
            <v>17.12221103272687</v>
          </cell>
          <cell r="P56">
            <v>18.287319537515739</v>
          </cell>
        </row>
        <row r="57">
          <cell r="B57" t="str">
            <v>CO2_T</v>
          </cell>
          <cell r="C57" t="str">
            <v>VAR_fout</v>
          </cell>
          <cell r="D57" t="str">
            <v>T_B_c-HYBDSL-S3</v>
          </cell>
          <cell r="F57">
            <v>1.9529404928972701E-2</v>
          </cell>
          <cell r="G57">
            <v>0.2655184491672733</v>
          </cell>
          <cell r="H57">
            <v>10.040915432956051</v>
          </cell>
          <cell r="I57">
            <v>9.7736416169660298</v>
          </cell>
          <cell r="J57">
            <v>8.8932424377063395</v>
          </cell>
          <cell r="K57">
            <v>8.5399489203658607</v>
          </cell>
          <cell r="L57">
            <v>7.8130661911370005</v>
          </cell>
          <cell r="M57">
            <v>7.8562096651438873</v>
          </cell>
          <cell r="N57">
            <v>7.7610862362079196</v>
          </cell>
          <cell r="O57">
            <v>7.2923810008266194</v>
          </cell>
          <cell r="P57">
            <v>5.2055290132568093</v>
          </cell>
        </row>
        <row r="58">
          <cell r="B58" t="str">
            <v>CO2_T</v>
          </cell>
          <cell r="C58" t="str">
            <v>VAR_fout</v>
          </cell>
          <cell r="D58" t="str">
            <v>T_B_c-HYBDSL-S4</v>
          </cell>
          <cell r="F58">
            <v>3.2967224473764299E-3</v>
          </cell>
          <cell r="G58">
            <v>5.9411220249857297E-3</v>
          </cell>
          <cell r="H58">
            <v>4.5944305667610982E-3</v>
          </cell>
          <cell r="I58">
            <v>4.3470256376170703E-3</v>
          </cell>
          <cell r="J58">
            <v>7.5462151158573803E-3</v>
          </cell>
          <cell r="K58">
            <v>6.6216164522504605E-3</v>
          </cell>
          <cell r="L58">
            <v>9.2224572536484493E-3</v>
          </cell>
          <cell r="M58">
            <v>1.005102116040852E-2</v>
          </cell>
          <cell r="N58">
            <v>8.8903652049003995E-3</v>
          </cell>
          <cell r="O58">
            <v>1.371612466115792E-2</v>
          </cell>
          <cell r="P58">
            <v>1.7231948990454111E-2</v>
          </cell>
        </row>
        <row r="59">
          <cell r="B59" t="str">
            <v>CO2_T</v>
          </cell>
          <cell r="C59" t="str">
            <v>VAR_fout</v>
          </cell>
          <cell r="D59" t="str">
            <v>TFHGV-ICEDSLExt</v>
          </cell>
          <cell r="E59">
            <v>1410.11394993671</v>
          </cell>
          <cell r="F59">
            <v>865.277228044808</v>
          </cell>
          <cell r="G59">
            <v>842.01089535088499</v>
          </cell>
          <cell r="H59">
            <v>362.57365185250501</v>
          </cell>
        </row>
        <row r="60">
          <cell r="B60" t="str">
            <v>CO2_T</v>
          </cell>
          <cell r="C60" t="str">
            <v>VAR_fout</v>
          </cell>
          <cell r="D60" t="str">
            <v>TPSHPGSLEXT</v>
          </cell>
          <cell r="E60">
            <v>129.873812963153</v>
          </cell>
          <cell r="F60">
            <v>58.762455819108702</v>
          </cell>
          <cell r="G60">
            <v>117.824482110424</v>
          </cell>
          <cell r="H60">
            <v>155.175473727423</v>
          </cell>
          <cell r="I60">
            <v>198.556586635027</v>
          </cell>
          <cell r="J60">
            <v>122.569779019449</v>
          </cell>
          <cell r="K60">
            <v>60.668542511968397</v>
          </cell>
        </row>
        <row r="61">
          <cell r="B61" t="str">
            <v>CO2_T</v>
          </cell>
          <cell r="C61" t="str">
            <v>VAR_fout</v>
          </cell>
          <cell r="D61" t="str">
            <v>T_TW-ICEGSL-S1</v>
          </cell>
          <cell r="E61">
            <v>3.2635986956425196</v>
          </cell>
          <cell r="F61">
            <v>36.568845624233617</v>
          </cell>
          <cell r="G61">
            <v>36.97506782771336</v>
          </cell>
          <cell r="H61">
            <v>45.771684497477942</v>
          </cell>
          <cell r="I61">
            <v>62.422913351285686</v>
          </cell>
          <cell r="J61">
            <v>65.860593657709146</v>
          </cell>
          <cell r="K61">
            <v>67.1078848958404</v>
          </cell>
          <cell r="L61">
            <v>64.711144040265893</v>
          </cell>
          <cell r="M61">
            <v>62.4054047634855</v>
          </cell>
          <cell r="N61">
            <v>60.420234766905899</v>
          </cell>
          <cell r="O61">
            <v>59.315205205026146</v>
          </cell>
          <cell r="P61">
            <v>57.680284268053406</v>
          </cell>
        </row>
        <row r="62">
          <cell r="B62" t="str">
            <v>CO2_T</v>
          </cell>
          <cell r="C62" t="str">
            <v>VAR_fout</v>
          </cell>
          <cell r="D62" t="str">
            <v>TPSHPDSLEXT</v>
          </cell>
          <cell r="E62">
            <v>1273.9831592043399</v>
          </cell>
          <cell r="F62">
            <v>1273.98479916213</v>
          </cell>
          <cell r="G62">
            <v>1155.40672490252</v>
          </cell>
          <cell r="H62">
            <v>1056.6055504163901</v>
          </cell>
          <cell r="I62">
            <v>1017.07165622151</v>
          </cell>
          <cell r="J62">
            <v>977.53773462304298</v>
          </cell>
          <cell r="K62">
            <v>898.48304507083503</v>
          </cell>
          <cell r="L62">
            <v>898.47411088286697</v>
          </cell>
          <cell r="M62">
            <v>898.45404782641799</v>
          </cell>
          <cell r="N62">
            <v>416.53135925715799</v>
          </cell>
          <cell r="O62">
            <v>149.75362821474801</v>
          </cell>
          <cell r="P62">
            <v>149.752196106117</v>
          </cell>
        </row>
        <row r="63">
          <cell r="B63" t="str">
            <v>CO2_T</v>
          </cell>
          <cell r="C63" t="str">
            <v>VAR_fout</v>
          </cell>
          <cell r="D63" t="str">
            <v>T_TW-ICEGSL-S2</v>
          </cell>
          <cell r="E63">
            <v>8.2761199420029801</v>
          </cell>
          <cell r="F63">
            <v>12.028772926295241</v>
          </cell>
          <cell r="G63">
            <v>11.341492935087397</v>
          </cell>
          <cell r="H63">
            <v>7.5407763453843826</v>
          </cell>
          <cell r="I63">
            <v>0.76271156174146326</v>
          </cell>
          <cell r="J63">
            <v>5.5116752790878298E-2</v>
          </cell>
          <cell r="K63">
            <v>6.6376642069091607E-2</v>
          </cell>
          <cell r="L63">
            <v>7.8355270011332495E-2</v>
          </cell>
          <cell r="M63">
            <v>7.8176310691214307E-2</v>
          </cell>
          <cell r="N63">
            <v>9.8837396657962498E-2</v>
          </cell>
          <cell r="O63">
            <v>9.3688041413453896E-2</v>
          </cell>
          <cell r="P63">
            <v>0.13593071598586651</v>
          </cell>
        </row>
        <row r="64">
          <cell r="B64" t="str">
            <v>CO2_T</v>
          </cell>
          <cell r="C64" t="str">
            <v>VAR_fout</v>
          </cell>
          <cell r="D64" t="str">
            <v>T_TW-ICEGSL-S3</v>
          </cell>
          <cell r="E64">
            <v>12.071931020388549</v>
          </cell>
          <cell r="F64">
            <v>14.529113989590773</v>
          </cell>
          <cell r="G64">
            <v>14.647786382148368</v>
          </cell>
          <cell r="H64">
            <v>14.568178052196563</v>
          </cell>
          <cell r="I64">
            <v>13.969278970700985</v>
          </cell>
          <cell r="J64">
            <v>4.0617917918001956</v>
          </cell>
          <cell r="K64">
            <v>5.9806951803491375E-2</v>
          </cell>
          <cell r="L64">
            <v>7.0436492161705E-2</v>
          </cell>
          <cell r="M64">
            <v>7.5777298724536452E-2</v>
          </cell>
          <cell r="N64">
            <v>8.4472196924191403E-2</v>
          </cell>
          <cell r="O64">
            <v>9.3470843449804303E-2</v>
          </cell>
          <cell r="P64">
            <v>0.1151510620150534</v>
          </cell>
        </row>
        <row r="65">
          <cell r="B65" t="str">
            <v>CO2_T</v>
          </cell>
          <cell r="C65" t="str">
            <v>VAR_fout</v>
          </cell>
          <cell r="D65" t="str">
            <v>T_C-ICEGSLEXT</v>
          </cell>
          <cell r="E65">
            <v>4722.2885559364104</v>
          </cell>
          <cell r="F65">
            <v>4016.30080397234</v>
          </cell>
          <cell r="G65">
            <v>3463.1483378387702</v>
          </cell>
          <cell r="H65">
            <v>958.71161377181295</v>
          </cell>
        </row>
        <row r="66">
          <cell r="B66" t="str">
            <v>CO2_T</v>
          </cell>
          <cell r="C66" t="str">
            <v>VAR_fout</v>
          </cell>
          <cell r="D66" t="str">
            <v>T_TW-ICEGSL-S4</v>
          </cell>
          <cell r="E66">
            <v>7.8668232946465402</v>
          </cell>
          <cell r="F66">
            <v>9.2870380089510913</v>
          </cell>
          <cell r="G66">
            <v>9.3820229344246204</v>
          </cell>
          <cell r="H66">
            <v>9.3192331868036167</v>
          </cell>
          <cell r="I66">
            <v>9.3633578395052055</v>
          </cell>
          <cell r="J66">
            <v>9.0091507638118156</v>
          </cell>
          <cell r="K66">
            <v>2.028642318690514</v>
          </cell>
          <cell r="L66">
            <v>4.5851481484489739E-2</v>
          </cell>
          <cell r="M66">
            <v>4.9665311534580876E-2</v>
          </cell>
          <cell r="N66">
            <v>5.6837074517452103E-2</v>
          </cell>
          <cell r="O66">
            <v>6.0864290144814856E-2</v>
          </cell>
          <cell r="P66">
            <v>7.6214316543253002E-2</v>
          </cell>
        </row>
        <row r="67">
          <cell r="B67" t="str">
            <v>CO2_T</v>
          </cell>
          <cell r="C67" t="str">
            <v>VAR_fout</v>
          </cell>
          <cell r="D67" t="str">
            <v>T_C-ICEDSLEXT</v>
          </cell>
          <cell r="E67">
            <v>3821.27824108398</v>
          </cell>
          <cell r="F67">
            <v>3569.7774709146101</v>
          </cell>
          <cell r="G67">
            <v>2582.9147055164599</v>
          </cell>
          <cell r="H67">
            <v>1121.9591496802</v>
          </cell>
        </row>
        <row r="68">
          <cell r="B68" t="str">
            <v>CO2_T</v>
          </cell>
          <cell r="C68" t="str">
            <v>VAR_fout</v>
          </cell>
          <cell r="D68" t="str">
            <v>T_TW-ICEGSLEXT</v>
          </cell>
          <cell r="E68">
            <v>146.39410782923801</v>
          </cell>
          <cell r="F68">
            <v>52.632946510364697</v>
          </cell>
          <cell r="G68">
            <v>51.0964598546188</v>
          </cell>
          <cell r="H68">
            <v>33.445273242472098</v>
          </cell>
        </row>
        <row r="69">
          <cell r="B69" t="str">
            <v>CO2_T</v>
          </cell>
          <cell r="C69" t="str">
            <v>VAR_fout</v>
          </cell>
          <cell r="D69" t="str">
            <v>TFLGV-ICENGA</v>
          </cell>
          <cell r="E69">
            <v>0.4138282329761363</v>
          </cell>
          <cell r="F69">
            <v>0.17002532393818534</v>
          </cell>
          <cell r="G69">
            <v>0.22540328463270939</v>
          </cell>
          <cell r="H69">
            <v>7.1155782565059771E-3</v>
          </cell>
          <cell r="I69">
            <v>5.9879415027273356E-3</v>
          </cell>
          <cell r="J69">
            <v>6.0097976489385807E-3</v>
          </cell>
          <cell r="K69">
            <v>6.08829183527253E-3</v>
          </cell>
          <cell r="L69">
            <v>6.2760243390400702E-3</v>
          </cell>
          <cell r="M69">
            <v>6.3781491557061108E-3</v>
          </cell>
          <cell r="N69">
            <v>6.5858583620948506E-3</v>
          </cell>
          <cell r="O69">
            <v>6.6743912478717214E-3</v>
          </cell>
          <cell r="P69">
            <v>7.02538617323052E-3</v>
          </cell>
        </row>
        <row r="70">
          <cell r="B70" t="str">
            <v>CO2_T</v>
          </cell>
          <cell r="C70" t="str">
            <v>VAR_fout</v>
          </cell>
          <cell r="D70" t="str">
            <v>T_B_c-ICENGA-S1</v>
          </cell>
          <cell r="F70">
            <v>5.2293050559261301E-3</v>
          </cell>
          <cell r="G70">
            <v>4.4885220038521571E-2</v>
          </cell>
        </row>
        <row r="71">
          <cell r="B71" t="str">
            <v>CO2_T</v>
          </cell>
          <cell r="C71" t="str">
            <v>VAR_fout</v>
          </cell>
          <cell r="D71" t="str">
            <v>T_B_c-ICENGA-S2</v>
          </cell>
          <cell r="F71">
            <v>3.6967656539666498E-3</v>
          </cell>
          <cell r="G71">
            <v>2.5645833708761709E-2</v>
          </cell>
        </row>
        <row r="72">
          <cell r="B72" t="str">
            <v>CO2_T</v>
          </cell>
          <cell r="C72" t="str">
            <v>VAR_fout</v>
          </cell>
          <cell r="D72" t="str">
            <v>T_B_u-ICEDSL-S1</v>
          </cell>
          <cell r="E72">
            <v>2.2352214596104029E-2</v>
          </cell>
          <cell r="F72">
            <v>19.307944267637644</v>
          </cell>
          <cell r="G72">
            <v>34.332795375615738</v>
          </cell>
          <cell r="H72">
            <v>3.2947067893053699E-3</v>
          </cell>
        </row>
        <row r="73">
          <cell r="B73" t="str">
            <v>CO2_T</v>
          </cell>
          <cell r="C73" t="str">
            <v>VAR_fout</v>
          </cell>
          <cell r="D73" t="str">
            <v>T_B_c-ICENGA-S3</v>
          </cell>
          <cell r="F73">
            <v>2.9685376816388099E-3</v>
          </cell>
          <cell r="G73">
            <v>1.576582392143374E-2</v>
          </cell>
        </row>
        <row r="74">
          <cell r="B74" t="str">
            <v>CO2_T</v>
          </cell>
          <cell r="C74" t="str">
            <v>VAR_fout</v>
          </cell>
          <cell r="D74" t="str">
            <v>T_B_u-ICEDSL-S2</v>
          </cell>
          <cell r="E74">
            <v>8.0192191680570701</v>
          </cell>
          <cell r="F74">
            <v>10.04047492535936</v>
          </cell>
          <cell r="G74">
            <v>16.547090728778176</v>
          </cell>
        </row>
        <row r="75">
          <cell r="B75" t="str">
            <v>CO2_T</v>
          </cell>
          <cell r="C75" t="str">
            <v>VAR_fout</v>
          </cell>
          <cell r="D75" t="str">
            <v>T_B_c-ICENGA-S4</v>
          </cell>
          <cell r="F75">
            <v>3.1007776817728E-4</v>
          </cell>
          <cell r="G75">
            <v>2.4186504903494161E-3</v>
          </cell>
        </row>
        <row r="76">
          <cell r="B76" t="str">
            <v>CO2_T</v>
          </cell>
          <cell r="C76" t="str">
            <v>VAR_fout</v>
          </cell>
          <cell r="D76" t="str">
            <v>T_B_u-ICEDSL-S3</v>
          </cell>
          <cell r="E76">
            <v>46.18066404760075</v>
          </cell>
          <cell r="F76">
            <v>63.849194971821511</v>
          </cell>
          <cell r="G76">
            <v>63.899455214032777</v>
          </cell>
        </row>
        <row r="77">
          <cell r="B77" t="str">
            <v>CO2_T</v>
          </cell>
          <cell r="C77" t="str">
            <v>VAR_fout</v>
          </cell>
          <cell r="D77" t="str">
            <v>T_B_u-ICEDSL-S4</v>
          </cell>
          <cell r="E77">
            <v>0.29383436873361912</v>
          </cell>
          <cell r="F77">
            <v>1.9786668493442461E-2</v>
          </cell>
          <cell r="G77">
            <v>2.9052255238347802E-2</v>
          </cell>
        </row>
        <row r="78">
          <cell r="B78" t="str">
            <v>CO2_T</v>
          </cell>
          <cell r="C78" t="str">
            <v>VAR_fout</v>
          </cell>
          <cell r="D78" t="str">
            <v>T_B_c-ICENGAEXT</v>
          </cell>
          <cell r="E78">
            <v>7.7958659279135896E-3</v>
          </cell>
          <cell r="F78">
            <v>7.7660240629533498E-3</v>
          </cell>
          <cell r="G78">
            <v>7.7276214116573996E-3</v>
          </cell>
        </row>
        <row r="79">
          <cell r="B79" t="str">
            <v>CO2_T</v>
          </cell>
          <cell r="C79" t="str">
            <v>VAR_fout</v>
          </cell>
          <cell r="D79" t="str">
            <v>T_B_u-ICEDSLEXT</v>
          </cell>
          <cell r="E79">
            <v>1.2709316939959701</v>
          </cell>
          <cell r="F79">
            <v>1.2694310994466</v>
          </cell>
          <cell r="G79">
            <v>1.2644377347534199</v>
          </cell>
        </row>
        <row r="80">
          <cell r="B80" t="str">
            <v>CO2_T</v>
          </cell>
          <cell r="C80" t="str">
            <v>VAR_fout</v>
          </cell>
          <cell r="D80" t="str">
            <v>T_C-HYBGSLEXT</v>
          </cell>
          <cell r="E80">
            <v>92.551404622663895</v>
          </cell>
          <cell r="F80">
            <v>91.725296271980298</v>
          </cell>
          <cell r="G80">
            <v>68.279172375365505</v>
          </cell>
          <cell r="H80">
            <v>32.396745417655097</v>
          </cell>
        </row>
        <row r="81">
          <cell r="B81" t="str">
            <v>CO2_T</v>
          </cell>
          <cell r="C81" t="str">
            <v>VAR_fout</v>
          </cell>
          <cell r="D81" t="str">
            <v>TPAVDKEREXT</v>
          </cell>
          <cell r="E81">
            <v>79.576349423418094</v>
          </cell>
          <cell r="F81">
            <v>100.796237247683</v>
          </cell>
          <cell r="G81">
            <v>132.626068984081</v>
          </cell>
          <cell r="H81">
            <v>185.675788544743</v>
          </cell>
          <cell r="I81">
            <v>170.02894982493601</v>
          </cell>
          <cell r="J81">
            <v>154.38211110512901</v>
          </cell>
          <cell r="K81">
            <v>138.735272385321</v>
          </cell>
          <cell r="L81">
            <v>123.088433665514</v>
          </cell>
          <cell r="M81">
            <v>109.90751284479499</v>
          </cell>
          <cell r="N81">
            <v>98.138070491291401</v>
          </cell>
          <cell r="O81">
            <v>87.628958480337403</v>
          </cell>
          <cell r="P81">
            <v>78.245214379164594</v>
          </cell>
        </row>
        <row r="82">
          <cell r="B82" t="str">
            <v>CO2_T</v>
          </cell>
          <cell r="C82" t="str">
            <v>VAR_fout</v>
          </cell>
          <cell r="D82" t="str">
            <v>T_C-ICE-GSL-S1</v>
          </cell>
          <cell r="E82">
            <v>36.683169214120923</v>
          </cell>
          <cell r="F82">
            <v>40.651385963053507</v>
          </cell>
          <cell r="G82">
            <v>28.312554723500476</v>
          </cell>
          <cell r="H82">
            <v>21.549530870154566</v>
          </cell>
          <cell r="I82">
            <v>1.2941305458463279</v>
          </cell>
          <cell r="J82">
            <v>0.18985289070377287</v>
          </cell>
          <cell r="K82">
            <v>0.1191149531465107</v>
          </cell>
          <cell r="L82">
            <v>7.6136160531103003E-2</v>
          </cell>
          <cell r="M82">
            <v>3.9623248766772617E-2</v>
          </cell>
          <cell r="N82">
            <v>3.7072720289052605E-2</v>
          </cell>
          <cell r="O82">
            <v>4.1423612030011256E-2</v>
          </cell>
          <cell r="P82">
            <v>5.3749396304226094E-2</v>
          </cell>
        </row>
        <row r="83">
          <cell r="B83" t="str">
            <v>CO2_T</v>
          </cell>
          <cell r="C83" t="str">
            <v>VAR_fout</v>
          </cell>
          <cell r="D83" t="str">
            <v>TFLGV-ICEGSL</v>
          </cell>
          <cell r="E83">
            <v>27.70399390343152</v>
          </cell>
          <cell r="F83">
            <v>42.648628773986765</v>
          </cell>
          <cell r="G83">
            <v>68.653041216678986</v>
          </cell>
          <cell r="H83">
            <v>108.85064343768353</v>
          </cell>
          <cell r="I83">
            <v>146.29222775341921</v>
          </cell>
          <cell r="J83">
            <v>87.422896825263152</v>
          </cell>
          <cell r="K83">
            <v>96.155888323175375</v>
          </cell>
          <cell r="L83">
            <v>105.9088328830276</v>
          </cell>
          <cell r="M83">
            <v>106.42575300701751</v>
          </cell>
          <cell r="N83">
            <v>107.708610782741</v>
          </cell>
          <cell r="O83">
            <v>107.72755534714227</v>
          </cell>
          <cell r="P83">
            <v>107.9328612853523</v>
          </cell>
        </row>
        <row r="84">
          <cell r="B84" t="str">
            <v>CO2_T</v>
          </cell>
          <cell r="C84" t="str">
            <v>VAR_fout</v>
          </cell>
          <cell r="D84" t="str">
            <v>T_C-ICE-GSL-S2</v>
          </cell>
          <cell r="E84">
            <v>278.11965250991858</v>
          </cell>
          <cell r="F84">
            <v>391.67082131545175</v>
          </cell>
          <cell r="G84">
            <v>387.90269657448886</v>
          </cell>
          <cell r="H84">
            <v>304.39481739282661</v>
          </cell>
          <cell r="I84">
            <v>13.301371366005142</v>
          </cell>
          <cell r="J84">
            <v>0.88262765930584486</v>
          </cell>
          <cell r="K84">
            <v>0.38748095519926551</v>
          </cell>
          <cell r="L84">
            <v>0.19098737106100178</v>
          </cell>
          <cell r="M84">
            <v>9.7717200355694006E-2</v>
          </cell>
          <cell r="N84">
            <v>9.3097213556172592E-2</v>
          </cell>
          <cell r="O84">
            <v>0.10536809270457392</v>
          </cell>
          <cell r="P84">
            <v>0.1292138951000959</v>
          </cell>
        </row>
        <row r="85">
          <cell r="B85" t="str">
            <v>CO2_T</v>
          </cell>
          <cell r="C85" t="str">
            <v>VAR_fout</v>
          </cell>
          <cell r="D85" t="str">
            <v>T_C-ICE-DSL-S1</v>
          </cell>
          <cell r="E85">
            <v>0.3753052343114569</v>
          </cell>
          <cell r="F85">
            <v>0.45156777409128102</v>
          </cell>
          <cell r="G85">
            <v>0.35921255696715859</v>
          </cell>
          <cell r="H85">
            <v>0.31350842700449838</v>
          </cell>
          <cell r="I85">
            <v>0.18881728478603593</v>
          </cell>
          <cell r="J85">
            <v>3.275487329497667</v>
          </cell>
          <cell r="K85">
            <v>2.7253034090172399</v>
          </cell>
          <cell r="L85">
            <v>1.9533240251906354</v>
          </cell>
          <cell r="M85">
            <v>0.27259278659057024</v>
          </cell>
          <cell r="N85">
            <v>2.6231371371668269E-2</v>
          </cell>
          <cell r="O85">
            <v>1.5076933225654308E-2</v>
          </cell>
          <cell r="P85">
            <v>1.322756212966327E-2</v>
          </cell>
        </row>
        <row r="86">
          <cell r="B86" t="str">
            <v>CO2_T</v>
          </cell>
          <cell r="C86" t="str">
            <v>VAR_fout</v>
          </cell>
          <cell r="D86" t="str">
            <v>T_C-ICE-GSL-S3</v>
          </cell>
          <cell r="E86">
            <v>278.88981330924298</v>
          </cell>
          <cell r="F86">
            <v>423.69937707846185</v>
          </cell>
          <cell r="G86">
            <v>558.11058959033812</v>
          </cell>
          <cell r="H86">
            <v>462.44289595880571</v>
          </cell>
          <cell r="I86">
            <v>170.78373440550584</v>
          </cell>
          <cell r="J86">
            <v>71.722772965505101</v>
          </cell>
          <cell r="K86">
            <v>40.346192624850211</v>
          </cell>
          <cell r="L86">
            <v>1.2160883096097963</v>
          </cell>
          <cell r="M86">
            <v>0.26048978185724031</v>
          </cell>
          <cell r="N86">
            <v>0.16599096045367712</v>
          </cell>
          <cell r="O86">
            <v>0.17743524345527537</v>
          </cell>
          <cell r="P86">
            <v>0.19048298539502828</v>
          </cell>
        </row>
        <row r="87">
          <cell r="B87" t="str">
            <v>CO2_T</v>
          </cell>
          <cell r="C87" t="str">
            <v>VAR_fout</v>
          </cell>
          <cell r="D87" t="str">
            <v>T_C-ICE-DSL-S2</v>
          </cell>
          <cell r="E87">
            <v>89.469839684888854</v>
          </cell>
          <cell r="F87">
            <v>94.07195409192822</v>
          </cell>
          <cell r="G87">
            <v>93.380424905983432</v>
          </cell>
          <cell r="H87">
            <v>55.995593485607039</v>
          </cell>
          <cell r="I87">
            <v>1.7188959818941965</v>
          </cell>
          <cell r="J87">
            <v>0.21006963702401887</v>
          </cell>
          <cell r="K87">
            <v>0.16595585677414701</v>
          </cell>
          <cell r="L87">
            <v>0.136562749287854</v>
          </cell>
          <cell r="M87">
            <v>7.9821172009121144E-2</v>
          </cell>
          <cell r="N87">
            <v>5.4178552868002779E-2</v>
          </cell>
          <cell r="O87">
            <v>3.1395640108440842E-2</v>
          </cell>
          <cell r="P87">
            <v>2.646889059458641E-2</v>
          </cell>
        </row>
        <row r="88">
          <cell r="B88" t="str">
            <v>CO2_T</v>
          </cell>
          <cell r="C88" t="str">
            <v>VAR_fout</v>
          </cell>
          <cell r="D88" t="str">
            <v>T_C-ICE-GSL-S4</v>
          </cell>
          <cell r="E88">
            <v>288.05669491620512</v>
          </cell>
          <cell r="F88">
            <v>387.82322570676342</v>
          </cell>
          <cell r="G88">
            <v>978.5194885381602</v>
          </cell>
          <cell r="H88">
            <v>1881.8233686245651</v>
          </cell>
          <cell r="I88">
            <v>2372.1116856402332</v>
          </cell>
          <cell r="J88">
            <v>2178.2047263473855</v>
          </cell>
          <cell r="K88">
            <v>1914.951587515774</v>
          </cell>
          <cell r="L88">
            <v>1679.059462942346</v>
          </cell>
          <cell r="M88">
            <v>1499.3880579625315</v>
          </cell>
          <cell r="N88">
            <v>1331.3804092041651</v>
          </cell>
          <cell r="O88">
            <v>1216.3290896861629</v>
          </cell>
          <cell r="P88">
            <v>1129.6344148703499</v>
          </cell>
        </row>
        <row r="89">
          <cell r="B89" t="str">
            <v>CO2_T</v>
          </cell>
          <cell r="C89" t="str">
            <v>VAR_fout</v>
          </cell>
          <cell r="D89" t="str">
            <v>T_C-ICE-DSL-S3</v>
          </cell>
          <cell r="E89">
            <v>368.98394985631211</v>
          </cell>
          <cell r="F89">
            <v>390.48406887342776</v>
          </cell>
          <cell r="G89">
            <v>386.77292278239867</v>
          </cell>
          <cell r="H89">
            <v>295.43412443567371</v>
          </cell>
          <cell r="I89">
            <v>10.28434511765284</v>
          </cell>
          <cell r="J89">
            <v>0.19388354455020207</v>
          </cell>
          <cell r="K89">
            <v>0.17300826002384909</v>
          </cell>
          <cell r="L89">
            <v>0.19169462227137452</v>
          </cell>
          <cell r="M89">
            <v>0.12524549369813803</v>
          </cell>
          <cell r="N89">
            <v>8.6636108009989013E-2</v>
          </cell>
          <cell r="O89">
            <v>4.3575229545853578E-2</v>
          </cell>
          <cell r="P89">
            <v>3.2888670822841706E-2</v>
          </cell>
        </row>
        <row r="90">
          <cell r="B90" t="str">
            <v>CO2_T</v>
          </cell>
          <cell r="C90" t="str">
            <v>VAR_fout</v>
          </cell>
          <cell r="D90" t="str">
            <v>T_C-ICE-DSL-S4</v>
          </cell>
          <cell r="E90">
            <v>141.771775988949</v>
          </cell>
          <cell r="F90">
            <v>162.0586810639451</v>
          </cell>
          <cell r="G90">
            <v>159.29175739956494</v>
          </cell>
          <cell r="H90">
            <v>122.01451340812879</v>
          </cell>
          <cell r="I90">
            <v>8.0278191904625729</v>
          </cell>
          <cell r="J90">
            <v>0.14937497955688739</v>
          </cell>
          <cell r="K90">
            <v>0.14384968091856187</v>
          </cell>
          <cell r="L90">
            <v>0.17306272111469662</v>
          </cell>
          <cell r="M90">
            <v>0.12031094691914217</v>
          </cell>
          <cell r="N90">
            <v>8.145279506907295E-2</v>
          </cell>
          <cell r="O90">
            <v>3.7340991785175068E-2</v>
          </cell>
          <cell r="P90">
            <v>2.854302142865562E-2</v>
          </cell>
        </row>
        <row r="91">
          <cell r="B91" t="str">
            <v>CO2_T</v>
          </cell>
          <cell r="C91" t="str">
            <v>VAR_fout</v>
          </cell>
          <cell r="D91" t="str">
            <v>TFLGV-ICENGAExt</v>
          </cell>
          <cell r="E91">
            <v>6.0491053448505401</v>
          </cell>
          <cell r="F91">
            <v>1.8274390061744299</v>
          </cell>
          <cell r="G91">
            <v>3.95027330412583</v>
          </cell>
          <cell r="H91">
            <v>9.7637392195524695E-4</v>
          </cell>
        </row>
        <row r="92">
          <cell r="B92" t="str">
            <v>CO2_T</v>
          </cell>
          <cell r="C92" t="str">
            <v>VAR_fout</v>
          </cell>
          <cell r="D92" t="str">
            <v>T_B_u-HYBDSL-S1</v>
          </cell>
          <cell r="F92">
            <v>0.27207830178987402</v>
          </cell>
          <cell r="G92">
            <v>0.30334008919379457</v>
          </cell>
          <cell r="H92">
            <v>2.434058514706524E-2</v>
          </cell>
          <cell r="I92">
            <v>5.5489354543196319E-2</v>
          </cell>
          <cell r="J92">
            <v>7.8461133778133421E-2</v>
          </cell>
          <cell r="K92">
            <v>0.15116886120271941</v>
          </cell>
          <cell r="L92">
            <v>0.35284047431689231</v>
          </cell>
          <cell r="M92">
            <v>0.63838019936617107</v>
          </cell>
          <cell r="N92">
            <v>2.1036439752772069</v>
          </cell>
          <cell r="O92">
            <v>17.253403415188288</v>
          </cell>
          <cell r="P92">
            <v>24.640728155375822</v>
          </cell>
        </row>
        <row r="93">
          <cell r="B93" t="str">
            <v>CO2_T</v>
          </cell>
          <cell r="C93" t="str">
            <v>VAR_fout</v>
          </cell>
          <cell r="D93" t="str">
            <v>T_B_u-HYBDSL-S2</v>
          </cell>
          <cell r="F93">
            <v>3.4509783403448797E-2</v>
          </cell>
          <cell r="G93">
            <v>5.5269902040832805E-2</v>
          </cell>
          <cell r="H93">
            <v>4.1829724229393933E-2</v>
          </cell>
          <cell r="I93">
            <v>6.0577435376202214E-2</v>
          </cell>
          <cell r="J93">
            <v>7.779662236643084E-2</v>
          </cell>
          <cell r="K93">
            <v>0.1268683857263285</v>
          </cell>
          <cell r="L93">
            <v>0.20447112185698479</v>
          </cell>
          <cell r="M93">
            <v>0.2986512229224339</v>
          </cell>
          <cell r="N93">
            <v>0.4626219759104091</v>
          </cell>
          <cell r="O93">
            <v>0.61656467070705379</v>
          </cell>
          <cell r="P93">
            <v>1.3758728414085151</v>
          </cell>
        </row>
        <row r="94">
          <cell r="B94" t="str">
            <v>CO2_T</v>
          </cell>
          <cell r="C94" t="str">
            <v>VAR_fout</v>
          </cell>
          <cell r="D94" t="str">
            <v>T_B_u-HYBDSL-S3</v>
          </cell>
          <cell r="F94">
            <v>3.42644468284103</v>
          </cell>
          <cell r="G94">
            <v>43.159139929328973</v>
          </cell>
          <cell r="H94">
            <v>60.779552290583993</v>
          </cell>
          <cell r="I94">
            <v>64.838320355081493</v>
          </cell>
          <cell r="J94">
            <v>73.3246666315883</v>
          </cell>
          <cell r="K94">
            <v>79.181537865268979</v>
          </cell>
          <cell r="L94">
            <v>85.898605552238706</v>
          </cell>
          <cell r="M94">
            <v>91.993660970055572</v>
          </cell>
          <cell r="N94">
            <v>97.575473387013801</v>
          </cell>
          <cell r="O94">
            <v>75.035109946570799</v>
          </cell>
          <cell r="P94">
            <v>62.053727413896297</v>
          </cell>
        </row>
        <row r="95">
          <cell r="B95" t="str">
            <v>CO2_T</v>
          </cell>
          <cell r="C95" t="str">
            <v>VAR_fout</v>
          </cell>
          <cell r="D95" t="str">
            <v>T_C-HY-GSL-S1</v>
          </cell>
          <cell r="E95">
            <v>3.375676371771589</v>
          </cell>
          <cell r="F95">
            <v>3.9600812100846272</v>
          </cell>
          <cell r="G95">
            <v>2.7860359501273271</v>
          </cell>
          <cell r="H95">
            <v>2.1588775981756698</v>
          </cell>
          <cell r="I95">
            <v>19.453043097497119</v>
          </cell>
          <cell r="J95">
            <v>38.271359186768571</v>
          </cell>
          <cell r="K95">
            <v>29.940220526759141</v>
          </cell>
          <cell r="L95">
            <v>12.903174940726815</v>
          </cell>
          <cell r="M95">
            <v>1.8937815289252393</v>
          </cell>
          <cell r="N95">
            <v>9.3072524504322605</v>
          </cell>
          <cell r="O95">
            <v>32.546686341019743</v>
          </cell>
          <cell r="P95">
            <v>44.202131371727617</v>
          </cell>
        </row>
        <row r="96">
          <cell r="B96" t="str">
            <v>CO2_T</v>
          </cell>
          <cell r="C96" t="str">
            <v>VAR_fout</v>
          </cell>
          <cell r="D96" t="str">
            <v>T_B_u-HYBDSL-S4</v>
          </cell>
          <cell r="F96">
            <v>1.7993193118319201E-3</v>
          </cell>
          <cell r="G96">
            <v>3.6220747934524603E-3</v>
          </cell>
          <cell r="H96">
            <v>2.6947953469372839E-3</v>
          </cell>
          <cell r="I96">
            <v>3.5999547156108399E-3</v>
          </cell>
          <cell r="J96">
            <v>6.0282379315961306E-3</v>
          </cell>
          <cell r="K96">
            <v>5.23227881567386E-3</v>
          </cell>
          <cell r="L96">
            <v>8.1060590497969709E-3</v>
          </cell>
          <cell r="M96">
            <v>7.9024481755267297E-3</v>
          </cell>
          <cell r="N96">
            <v>8.1488038216191265E-3</v>
          </cell>
          <cell r="O96">
            <v>1.2278751737381039E-2</v>
          </cell>
          <cell r="P96">
            <v>1.678464982625813E-2</v>
          </cell>
        </row>
        <row r="97">
          <cell r="B97" t="str">
            <v>CO2_T</v>
          </cell>
          <cell r="C97" t="str">
            <v>VAR_fout</v>
          </cell>
          <cell r="D97" t="str">
            <v>TFRLFDSLEXT</v>
          </cell>
          <cell r="E97">
            <v>29.033453915109199</v>
          </cell>
          <cell r="F97">
            <v>4.19721929148145E-2</v>
          </cell>
          <cell r="G97">
            <v>4.4726824359344997E-2</v>
          </cell>
          <cell r="H97">
            <v>4.6819269232657799E-2</v>
          </cell>
          <cell r="I97">
            <v>4.5556537689791302E-2</v>
          </cell>
          <cell r="J97">
            <v>4.5623539672232198E-2</v>
          </cell>
          <cell r="K97">
            <v>4.5869093279937601E-2</v>
          </cell>
          <cell r="L97">
            <v>3.9132141429868601E-2</v>
          </cell>
          <cell r="M97">
            <v>2.54209844559172E-2</v>
          </cell>
          <cell r="N97">
            <v>3.9437859692026997E-2</v>
          </cell>
          <cell r="O97">
            <v>4.0158111521543499E-2</v>
          </cell>
          <cell r="P97">
            <v>0.11411490151406201</v>
          </cell>
        </row>
        <row r="98">
          <cell r="B98" t="str">
            <v>CO2_T</v>
          </cell>
          <cell r="C98" t="str">
            <v>VAR_fout</v>
          </cell>
          <cell r="D98" t="str">
            <v>T_C-HY-GSL-S2</v>
          </cell>
          <cell r="E98">
            <v>10.231620949053829</v>
          </cell>
          <cell r="F98">
            <v>15.142924268356269</v>
          </cell>
          <cell r="G98">
            <v>19.950182327330687</v>
          </cell>
          <cell r="H98">
            <v>15.98928769490759</v>
          </cell>
          <cell r="I98">
            <v>80.698723405922507</v>
          </cell>
          <cell r="J98">
            <v>68.424049896783913</v>
          </cell>
          <cell r="K98">
            <v>48.362990648826639</v>
          </cell>
          <cell r="L98">
            <v>0.36288574773494386</v>
          </cell>
          <cell r="M98">
            <v>0.23318242536866521</v>
          </cell>
          <cell r="N98">
            <v>0.30353226912488462</v>
          </cell>
          <cell r="O98">
            <v>0.41878412584125396</v>
          </cell>
          <cell r="P98">
            <v>0.41971953287789759</v>
          </cell>
        </row>
        <row r="99">
          <cell r="B99" t="str">
            <v>CO2_T</v>
          </cell>
          <cell r="C99" t="str">
            <v>VAR_fout</v>
          </cell>
          <cell r="D99" t="str">
            <v>T_C-HY-DSL-S1</v>
          </cell>
          <cell r="E99">
            <v>2.4267255675465001E-3</v>
          </cell>
          <cell r="F99">
            <v>11.737341735429379</v>
          </cell>
          <cell r="G99">
            <v>7.8210030526072138</v>
          </cell>
          <cell r="H99">
            <v>6.3026946587354722</v>
          </cell>
          <cell r="I99">
            <v>57.090565538177763</v>
          </cell>
          <cell r="J99">
            <v>63.047248469925719</v>
          </cell>
          <cell r="K99">
            <v>77.163872669373802</v>
          </cell>
          <cell r="L99">
            <v>35.309875471525253</v>
          </cell>
          <cell r="M99">
            <v>37.523564152291755</v>
          </cell>
          <cell r="N99">
            <v>27.168353611618155</v>
          </cell>
          <cell r="O99">
            <v>7.1624244872365017E-2</v>
          </cell>
          <cell r="P99">
            <v>7.2107914579827792E-2</v>
          </cell>
        </row>
        <row r="100">
          <cell r="B100" t="str">
            <v>CO2_T</v>
          </cell>
          <cell r="C100" t="str">
            <v>VAR_fout</v>
          </cell>
          <cell r="D100" t="str">
            <v>T_C-HY-GSL-S3</v>
          </cell>
          <cell r="E100">
            <v>7.5836868045854793</v>
          </cell>
          <cell r="F100">
            <v>82.415822196738617</v>
          </cell>
          <cell r="G100">
            <v>77.970053722694587</v>
          </cell>
          <cell r="H100">
            <v>62.349174267909788</v>
          </cell>
          <cell r="I100">
            <v>19.783413499799067</v>
          </cell>
          <cell r="J100">
            <v>0.12531641554652356</v>
          </cell>
          <cell r="K100">
            <v>0.13905452096720339</v>
          </cell>
          <cell r="L100">
            <v>0.1673337330096315</v>
          </cell>
          <cell r="M100">
            <v>0.15417433019777427</v>
          </cell>
          <cell r="N100">
            <v>0.17090497087287831</v>
          </cell>
          <cell r="O100">
            <v>0.16777629682456069</v>
          </cell>
          <cell r="P100">
            <v>0.1495231561816458</v>
          </cell>
        </row>
        <row r="101">
          <cell r="B101" t="str">
            <v>CO2_T</v>
          </cell>
          <cell r="C101" t="str">
            <v>VAR_fout</v>
          </cell>
          <cell r="D101" t="str">
            <v>T_C-HY-DSL-S2</v>
          </cell>
          <cell r="E101">
            <v>0.20253843387687992</v>
          </cell>
          <cell r="F101">
            <v>43.215340765204445</v>
          </cell>
          <cell r="G101">
            <v>59.771790112405924</v>
          </cell>
          <cell r="H101">
            <v>49.476807385142202</v>
          </cell>
          <cell r="I101">
            <v>23.53994988830059</v>
          </cell>
          <cell r="J101">
            <v>1.8965898171756934</v>
          </cell>
          <cell r="K101">
            <v>0.73337210895631699</v>
          </cell>
          <cell r="L101">
            <v>0.52127693176163903</v>
          </cell>
          <cell r="M101">
            <v>0.37781387236330383</v>
          </cell>
          <cell r="N101">
            <v>0.43968129162376335</v>
          </cell>
          <cell r="O101">
            <v>29.668498404905606</v>
          </cell>
          <cell r="P101">
            <v>34.208762289004532</v>
          </cell>
        </row>
        <row r="102">
          <cell r="B102" t="str">
            <v>CO2_T</v>
          </cell>
          <cell r="C102" t="str">
            <v>VAR_fout</v>
          </cell>
          <cell r="D102" t="str">
            <v>T_C-HY-GSL-S4</v>
          </cell>
          <cell r="E102">
            <v>6.6937248153594897</v>
          </cell>
          <cell r="F102">
            <v>10.005342462184432</v>
          </cell>
          <cell r="G102">
            <v>9.6181055964769424</v>
          </cell>
          <cell r="H102">
            <v>7.9861877631958684</v>
          </cell>
          <cell r="I102">
            <v>1.2920043528412322</v>
          </cell>
          <cell r="J102">
            <v>0.3798179285547883</v>
          </cell>
          <cell r="K102">
            <v>0.51613406034528553</v>
          </cell>
          <cell r="L102">
            <v>83.759077430569334</v>
          </cell>
          <cell r="M102">
            <v>78.560036443634829</v>
          </cell>
          <cell r="N102">
            <v>62.308743885502942</v>
          </cell>
          <cell r="O102">
            <v>20.558834018661894</v>
          </cell>
          <cell r="P102">
            <v>0.33587436816991512</v>
          </cell>
        </row>
        <row r="103">
          <cell r="B103" t="str">
            <v>CO2_T</v>
          </cell>
          <cell r="C103" t="str">
            <v>VAR_fout</v>
          </cell>
          <cell r="D103" t="str">
            <v>T_C-HY-DSL-S3</v>
          </cell>
          <cell r="E103">
            <v>2.1295172931972939</v>
          </cell>
          <cell r="F103">
            <v>3.3827727782859935</v>
          </cell>
          <cell r="G103">
            <v>3.2469379438018375</v>
          </cell>
          <cell r="H103">
            <v>2.4537408905111282</v>
          </cell>
          <cell r="I103">
            <v>0.5284175880250418</v>
          </cell>
          <cell r="J103">
            <v>0.10115736179969637</v>
          </cell>
          <cell r="K103">
            <v>0.12608407823155671</v>
          </cell>
          <cell r="L103">
            <v>0.1625220917300633</v>
          </cell>
          <cell r="M103">
            <v>0.15793885600421084</v>
          </cell>
          <cell r="N103">
            <v>0.19732177014717381</v>
          </cell>
          <cell r="O103">
            <v>0.25453086328100927</v>
          </cell>
          <cell r="P103">
            <v>0.38197165970474922</v>
          </cell>
        </row>
        <row r="104">
          <cell r="B104" t="str">
            <v>CO2_T</v>
          </cell>
          <cell r="C104" t="str">
            <v>VAR_fout</v>
          </cell>
          <cell r="D104" t="str">
            <v>T_C-HY-DSL-S4</v>
          </cell>
          <cell r="E104">
            <v>2.5785434767904043</v>
          </cell>
          <cell r="F104">
            <v>5.2538060970378844</v>
          </cell>
          <cell r="G104">
            <v>4.9908716293295114</v>
          </cell>
          <cell r="H104">
            <v>4.1072281775081647</v>
          </cell>
          <cell r="I104">
            <v>1.0223038929793948</v>
          </cell>
          <cell r="J104">
            <v>0.22730883909717053</v>
          </cell>
          <cell r="K104">
            <v>8.3780162210810367</v>
          </cell>
          <cell r="L104">
            <v>83.702068237789661</v>
          </cell>
          <cell r="M104">
            <v>78.580996353777635</v>
          </cell>
          <cell r="N104">
            <v>54.798207273982804</v>
          </cell>
          <cell r="O104">
            <v>11.265338101871517</v>
          </cell>
          <cell r="P104">
            <v>2.9760583458605332</v>
          </cell>
        </row>
        <row r="105">
          <cell r="B105" t="str">
            <v>CO2_T</v>
          </cell>
          <cell r="C105" t="str">
            <v>VAR_fout</v>
          </cell>
          <cell r="D105" t="str">
            <v>TFHGV-HYBDSL</v>
          </cell>
          <cell r="F105">
            <v>226.138312165222</v>
          </cell>
          <cell r="G105">
            <v>309.07593787056072</v>
          </cell>
          <cell r="H105">
            <v>822.40926313202067</v>
          </cell>
          <cell r="I105">
            <v>1084.238284520191</v>
          </cell>
          <cell r="J105">
            <v>1129.448965162291</v>
          </cell>
          <cell r="K105">
            <v>1175.2535259108879</v>
          </cell>
          <cell r="L105">
            <v>1220.824690384354</v>
          </cell>
          <cell r="M105">
            <v>1260.194326675695</v>
          </cell>
          <cell r="N105">
            <v>1304.001998707123</v>
          </cell>
          <cell r="O105">
            <v>1349.609961154579</v>
          </cell>
          <cell r="P105">
            <v>1399.3758818578649</v>
          </cell>
        </row>
        <row r="106">
          <cell r="B106" t="str">
            <v>CO2_T</v>
          </cell>
          <cell r="C106" t="str">
            <v>VAR_fout</v>
          </cell>
          <cell r="D106" t="str">
            <v>TFHGV-ICEDSL</v>
          </cell>
          <cell r="E106">
            <v>384.35340182811808</v>
          </cell>
          <cell r="F106">
            <v>450.11534255146228</v>
          </cell>
          <cell r="G106">
            <v>351.79496554792894</v>
          </cell>
          <cell r="H106">
            <v>32.460953413990062</v>
          </cell>
          <cell r="I106">
            <v>0.23970529491998438</v>
          </cell>
          <cell r="J106">
            <v>0.342718451702898</v>
          </cell>
          <cell r="K106">
            <v>0.29216268897702019</v>
          </cell>
          <cell r="L106">
            <v>0.34902881161692201</v>
          </cell>
          <cell r="M106">
            <v>0.36963016080066402</v>
          </cell>
          <cell r="N106">
            <v>0.32880561835090799</v>
          </cell>
          <cell r="O106">
            <v>0.46275185720956902</v>
          </cell>
          <cell r="P106">
            <v>0.61813896438961102</v>
          </cell>
        </row>
        <row r="107">
          <cell r="B107" t="str">
            <v>CO2_T</v>
          </cell>
          <cell r="C107" t="str">
            <v>VAR_fout</v>
          </cell>
          <cell r="D107" t="str">
            <v>T-Plg-DSL-mix_S1</v>
          </cell>
          <cell r="E107">
            <v>1.32933409555638E-3</v>
          </cell>
          <cell r="F107">
            <v>4.7473566427622196E-2</v>
          </cell>
          <cell r="G107">
            <v>6.5265395947559451E-2</v>
          </cell>
          <cell r="H107">
            <v>7.5810796358847826E-2</v>
          </cell>
          <cell r="I107">
            <v>9.2777534255071334E-2</v>
          </cell>
          <cell r="J107">
            <v>0.13861943168181551</v>
          </cell>
          <cell r="K107">
            <v>0.13279647690330071</v>
          </cell>
          <cell r="L107">
            <v>0.19250192581040421</v>
          </cell>
          <cell r="M107">
            <v>0.14023738665075</v>
          </cell>
          <cell r="N107">
            <v>4.4609096840122001E-2</v>
          </cell>
          <cell r="O107">
            <v>2.0679566909950077E-2</v>
          </cell>
          <cell r="P107">
            <v>1.548495867305099E-2</v>
          </cell>
        </row>
        <row r="108">
          <cell r="B108" t="str">
            <v>CO2_T</v>
          </cell>
          <cell r="C108" t="str">
            <v>VAR_fout</v>
          </cell>
          <cell r="D108" t="str">
            <v>T-Plg-DSL-mix_S2</v>
          </cell>
          <cell r="E108">
            <v>8.1576462069537798E-4</v>
          </cell>
          <cell r="F108">
            <v>5.4691313690675605E-2</v>
          </cell>
          <cell r="G108">
            <v>0.26074558145328874</v>
          </cell>
          <cell r="H108">
            <v>0.31157666567457032</v>
          </cell>
          <cell r="I108">
            <v>0.6887616550170117</v>
          </cell>
          <cell r="J108">
            <v>0.83103999614700064</v>
          </cell>
          <cell r="K108">
            <v>0.67456250396163409</v>
          </cell>
          <cell r="L108">
            <v>0.54689049022792902</v>
          </cell>
          <cell r="M108">
            <v>0.34002272233816511</v>
          </cell>
          <cell r="N108">
            <v>0.19197783505186539</v>
          </cell>
          <cell r="O108">
            <v>5.5153239656818495E-2</v>
          </cell>
          <cell r="P108">
            <v>2.7763043394561E-2</v>
          </cell>
        </row>
        <row r="109">
          <cell r="B109" t="str">
            <v>CO2_T</v>
          </cell>
          <cell r="C109" t="str">
            <v>VAR_fout</v>
          </cell>
          <cell r="D109" t="str">
            <v>T-Plg-DSL-mix_S3</v>
          </cell>
          <cell r="E109">
            <v>8.3381696338970402E-3</v>
          </cell>
          <cell r="F109">
            <v>61.648946619430504</v>
          </cell>
          <cell r="G109">
            <v>168.79341708343941</v>
          </cell>
          <cell r="H109">
            <v>528.68148143284043</v>
          </cell>
          <cell r="I109">
            <v>747.4840269054481</v>
          </cell>
          <cell r="J109">
            <v>472.79063868131794</v>
          </cell>
          <cell r="K109">
            <v>233.28223802892145</v>
          </cell>
          <cell r="L109">
            <v>158.7761171466706</v>
          </cell>
          <cell r="M109">
            <v>86.895749808860586</v>
          </cell>
          <cell r="N109">
            <v>42.879749705706715</v>
          </cell>
          <cell r="O109">
            <v>5.8688843162267208</v>
          </cell>
          <cell r="P109">
            <v>3.1257245177826798E-2</v>
          </cell>
        </row>
        <row r="110">
          <cell r="B110" t="str">
            <v>CO2_T</v>
          </cell>
          <cell r="C110" t="str">
            <v>VAR_fout</v>
          </cell>
          <cell r="D110" t="str">
            <v>T_B_c-ICEDSL-S1</v>
          </cell>
          <cell r="E110">
            <v>8.3112021333420607</v>
          </cell>
          <cell r="F110">
            <v>22.75561354966462</v>
          </cell>
          <cell r="G110">
            <v>27.680783522233501</v>
          </cell>
        </row>
        <row r="111">
          <cell r="B111" t="str">
            <v>CO2_T</v>
          </cell>
          <cell r="C111" t="str">
            <v>VAR_fout</v>
          </cell>
          <cell r="D111" t="str">
            <v>T-Plg-DSL-mix_S4</v>
          </cell>
          <cell r="E111">
            <v>0.41555767398021198</v>
          </cell>
          <cell r="F111">
            <v>1.4621863678407929</v>
          </cell>
          <cell r="G111">
            <v>1.6258671041860429</v>
          </cell>
          <cell r="H111">
            <v>1.603667577170625</v>
          </cell>
          <cell r="I111">
            <v>163.31877046121218</v>
          </cell>
          <cell r="J111">
            <v>322.44017920281544</v>
          </cell>
          <cell r="K111">
            <v>286.36954431080096</v>
          </cell>
          <cell r="L111">
            <v>165.33152775403514</v>
          </cell>
          <cell r="M111">
            <v>153.64030436960945</v>
          </cell>
          <cell r="N111">
            <v>186.59508915569938</v>
          </cell>
          <cell r="O111">
            <v>238.92963061817574</v>
          </cell>
          <cell r="P111">
            <v>233.388718557814</v>
          </cell>
        </row>
        <row r="112">
          <cell r="B112" t="str">
            <v>CO2_T</v>
          </cell>
          <cell r="C112" t="str">
            <v>VAR_fout</v>
          </cell>
          <cell r="D112" t="str">
            <v>T_B_c-ICEDSL-S2</v>
          </cell>
          <cell r="E112">
            <v>38.068451571674302</v>
          </cell>
          <cell r="F112">
            <v>29.279154630678725</v>
          </cell>
          <cell r="G112">
            <v>30.366083632929495</v>
          </cell>
        </row>
        <row r="113">
          <cell r="B113" t="str">
            <v>CO2_T</v>
          </cell>
          <cell r="C113" t="str">
            <v>VAR_fout</v>
          </cell>
          <cell r="D113" t="str">
            <v>T_B_c-ICEDSL-S3</v>
          </cell>
          <cell r="E113">
            <v>11.74821092959718</v>
          </cell>
          <cell r="F113">
            <v>9.3750160369109778</v>
          </cell>
          <cell r="G113">
            <v>11.221919566901645</v>
          </cell>
        </row>
        <row r="114">
          <cell r="B114" t="str">
            <v>CO2_T</v>
          </cell>
          <cell r="C114" t="str">
            <v>VAR_fout</v>
          </cell>
          <cell r="D114" t="str">
            <v>T_B_c-ICEDSL-S4</v>
          </cell>
          <cell r="E114">
            <v>1.0513638341971268</v>
          </cell>
          <cell r="F114">
            <v>2.6547267907780541E-2</v>
          </cell>
          <cell r="G114">
            <v>3.1521531582063375E-2</v>
          </cell>
        </row>
        <row r="115">
          <cell r="B115" t="str">
            <v>CO2_T</v>
          </cell>
          <cell r="C115" t="str">
            <v>VAR_fout</v>
          </cell>
          <cell r="D115" t="str">
            <v>T_B_u-ICENGA-S1</v>
          </cell>
          <cell r="F115">
            <v>5.88399322080167E-3</v>
          </cell>
          <cell r="G115">
            <v>6.7981182025849407E-2</v>
          </cell>
          <cell r="J115">
            <v>3.03075249594423E-5</v>
          </cell>
          <cell r="K115">
            <v>3.20098087400106E-5</v>
          </cell>
          <cell r="L115">
            <v>2.9555098472186701E-5</v>
          </cell>
          <cell r="M115">
            <v>4.5534798705105202E-5</v>
          </cell>
          <cell r="N115">
            <v>2.9867219475060901E-5</v>
          </cell>
          <cell r="O115">
            <v>1.47193196518631E-5</v>
          </cell>
          <cell r="P115">
            <v>8.5371814887456388E-5</v>
          </cell>
        </row>
        <row r="116">
          <cell r="B116" t="str">
            <v>CO2_T</v>
          </cell>
          <cell r="C116" t="str">
            <v>VAR_fout</v>
          </cell>
          <cell r="D116" t="str">
            <v>T_B_u-ICENGA-S2</v>
          </cell>
          <cell r="F116">
            <v>3.7183852936284998E-3</v>
          </cell>
          <cell r="G116">
            <v>0.93917108932528648</v>
          </cell>
        </row>
        <row r="117">
          <cell r="B117" t="str">
            <v>CO2_T</v>
          </cell>
          <cell r="C117" t="str">
            <v>VAR_fout</v>
          </cell>
          <cell r="D117" t="str">
            <v>T_B_c-ICEDSLEXT</v>
          </cell>
          <cell r="E117">
            <v>0.44189295030985298</v>
          </cell>
          <cell r="F117">
            <v>0.44079220985537199</v>
          </cell>
          <cell r="G117">
            <v>0.43759448535326001</v>
          </cell>
        </row>
        <row r="118">
          <cell r="B118" t="str">
            <v>CO2_T</v>
          </cell>
          <cell r="C118" t="str">
            <v>VAR_fout</v>
          </cell>
          <cell r="D118" t="str">
            <v>T_B_u-ICENGA-S3</v>
          </cell>
          <cell r="F118">
            <v>2.66108768692103E-3</v>
          </cell>
          <cell r="G118">
            <v>1.978549488596721E-2</v>
          </cell>
        </row>
        <row r="119">
          <cell r="B119" t="str">
            <v>CO2_T</v>
          </cell>
          <cell r="C119" t="str">
            <v>VAR_fout</v>
          </cell>
          <cell r="D119" t="str">
            <v>T_B_u-ICENGA-S4</v>
          </cell>
          <cell r="G119">
            <v>1.198083222234252E-3</v>
          </cell>
        </row>
        <row r="120">
          <cell r="B120" t="str">
            <v>CO2_T</v>
          </cell>
          <cell r="C120" t="str">
            <v>VAR_comnet</v>
          </cell>
          <cell r="D120" t="str">
            <v>-</v>
          </cell>
          <cell r="E120">
            <v>15010.602148182799</v>
          </cell>
          <cell r="F120">
            <v>14267.6998391752</v>
          </cell>
          <cell r="G120">
            <v>13600.8497060011</v>
          </cell>
          <cell r="H120">
            <v>10073.017323808201</v>
          </cell>
          <cell r="I120">
            <v>7346.9117215857596</v>
          </cell>
          <cell r="J120">
            <v>6541.4812019196297</v>
          </cell>
          <cell r="K120">
            <v>5845.4073553438202</v>
          </cell>
          <cell r="L120">
            <v>5376.4072455744799</v>
          </cell>
          <cell r="M120">
            <v>5129.1403519591904</v>
          </cell>
          <cell r="N120">
            <v>4454.8006608264504</v>
          </cell>
          <cell r="O120">
            <v>4045.56227358561</v>
          </cell>
          <cell r="P120">
            <v>3994.8401111855201</v>
          </cell>
        </row>
        <row r="121">
          <cell r="B121" t="str">
            <v>CO2</v>
          </cell>
          <cell r="C121" t="str">
            <v>VAR_fout</v>
          </cell>
          <cell r="D121" t="str">
            <v>D-ICOA</v>
          </cell>
          <cell r="E121">
            <v>330.01244071678599</v>
          </cell>
          <cell r="F121">
            <v>321.17926252389299</v>
          </cell>
          <cell r="G121">
            <v>269.58166234178799</v>
          </cell>
          <cell r="H121">
            <v>0.123498183505558</v>
          </cell>
          <cell r="I121">
            <v>0.13986475660123501</v>
          </cell>
          <cell r="J121">
            <v>0.12573416567276699</v>
          </cell>
          <cell r="K121">
            <v>0.16520354684823799</v>
          </cell>
          <cell r="L121">
            <v>0.41676213894017</v>
          </cell>
          <cell r="M121">
            <v>0.246590806430244</v>
          </cell>
          <cell r="N121">
            <v>0.37129389055567102</v>
          </cell>
          <cell r="O121">
            <v>0.20455723368127299</v>
          </cell>
          <cell r="P121">
            <v>0.358340189471552</v>
          </cell>
        </row>
        <row r="122">
          <cell r="B122" t="str">
            <v>CO2</v>
          </cell>
          <cell r="C122" t="str">
            <v>VAR_fout</v>
          </cell>
          <cell r="D122" t="str">
            <v>D-ENGA</v>
          </cell>
          <cell r="E122">
            <v>310.98649388236998</v>
          </cell>
          <cell r="F122">
            <v>132.90288191884599</v>
          </cell>
          <cell r="G122">
            <v>114.510660749256</v>
          </cell>
          <cell r="H122">
            <v>186.20417196685901</v>
          </cell>
          <cell r="I122">
            <v>127.06701533351399</v>
          </cell>
          <cell r="J122">
            <v>312.19044031670398</v>
          </cell>
          <cell r="K122">
            <v>672.046658800155</v>
          </cell>
          <cell r="L122">
            <v>961.26828484731004</v>
          </cell>
          <cell r="M122">
            <v>1066.3853125973901</v>
          </cell>
          <cell r="N122">
            <v>1146.9013590470599</v>
          </cell>
          <cell r="O122">
            <v>1116.39780015731</v>
          </cell>
          <cell r="P122">
            <v>1036.67749545161</v>
          </cell>
        </row>
        <row r="123">
          <cell r="B123" t="str">
            <v>CO2</v>
          </cell>
          <cell r="C123" t="str">
            <v>VAR_fout</v>
          </cell>
          <cell r="D123" t="str">
            <v>D-ILFO</v>
          </cell>
          <cell r="E123">
            <v>689.06443498366195</v>
          </cell>
          <cell r="F123">
            <v>659.57550536185499</v>
          </cell>
          <cell r="G123">
            <v>600.61134199692697</v>
          </cell>
          <cell r="H123">
            <v>535.72493102853298</v>
          </cell>
          <cell r="I123">
            <v>419.34628579236801</v>
          </cell>
          <cell r="J123">
            <v>259.106187794275</v>
          </cell>
          <cell r="K123">
            <v>142.00575190212001</v>
          </cell>
          <cell r="L123">
            <v>26.966780108070399</v>
          </cell>
          <cell r="M123">
            <v>27.432299443734099</v>
          </cell>
          <cell r="N123">
            <v>27.386875796795501</v>
          </cell>
          <cell r="O123">
            <v>26.5680273729566</v>
          </cell>
          <cell r="P123">
            <v>26.667507271295001</v>
          </cell>
        </row>
        <row r="124">
          <cell r="B124" t="str">
            <v>CO2</v>
          </cell>
          <cell r="C124" t="str">
            <v>VAR_fout</v>
          </cell>
          <cell r="D124" t="str">
            <v>D-TDSL</v>
          </cell>
          <cell r="E124">
            <v>8688.1669738496894</v>
          </cell>
          <cell r="F124">
            <v>8219.9353845453206</v>
          </cell>
          <cell r="G124">
            <v>7097.2835810768202</v>
          </cell>
          <cell r="H124">
            <v>5244.3561930552496</v>
          </cell>
          <cell r="I124">
            <v>3630.8323730511302</v>
          </cell>
          <cell r="J124">
            <v>3336.0360131113498</v>
          </cell>
          <cell r="K124">
            <v>3072.8451759289101</v>
          </cell>
          <cell r="L124">
            <v>2962.51131973786</v>
          </cell>
          <cell r="M124">
            <v>2919.0109724805602</v>
          </cell>
          <cell r="N124">
            <v>2434.7583088207002</v>
          </cell>
          <cell r="O124">
            <v>2160.9977735821599</v>
          </cell>
          <cell r="P124">
            <v>2183.9476663608398</v>
          </cell>
        </row>
        <row r="125">
          <cell r="B125" t="str">
            <v>CO2</v>
          </cell>
          <cell r="C125" t="str">
            <v>VAR_fout</v>
          </cell>
          <cell r="D125" t="str">
            <v>ITOT-PROCESSCO2</v>
          </cell>
          <cell r="E125">
            <v>2089.34680048464</v>
          </cell>
          <cell r="F125">
            <v>2111.0131698740802</v>
          </cell>
          <cell r="G125">
            <v>2102.26947106126</v>
          </cell>
          <cell r="H125">
            <v>2093.6570624126398</v>
          </cell>
          <cell r="I125">
            <v>2085.53495476948</v>
          </cell>
          <cell r="J125">
            <v>2077.4128471263102</v>
          </cell>
          <cell r="K125">
            <v>2070.5807016906501</v>
          </cell>
          <cell r="L125">
            <v>2063.74855625499</v>
          </cell>
          <cell r="M125">
            <v>2063.74855625499</v>
          </cell>
          <cell r="N125">
            <v>2063.74855625499</v>
          </cell>
          <cell r="O125">
            <v>2063.74855625499</v>
          </cell>
          <cell r="P125">
            <v>2063.74855625499</v>
          </cell>
        </row>
        <row r="126">
          <cell r="B126" t="str">
            <v>CO2</v>
          </cell>
          <cell r="C126" t="str">
            <v>VAR_fout</v>
          </cell>
          <cell r="D126" t="str">
            <v>D-ELFO</v>
          </cell>
          <cell r="E126">
            <v>26.7911390171218</v>
          </cell>
          <cell r="F126">
            <v>16.3487996060109</v>
          </cell>
          <cell r="G126">
            <v>1.9190813430198801</v>
          </cell>
          <cell r="H126">
            <v>1.08158626912505</v>
          </cell>
          <cell r="I126">
            <v>1.38710899598334</v>
          </cell>
          <cell r="J126">
            <v>1.56016429212257</v>
          </cell>
          <cell r="K126">
            <v>3.1007773933080802</v>
          </cell>
          <cell r="L126">
            <v>5.7559048886095399</v>
          </cell>
          <cell r="M126">
            <v>3.3472841617183202</v>
          </cell>
          <cell r="N126">
            <v>4.1394341401786896</v>
          </cell>
          <cell r="O126">
            <v>4.4110588799709198</v>
          </cell>
          <cell r="P126">
            <v>6.1866037898374797</v>
          </cell>
        </row>
        <row r="127">
          <cell r="B127" t="str">
            <v>CO2</v>
          </cell>
          <cell r="C127" t="str">
            <v>VAR_fout</v>
          </cell>
          <cell r="D127" t="str">
            <v>D-TNGA</v>
          </cell>
          <cell r="E127">
            <v>12.818248844468499</v>
          </cell>
          <cell r="F127">
            <v>6.07826398434492</v>
          </cell>
          <cell r="G127">
            <v>10.5926510840871</v>
          </cell>
          <cell r="H127">
            <v>0.145367465851415</v>
          </cell>
          <cell r="I127">
            <v>0.121685165455874</v>
          </cell>
          <cell r="J127">
            <v>0.17700106266774901</v>
          </cell>
          <cell r="K127">
            <v>0.168142448605374</v>
          </cell>
          <cell r="L127">
            <v>0.150482581288652</v>
          </cell>
          <cell r="M127">
            <v>0.15066253093288801</v>
          </cell>
          <cell r="N127">
            <v>0.14273003334641701</v>
          </cell>
          <cell r="O127">
            <v>0.14496365869650399</v>
          </cell>
          <cell r="P127">
            <v>0.13337379453538101</v>
          </cell>
        </row>
        <row r="128">
          <cell r="B128" t="str">
            <v>CO2</v>
          </cell>
          <cell r="C128" t="str">
            <v>VAR_fout</v>
          </cell>
          <cell r="D128" t="str">
            <v>D-SNGA</v>
          </cell>
          <cell r="E128">
            <v>1522.48119009625</v>
          </cell>
          <cell r="F128">
            <v>1432.69859395609</v>
          </cell>
          <cell r="G128">
            <v>1526.2256646061401</v>
          </cell>
          <cell r="H128">
            <v>1849.1262194603</v>
          </cell>
          <cell r="I128">
            <v>2137.3667258349801</v>
          </cell>
          <cell r="J128">
            <v>2120.7607285848399</v>
          </cell>
          <cell r="K128">
            <v>2013.85127852818</v>
          </cell>
          <cell r="L128">
            <v>1740.14072606535</v>
          </cell>
          <cell r="M128">
            <v>1709.5565995417701</v>
          </cell>
          <cell r="N128">
            <v>1687.54438110808</v>
          </cell>
          <cell r="O128">
            <v>1691.30774141898</v>
          </cell>
          <cell r="P128">
            <v>1662.2461742098801</v>
          </cell>
        </row>
        <row r="129">
          <cell r="B129" t="str">
            <v>CO2</v>
          </cell>
          <cell r="C129" t="str">
            <v>VAR_fout</v>
          </cell>
          <cell r="D129" t="str">
            <v>D-RNGA</v>
          </cell>
          <cell r="E129">
            <v>2651.82687657206</v>
          </cell>
          <cell r="F129">
            <v>2731.7886649288198</v>
          </cell>
          <cell r="G129">
            <v>2913.8555732516902</v>
          </cell>
          <cell r="H129">
            <v>3100.6874302696401</v>
          </cell>
          <cell r="I129">
            <v>3232.74922644449</v>
          </cell>
          <cell r="J129">
            <v>3190.5354603850801</v>
          </cell>
          <cell r="K129">
            <v>3123.6463897778499</v>
          </cell>
          <cell r="L129">
            <v>3140.9557026231</v>
          </cell>
          <cell r="M129">
            <v>3002.8496973747901</v>
          </cell>
          <cell r="N129">
            <v>2839.3355254198</v>
          </cell>
          <cell r="O129">
            <v>2914.6306683306102</v>
          </cell>
          <cell r="P129">
            <v>2477.7691447781199</v>
          </cell>
        </row>
        <row r="130">
          <cell r="B130" t="str">
            <v>CO2</v>
          </cell>
          <cell r="C130" t="str">
            <v>VAR_fout</v>
          </cell>
          <cell r="D130" t="str">
            <v>D-IHFO</v>
          </cell>
          <cell r="E130">
            <v>213.78071173619699</v>
          </cell>
          <cell r="F130">
            <v>177.64135892721501</v>
          </cell>
          <cell r="G130">
            <v>0.24920234802098901</v>
          </cell>
          <cell r="H130">
            <v>7.0518207378904504E-2</v>
          </cell>
          <cell r="I130">
            <v>0.11036419989893</v>
          </cell>
          <cell r="J130">
            <v>9.9600929900093907E-2</v>
          </cell>
          <cell r="K130">
            <v>0.11292900342852701</v>
          </cell>
        </row>
        <row r="131">
          <cell r="B131" t="str">
            <v>CO2</v>
          </cell>
          <cell r="C131" t="str">
            <v>VAR_fout</v>
          </cell>
          <cell r="D131" t="str">
            <v>D-SLFO</v>
          </cell>
          <cell r="E131">
            <v>2267.7887510718201</v>
          </cell>
          <cell r="F131">
            <v>2012.5555084586399</v>
          </cell>
          <cell r="G131">
            <v>1891.6515214026499</v>
          </cell>
          <cell r="H131">
            <v>1625.4922807862999</v>
          </cell>
          <cell r="I131">
            <v>1276.0483038372399</v>
          </cell>
          <cell r="J131">
            <v>1079.36583418754</v>
          </cell>
          <cell r="K131">
            <v>1004.7599121055</v>
          </cell>
          <cell r="L131">
            <v>775.431290094465</v>
          </cell>
          <cell r="M131">
            <v>647.12019958344001</v>
          </cell>
          <cell r="N131">
            <v>527.13805185465105</v>
          </cell>
          <cell r="O131">
            <v>309.74966449045797</v>
          </cell>
          <cell r="P131">
            <v>106.435430534944</v>
          </cell>
        </row>
        <row r="132">
          <cell r="B132" t="str">
            <v>CO2</v>
          </cell>
          <cell r="C132" t="str">
            <v>VAR_fout</v>
          </cell>
          <cell r="D132" t="str">
            <v>D-RCOA</v>
          </cell>
          <cell r="E132">
            <v>9.2700968222343505</v>
          </cell>
          <cell r="F132">
            <v>9.2700887317488796</v>
          </cell>
          <cell r="G132">
            <v>0.19195943958690601</v>
          </cell>
          <cell r="H132">
            <v>0.16352377951901401</v>
          </cell>
          <cell r="I132">
            <v>6.6685435583247701E-2</v>
          </cell>
        </row>
        <row r="133">
          <cell r="B133" t="str">
            <v>CO2</v>
          </cell>
          <cell r="C133" t="str">
            <v>VAR_fout</v>
          </cell>
          <cell r="D133" t="str">
            <v>D-RLFO</v>
          </cell>
          <cell r="E133">
            <v>4514.4841358598396</v>
          </cell>
          <cell r="F133">
            <v>3846.5254200827399</v>
          </cell>
          <cell r="G133">
            <v>3346.8997284166899</v>
          </cell>
          <cell r="H133">
            <v>3437.9928799132499</v>
          </cell>
          <cell r="I133">
            <v>2754.6783994328898</v>
          </cell>
          <cell r="J133">
            <v>2522.9673175134099</v>
          </cell>
          <cell r="K133">
            <v>2434.09816956842</v>
          </cell>
          <cell r="L133">
            <v>2089.17583760661</v>
          </cell>
          <cell r="M133">
            <v>1948.7307746834799</v>
          </cell>
          <cell r="N133">
            <v>1674.7471294412401</v>
          </cell>
          <cell r="O133">
            <v>1254.079204765</v>
          </cell>
          <cell r="P133">
            <v>483.66943325506401</v>
          </cell>
        </row>
        <row r="134">
          <cell r="B134" t="str">
            <v>CO2</v>
          </cell>
          <cell r="C134" t="str">
            <v>VAR_fout</v>
          </cell>
          <cell r="D134" t="str">
            <v>D-TGSL</v>
          </cell>
          <cell r="E134">
            <v>5889.2485977946899</v>
          </cell>
          <cell r="F134">
            <v>5605.5403353283</v>
          </cell>
          <cell r="G134">
            <v>5886.5338381035699</v>
          </cell>
          <cell r="H134">
            <v>4312.0231908339101</v>
          </cell>
          <cell r="I134">
            <v>3306.8627439874399</v>
          </cell>
          <cell r="J134">
            <v>2845.7550286330902</v>
          </cell>
          <cell r="K134">
            <v>2450.54798438036</v>
          </cell>
          <cell r="L134">
            <v>2122.3063689873102</v>
          </cell>
          <cell r="M134">
            <v>1939.4066070685799</v>
          </cell>
          <cell r="N134">
            <v>1763.68612903236</v>
          </cell>
          <cell r="O134">
            <v>1629.83535316763</v>
          </cell>
          <cell r="P134">
            <v>1559.22608442813</v>
          </cell>
        </row>
        <row r="135">
          <cell r="B135" t="str">
            <v>CO2</v>
          </cell>
          <cell r="C135" t="str">
            <v>VAR_fout</v>
          </cell>
          <cell r="D135" t="str">
            <v>D-IWST</v>
          </cell>
          <cell r="E135">
            <v>1068.1290583505499</v>
          </cell>
          <cell r="F135">
            <v>1094.48191031235</v>
          </cell>
          <cell r="G135">
            <v>1024.64096645324</v>
          </cell>
          <cell r="H135">
            <v>1013.19798968998</v>
          </cell>
          <cell r="I135">
            <v>1001.75486367726</v>
          </cell>
          <cell r="J135">
            <v>996.69829366684303</v>
          </cell>
          <cell r="K135">
            <v>991.64176874969098</v>
          </cell>
          <cell r="L135">
            <v>986.58540735404904</v>
          </cell>
          <cell r="M135">
            <v>986.58523464963196</v>
          </cell>
          <cell r="N135">
            <v>986.58536364327995</v>
          </cell>
          <cell r="O135">
            <v>986.58528652493101</v>
          </cell>
          <cell r="P135">
            <v>986.58554850214102</v>
          </cell>
        </row>
        <row r="136">
          <cell r="B136" t="str">
            <v>CO2</v>
          </cell>
          <cell r="C136" t="str">
            <v>VAR_fout</v>
          </cell>
          <cell r="D136" t="str">
            <v>D-TKER</v>
          </cell>
          <cell r="E136">
            <v>80.676850963908095</v>
          </cell>
          <cell r="F136">
            <v>102.29843137456599</v>
          </cell>
          <cell r="G136">
            <v>134.44933521373</v>
          </cell>
          <cell r="H136">
            <v>117.304633032631</v>
          </cell>
          <cell r="I136">
            <v>84.656757904147995</v>
          </cell>
          <cell r="J136">
            <v>71.770764612426902</v>
          </cell>
          <cell r="K136">
            <v>46.670795205595702</v>
          </cell>
          <cell r="L136">
            <v>28.183688168621298</v>
          </cell>
          <cell r="M136">
            <v>14.325211223773699</v>
          </cell>
          <cell r="N136">
            <v>8.0022320931222007E-3</v>
          </cell>
          <cell r="O136">
            <v>4.9825914286887102E-3</v>
          </cell>
          <cell r="P136">
            <v>9.0919192051609598E-3</v>
          </cell>
        </row>
        <row r="137">
          <cell r="B137" t="str">
            <v>CO2</v>
          </cell>
          <cell r="C137" t="str">
            <v>VAR_fout</v>
          </cell>
          <cell r="D137" t="str">
            <v>D-INGA</v>
          </cell>
          <cell r="E137">
            <v>2101.7883929483301</v>
          </cell>
          <cell r="F137">
            <v>1715.5377032942299</v>
          </cell>
          <cell r="G137">
            <v>1770.03120587898</v>
          </cell>
          <cell r="H137">
            <v>1590.1365849210199</v>
          </cell>
          <cell r="I137">
            <v>1436.8977239221199</v>
          </cell>
          <cell r="J137">
            <v>1279.05133303506</v>
          </cell>
          <cell r="K137">
            <v>1114.0952430299401</v>
          </cell>
          <cell r="L137">
            <v>970.42028306654504</v>
          </cell>
          <cell r="M137">
            <v>867.41584649231095</v>
          </cell>
          <cell r="N137">
            <v>731.19844426603595</v>
          </cell>
          <cell r="O137">
            <v>653.90338784541598</v>
          </cell>
          <cell r="P137">
            <v>571.73733615727599</v>
          </cell>
        </row>
        <row r="138">
          <cell r="B138" t="str">
            <v>CO2</v>
          </cell>
          <cell r="C138" t="str">
            <v>VAR_fout</v>
          </cell>
          <cell r="D138" t="str">
            <v>D-EWST</v>
          </cell>
          <cell r="E138">
            <v>2258.87066408172</v>
          </cell>
          <cell r="F138">
            <v>2235.4032207760201</v>
          </cell>
          <cell r="G138">
            <v>2268.7816222015199</v>
          </cell>
          <cell r="H138">
            <v>2238.5112163982699</v>
          </cell>
          <cell r="I138">
            <v>2240.4530405536798</v>
          </cell>
          <cell r="J138">
            <v>2266.0986245164099</v>
          </cell>
          <cell r="K138">
            <v>2291.7441812757902</v>
          </cell>
          <cell r="L138">
            <v>2317.3899204330301</v>
          </cell>
          <cell r="M138">
            <v>2317.3898328402202</v>
          </cell>
          <cell r="N138">
            <v>2317.3900309690398</v>
          </cell>
          <cell r="O138">
            <v>2317.38971683717</v>
          </cell>
          <cell r="P138">
            <v>2317.3900390318199</v>
          </cell>
        </row>
        <row r="139">
          <cell r="B139" t="str">
            <v>CO2_SECTOR</v>
          </cell>
          <cell r="C139" t="str">
            <v>VAR_fout</v>
          </cell>
          <cell r="D139" t="str">
            <v>CO2_IND</v>
          </cell>
          <cell r="E139">
            <v>6492.1218392201736</v>
          </cell>
          <cell r="F139">
            <v>6079.4289102936245</v>
          </cell>
          <cell r="G139">
            <v>5767.3838500802267</v>
          </cell>
          <cell r="H139">
            <v>5232.9105844430624</v>
          </cell>
          <cell r="I139">
            <v>4943.7840571177203</v>
          </cell>
          <cell r="J139">
            <v>4612.4939967180626</v>
          </cell>
          <cell r="K139">
            <v>4318.601597922685</v>
          </cell>
          <cell r="L139">
            <v>4048.1377889225987</v>
          </cell>
          <cell r="M139">
            <v>3945.4285276470969</v>
          </cell>
          <cell r="N139">
            <v>3809.2905338516571</v>
          </cell>
          <cell r="O139">
            <v>3731.0098152319797</v>
          </cell>
          <cell r="P139">
            <v>3649.0972883751706</v>
          </cell>
        </row>
        <row r="140">
          <cell r="B140" t="str">
            <v>CO2_SECTOR</v>
          </cell>
          <cell r="C140" t="str">
            <v>VAR_fout</v>
          </cell>
          <cell r="D140" t="str">
            <v>CO2_RES</v>
          </cell>
          <cell r="E140">
            <v>7175.5811092541326</v>
          </cell>
          <cell r="F140">
            <v>6587.5841737433057</v>
          </cell>
          <cell r="G140">
            <v>6260.9472611079764</v>
          </cell>
          <cell r="H140">
            <v>6538.8438339624063</v>
          </cell>
          <cell r="I140">
            <v>5987.4943113129611</v>
          </cell>
          <cell r="J140">
            <v>5713.5027778984932</v>
          </cell>
          <cell r="K140">
            <v>5557.744559346268</v>
          </cell>
          <cell r="L140">
            <v>5230.1315402297078</v>
          </cell>
          <cell r="M140">
            <v>4951.5804720582591</v>
          </cell>
          <cell r="N140">
            <v>4514.0826548610394</v>
          </cell>
          <cell r="O140">
            <v>4168.7098730956159</v>
          </cell>
          <cell r="P140">
            <v>2961.4385780331809</v>
          </cell>
        </row>
        <row r="141">
          <cell r="B141" t="str">
            <v>CO2_SECTOR</v>
          </cell>
          <cell r="C141" t="str">
            <v>VAR_fout</v>
          </cell>
          <cell r="D141" t="str">
            <v>CO2_TRA</v>
          </cell>
          <cell r="E141">
            <v>14669.725036001722</v>
          </cell>
          <cell r="F141">
            <v>13932.349026771351</v>
          </cell>
          <cell r="G141">
            <v>13126.883523967063</v>
          </cell>
          <cell r="H141">
            <v>9672.1054632152973</v>
          </cell>
          <cell r="I141">
            <v>7021.2294355279264</v>
          </cell>
          <cell r="J141">
            <v>6252.6840630348152</v>
          </cell>
          <cell r="K141">
            <v>5569.5462190693024</v>
          </cell>
          <cell r="L141">
            <v>5112.7376690420806</v>
          </cell>
          <cell r="M141">
            <v>4872.6829333567475</v>
          </cell>
          <cell r="N141">
            <v>4198.5950525168591</v>
          </cell>
          <cell r="O141">
            <v>3790.98300455554</v>
          </cell>
          <cell r="P141">
            <v>3743.3160828869113</v>
          </cell>
        </row>
        <row r="142">
          <cell r="B142" t="str">
            <v>CO2_SECTOR</v>
          </cell>
          <cell r="C142" t="str">
            <v>VAR_fout</v>
          </cell>
          <cell r="D142" t="str">
            <v>CO2_ELC</v>
          </cell>
          <cell r="E142">
            <v>2596.6482969812128</v>
          </cell>
          <cell r="F142">
            <v>2384.6549023008802</v>
          </cell>
          <cell r="G142">
            <v>2385.2113642937938</v>
          </cell>
          <cell r="H142">
            <v>2425.7969746342578</v>
          </cell>
          <cell r="I142">
            <v>2368.9071648831828</v>
          </cell>
          <cell r="J142">
            <v>2579.8492291252346</v>
          </cell>
          <cell r="K142">
            <v>2966.8916174692481</v>
          </cell>
          <cell r="L142">
            <v>3284.4141101689574</v>
          </cell>
          <cell r="M142">
            <v>3387.1224295993297</v>
          </cell>
          <cell r="N142">
            <v>3468.4308241562853</v>
          </cell>
          <cell r="O142">
            <v>3438.1985758744499</v>
          </cell>
          <cell r="P142">
            <v>3360.2541382732661</v>
          </cell>
        </row>
        <row r="143">
          <cell r="B143" t="str">
            <v>CO2_SECTOR</v>
          </cell>
          <cell r="C143" t="str">
            <v>VAR_fout</v>
          </cell>
          <cell r="D143" t="str">
            <v>CO2_SER</v>
          </cell>
          <cell r="E143">
            <v>3790.2699411680669</v>
          </cell>
          <cell r="F143">
            <v>3445.2541024147231</v>
          </cell>
          <cell r="G143">
            <v>3417.8771860087936</v>
          </cell>
          <cell r="H143">
            <v>3474.6185002465927</v>
          </cell>
          <cell r="I143">
            <v>3413.4150296722178</v>
          </cell>
          <cell r="J143">
            <v>3200.1265627723906</v>
          </cell>
          <cell r="K143">
            <v>3018.6111906336741</v>
          </cell>
          <cell r="L143">
            <v>2515.5720161598201</v>
          </cell>
          <cell r="M143">
            <v>2356.6767991252059</v>
          </cell>
          <cell r="N143">
            <v>2214.6824329627302</v>
          </cell>
          <cell r="O143">
            <v>2001.0574059094417</v>
          </cell>
          <cell r="P143">
            <v>1768.6816047448235</v>
          </cell>
        </row>
        <row r="144">
          <cell r="B144" t="str">
            <v>CO2_SECTOR</v>
          </cell>
          <cell r="C144" t="str">
            <v>VAR_fout</v>
          </cell>
          <cell r="D144" t="str">
            <v>CO2_ELCCCS</v>
          </cell>
          <cell r="E144">
            <v>2596.6482969812128</v>
          </cell>
          <cell r="F144">
            <v>2384.6549023008802</v>
          </cell>
          <cell r="G144">
            <v>2385.2113642937938</v>
          </cell>
          <cell r="H144">
            <v>2425.7969746342578</v>
          </cell>
          <cell r="I144">
            <v>2368.9071648831828</v>
          </cell>
          <cell r="J144">
            <v>2579.8492291252346</v>
          </cell>
          <cell r="K144">
            <v>2966.8916174692481</v>
          </cell>
          <cell r="L144">
            <v>3284.4141101689574</v>
          </cell>
          <cell r="M144">
            <v>3387.1224295993297</v>
          </cell>
          <cell r="N144">
            <v>3468.4308241562853</v>
          </cell>
          <cell r="O144">
            <v>3438.1985758744499</v>
          </cell>
          <cell r="P144">
            <v>3360.2541382732661</v>
          </cell>
        </row>
        <row r="145">
          <cell r="B145" t="str">
            <v>CO2_SECTOR</v>
          </cell>
          <cell r="C145" t="str">
            <v>VAR_fout</v>
          </cell>
          <cell r="D145" t="str">
            <v>CO2_INDCCS</v>
          </cell>
          <cell r="E145">
            <v>6492.1218392201736</v>
          </cell>
          <cell r="F145">
            <v>6079.4289102936245</v>
          </cell>
          <cell r="G145">
            <v>5767.3838500802267</v>
          </cell>
          <cell r="H145">
            <v>5232.9105844430624</v>
          </cell>
          <cell r="I145">
            <v>4943.7840571177203</v>
          </cell>
          <cell r="J145">
            <v>4612.4939967180626</v>
          </cell>
          <cell r="K145">
            <v>4318.601597922685</v>
          </cell>
          <cell r="L145">
            <v>4048.1377889225987</v>
          </cell>
          <cell r="M145">
            <v>3945.4285276470969</v>
          </cell>
          <cell r="N145">
            <v>3809.2905338516571</v>
          </cell>
          <cell r="O145">
            <v>3731.0098152319797</v>
          </cell>
          <cell r="P145">
            <v>3649.0972883751706</v>
          </cell>
        </row>
        <row r="146">
          <cell r="B146" t="str">
            <v>CO2_SECTOR</v>
          </cell>
          <cell r="C146" t="str">
            <v>VAR_comnet</v>
          </cell>
          <cell r="D146" t="str">
            <v>-</v>
          </cell>
          <cell r="E146">
            <v>43813.116358826694</v>
          </cell>
          <cell r="F146">
            <v>40893.35492811838</v>
          </cell>
          <cell r="G146">
            <v>39110.898399831858</v>
          </cell>
          <cell r="H146">
            <v>35002.982915578912</v>
          </cell>
          <cell r="I146">
            <v>31047.521220514926</v>
          </cell>
          <cell r="J146">
            <v>29550.999855392281</v>
          </cell>
          <cell r="K146">
            <v>28716.888399833129</v>
          </cell>
          <cell r="L146">
            <v>27523.545023614712</v>
          </cell>
          <cell r="M146">
            <v>26846.042119033038</v>
          </cell>
          <cell r="N146">
            <v>25482.802856356499</v>
          </cell>
          <cell r="O146">
            <v>24299.167065773418</v>
          </cell>
          <cell r="P146">
            <v>22492.139118961819</v>
          </cell>
        </row>
        <row r="147">
          <cell r="B147" t="str">
            <v>CO2SC</v>
          </cell>
          <cell r="C147" t="str">
            <v>VAR_fout</v>
          </cell>
          <cell r="D147" t="str">
            <v>CO2S1</v>
          </cell>
          <cell r="E147">
            <v>6307.1990227535098</v>
          </cell>
          <cell r="F147">
            <v>6307.1990227535098</v>
          </cell>
          <cell r="G147">
            <v>6307.1990227535098</v>
          </cell>
          <cell r="H147">
            <v>6307.1990227535098</v>
          </cell>
          <cell r="I147">
            <v>6307.1990227535098</v>
          </cell>
          <cell r="J147">
            <v>6307.1990227535098</v>
          </cell>
          <cell r="K147">
            <v>6307.1990227535098</v>
          </cell>
          <cell r="L147">
            <v>6307.1990227535098</v>
          </cell>
          <cell r="M147">
            <v>6307.1990227535098</v>
          </cell>
          <cell r="N147">
            <v>6307.1990227535098</v>
          </cell>
          <cell r="O147">
            <v>6307.1990227535098</v>
          </cell>
          <cell r="P147">
            <v>6307.1990227535098</v>
          </cell>
        </row>
        <row r="148">
          <cell r="B148" t="str">
            <v>CO2P</v>
          </cell>
          <cell r="C148" t="str">
            <v>VAR_fout</v>
          </cell>
          <cell r="D148" t="str">
            <v>ITOT-PROCESSCO2</v>
          </cell>
          <cell r="E148">
            <v>2089.34680048464</v>
          </cell>
          <cell r="F148">
            <v>2111.0131698740802</v>
          </cell>
          <cell r="G148">
            <v>2102.26947106126</v>
          </cell>
          <cell r="H148">
            <v>2093.6570624126398</v>
          </cell>
          <cell r="I148">
            <v>2085.53495476948</v>
          </cell>
          <cell r="J148">
            <v>2077.4128471263102</v>
          </cell>
          <cell r="K148">
            <v>2070.5807016906501</v>
          </cell>
          <cell r="L148">
            <v>2063.74855625499</v>
          </cell>
          <cell r="M148">
            <v>2063.74855625499</v>
          </cell>
          <cell r="N148">
            <v>2063.74855625499</v>
          </cell>
          <cell r="O148">
            <v>2063.74855625499</v>
          </cell>
          <cell r="P148">
            <v>2063.74855625499</v>
          </cell>
        </row>
        <row r="149">
          <cell r="B149" t="str">
            <v>CO2P</v>
          </cell>
          <cell r="C149" t="str">
            <v>VAR_comnet</v>
          </cell>
          <cell r="D149" t="str">
            <v>-</v>
          </cell>
          <cell r="E149">
            <v>2089.34680048464</v>
          </cell>
          <cell r="F149">
            <v>2111.0131698740802</v>
          </cell>
          <cell r="G149">
            <v>2102.26947106126</v>
          </cell>
          <cell r="H149">
            <v>2093.6570624126398</v>
          </cell>
          <cell r="I149">
            <v>2085.53495476948</v>
          </cell>
          <cell r="J149">
            <v>2077.4128471263102</v>
          </cell>
          <cell r="K149">
            <v>2070.5807016906501</v>
          </cell>
          <cell r="L149">
            <v>2063.74855625499</v>
          </cell>
          <cell r="M149">
            <v>2063.74855625499</v>
          </cell>
          <cell r="N149">
            <v>2063.74855625499</v>
          </cell>
          <cell r="O149">
            <v>2063.74855625499</v>
          </cell>
          <cell r="P149">
            <v>2063.74855625499</v>
          </cell>
        </row>
        <row r="150">
          <cell r="B150" t="str">
            <v>CO2_E</v>
          </cell>
          <cell r="C150" t="str">
            <v>VAR_fout</v>
          </cell>
          <cell r="D150" t="str">
            <v>ENGA-CCS</v>
          </cell>
          <cell r="J150">
            <v>1.8814671844611799E-2</v>
          </cell>
          <cell r="K150">
            <v>2.5314649152201898E-2</v>
          </cell>
          <cell r="L150">
            <v>6.9589669277724198E-2</v>
          </cell>
          <cell r="M150">
            <v>3.2854644081508198E-2</v>
          </cell>
          <cell r="N150">
            <v>5.64101623269418E-2</v>
          </cell>
          <cell r="O150">
            <v>4.1029891623440798E-2</v>
          </cell>
          <cell r="P150">
            <v>8.20381334880564E-2</v>
          </cell>
        </row>
        <row r="151">
          <cell r="B151" t="str">
            <v>CO2_E</v>
          </cell>
          <cell r="C151" t="str">
            <v>VAR_fout</v>
          </cell>
          <cell r="D151" t="str">
            <v>HPLNGA</v>
          </cell>
          <cell r="E151">
            <v>114.38430826253401</v>
          </cell>
          <cell r="F151">
            <v>132.444276414597</v>
          </cell>
          <cell r="G151">
            <v>132.492578879798</v>
          </cell>
          <cell r="H151">
            <v>4.4467677265193304</v>
          </cell>
          <cell r="I151">
            <v>60.019490017722198</v>
          </cell>
          <cell r="J151">
            <v>60.048981158334797</v>
          </cell>
          <cell r="K151">
            <v>2.6210125963186699</v>
          </cell>
          <cell r="L151">
            <v>0.26470861966965498</v>
          </cell>
          <cell r="M151">
            <v>0.112083754528792</v>
          </cell>
          <cell r="N151">
            <v>0.352687902269257</v>
          </cell>
          <cell r="O151">
            <v>8.1686213679517394E-2</v>
          </cell>
          <cell r="P151">
            <v>0.111896950084513</v>
          </cell>
        </row>
        <row r="152">
          <cell r="B152" t="str">
            <v>CO2_E</v>
          </cell>
          <cell r="C152" t="str">
            <v>VAR_fout</v>
          </cell>
          <cell r="D152" t="str">
            <v>CHPWST</v>
          </cell>
          <cell r="E152">
            <v>2828.4480352770402</v>
          </cell>
          <cell r="F152">
            <v>2574.9230801957701</v>
          </cell>
          <cell r="G152">
            <v>2537.6511996806398</v>
          </cell>
          <cell r="H152">
            <v>2556.3784352334801</v>
          </cell>
          <cell r="I152">
            <v>2535.93142322416</v>
          </cell>
          <cell r="J152">
            <v>2541.4886015882398</v>
          </cell>
          <cell r="K152">
            <v>2545.9393027680699</v>
          </cell>
          <cell r="L152">
            <v>2549.2456207914402</v>
          </cell>
          <cell r="M152">
            <v>2549.2466974823601</v>
          </cell>
          <cell r="N152">
            <v>2549.2474443782999</v>
          </cell>
          <cell r="O152">
            <v>2549.2448046050899</v>
          </cell>
          <cell r="P152">
            <v>2549.2377031286501</v>
          </cell>
        </row>
        <row r="153">
          <cell r="B153" t="str">
            <v>CO2_E</v>
          </cell>
          <cell r="C153" t="str">
            <v>VAR_fout</v>
          </cell>
          <cell r="D153" t="str">
            <v>CHPNGA</v>
          </cell>
          <cell r="E153">
            <v>207.543498770784</v>
          </cell>
          <cell r="F153">
            <v>4.2822894800742299E-2</v>
          </cell>
          <cell r="G153">
            <v>3.6650610462423399</v>
          </cell>
          <cell r="H153">
            <v>204.543917271499</v>
          </cell>
          <cell r="I153">
            <v>88.7605857272858</v>
          </cell>
          <cell r="J153">
            <v>197.662544819685</v>
          </cell>
          <cell r="K153">
            <v>160.479397305454</v>
          </cell>
          <cell r="L153">
            <v>25.815163961546101</v>
          </cell>
          <cell r="M153">
            <v>26.896318519337299</v>
          </cell>
          <cell r="N153">
            <v>3.6884365112147002</v>
          </cell>
          <cell r="O153">
            <v>1.2714989276986099</v>
          </cell>
          <cell r="P153">
            <v>1.5527545800389899</v>
          </cell>
        </row>
        <row r="154">
          <cell r="B154" t="str">
            <v>CO2_E</v>
          </cell>
          <cell r="C154" t="str">
            <v>VAR_fout</v>
          </cell>
          <cell r="D154" t="str">
            <v>EWSTINC</v>
          </cell>
          <cell r="E154">
            <v>1689.29329288641</v>
          </cell>
          <cell r="F154">
            <v>1895.8840096899301</v>
          </cell>
          <cell r="G154">
            <v>1999.9133279539501</v>
          </cell>
          <cell r="H154">
            <v>1920.64393909568</v>
          </cell>
          <cell r="I154">
            <v>1944.9749531298901</v>
          </cell>
          <cell r="J154">
            <v>1990.7098190812801</v>
          </cell>
          <cell r="K154">
            <v>2037.54946682998</v>
          </cell>
          <cell r="L154">
            <v>2085.5371869222099</v>
          </cell>
          <cell r="M154">
            <v>2085.5341745937299</v>
          </cell>
          <cell r="N154">
            <v>2085.53549213734</v>
          </cell>
          <cell r="O154">
            <v>2085.53592298986</v>
          </cell>
          <cell r="P154">
            <v>2085.54534101421</v>
          </cell>
        </row>
        <row r="155">
          <cell r="B155" t="str">
            <v>CO2_E</v>
          </cell>
          <cell r="C155" t="str">
            <v>VAR_fout</v>
          </cell>
          <cell r="D155" t="str">
            <v>ENGA-GTCC</v>
          </cell>
          <cell r="J155">
            <v>1.9435314869361899</v>
          </cell>
          <cell r="K155">
            <v>325.66124012402503</v>
          </cell>
          <cell r="L155">
            <v>778.264533293868</v>
          </cell>
          <cell r="M155">
            <v>883.70064465175801</v>
          </cell>
          <cell r="N155">
            <v>1040.2569947320901</v>
          </cell>
          <cell r="O155">
            <v>1124.0250455554899</v>
          </cell>
          <cell r="P155">
            <v>1030.1826374510499</v>
          </cell>
        </row>
        <row r="156">
          <cell r="B156" t="str">
            <v>CO2_E</v>
          </cell>
          <cell r="C156" t="str">
            <v>VAR_fout</v>
          </cell>
          <cell r="D156" t="str">
            <v>HPLOIL</v>
          </cell>
          <cell r="E156">
            <v>15.878370967588101</v>
          </cell>
          <cell r="F156">
            <v>16.0302274617869</v>
          </cell>
          <cell r="G156">
            <v>0.12558724908872601</v>
          </cell>
          <cell r="H156">
            <v>0.123589878500764</v>
          </cell>
          <cell r="I156">
            <v>9.7632600257505295E-2</v>
          </cell>
          <cell r="J156">
            <v>8.7996681325439197E-2</v>
          </cell>
          <cell r="K156">
            <v>8.5935814266831501E-2</v>
          </cell>
          <cell r="L156">
            <v>3.6002777086018498E-2</v>
          </cell>
          <cell r="M156">
            <v>7.7051981720364204E-2</v>
          </cell>
          <cell r="N156">
            <v>3.50609293897476E-2</v>
          </cell>
          <cell r="O156">
            <v>7.0376230285064595E-2</v>
          </cell>
          <cell r="P156">
            <v>3.56758426335003E-2</v>
          </cell>
        </row>
        <row r="157">
          <cell r="B157" t="str">
            <v>CO2_E</v>
          </cell>
          <cell r="C157" t="str">
            <v>VAR_fout</v>
          </cell>
          <cell r="D157" t="str">
            <v>CHPGFC</v>
          </cell>
          <cell r="J157">
            <v>64.991054996856803</v>
          </cell>
          <cell r="K157">
            <v>143.05535922593401</v>
          </cell>
          <cell r="L157">
            <v>143.06679378225999</v>
          </cell>
          <cell r="M157">
            <v>124.597179520349</v>
          </cell>
          <cell r="N157">
            <v>83.009904675307496</v>
          </cell>
          <cell r="O157">
            <v>4.1172693822210604</v>
          </cell>
          <cell r="P157">
            <v>2.80479173546111</v>
          </cell>
        </row>
        <row r="158">
          <cell r="B158" t="str">
            <v>CO2_E</v>
          </cell>
          <cell r="C158" t="str">
            <v>VAR_fout</v>
          </cell>
          <cell r="D158" t="str">
            <v>EOIL-ENG</v>
          </cell>
          <cell r="E158">
            <v>8.8545477652609907</v>
          </cell>
          <cell r="F158">
            <v>1.7919996566954002E-2</v>
          </cell>
          <cell r="G158">
            <v>0.91975200564887905</v>
          </cell>
          <cell r="H158">
            <v>0.42391361824667001</v>
          </cell>
          <cell r="I158">
            <v>0.54012411591848397</v>
          </cell>
          <cell r="J158">
            <v>0.67114269024002804</v>
          </cell>
          <cell r="K158">
            <v>2.1581958168763098</v>
          </cell>
          <cell r="L158">
            <v>4.3434833913583297</v>
          </cell>
          <cell r="M158">
            <v>2.3154853949350702</v>
          </cell>
          <cell r="N158">
            <v>2.7608513291949199</v>
          </cell>
          <cell r="O158">
            <v>3.2968958136410298</v>
          </cell>
          <cell r="P158">
            <v>4.7111880287842904</v>
          </cell>
        </row>
        <row r="159">
          <cell r="B159" t="str">
            <v>CO2_E</v>
          </cell>
          <cell r="C159" t="str">
            <v>VAR_fout</v>
          </cell>
          <cell r="D159" t="str">
            <v>ENGA-GTOC</v>
          </cell>
          <cell r="I159">
            <v>1.26537153299848</v>
          </cell>
          <cell r="J159">
            <v>9.91566068653621</v>
          </cell>
          <cell r="K159">
            <v>61.4489046011713</v>
          </cell>
          <cell r="L159">
            <v>34.111501291678401</v>
          </cell>
          <cell r="M159">
            <v>51.034725370107402</v>
          </cell>
          <cell r="N159">
            <v>39.262441701404597</v>
          </cell>
          <cell r="O159">
            <v>6.6860806395124097</v>
          </cell>
          <cell r="P159">
            <v>22.025543904895098</v>
          </cell>
        </row>
        <row r="160">
          <cell r="B160" t="str">
            <v>CO2_E</v>
          </cell>
          <cell r="C160" t="str">
            <v>VAR_fout</v>
          </cell>
          <cell r="D160" t="str">
            <v>CHPOIL</v>
          </cell>
          <cell r="E160">
            <v>1.61077704041628</v>
          </cell>
          <cell r="F160">
            <v>2.8841772476355301E-2</v>
          </cell>
          <cell r="G160">
            <v>0.84739738034166001</v>
          </cell>
          <cell r="H160">
            <v>0.51892371612017996</v>
          </cell>
          <cell r="I160">
            <v>0.73382111721759802</v>
          </cell>
          <cell r="J160">
            <v>0.78547181197374105</v>
          </cell>
          <cell r="K160">
            <v>0.814091521233271</v>
          </cell>
          <cell r="L160">
            <v>1.2875104619720601</v>
          </cell>
          <cell r="M160">
            <v>0.90812142209163904</v>
          </cell>
          <cell r="N160">
            <v>1.2815011570582899</v>
          </cell>
          <cell r="O160">
            <v>0.97677416176324705</v>
          </cell>
          <cell r="P160">
            <v>1.3464263079832299</v>
          </cell>
        </row>
        <row r="161">
          <cell r="B161" t="str">
            <v>CO2_E</v>
          </cell>
          <cell r="C161" t="str">
            <v>VAR_comnet</v>
          </cell>
          <cell r="D161" t="str">
            <v>-</v>
          </cell>
          <cell r="E161">
            <v>4866.0128309700203</v>
          </cell>
          <cell r="F161">
            <v>4619.3711784259303</v>
          </cell>
          <cell r="G161">
            <v>4675.6149041957096</v>
          </cell>
          <cell r="H161">
            <v>4687.0794865400403</v>
          </cell>
          <cell r="I161">
            <v>4632.3234014654499</v>
          </cell>
          <cell r="J161">
            <v>4868.3236196732496</v>
          </cell>
          <cell r="K161">
            <v>5279.8382212524903</v>
          </cell>
          <cell r="L161">
            <v>5622.0420949623704</v>
          </cell>
          <cell r="M161">
            <v>5724.455337335</v>
          </cell>
          <cell r="N161">
            <v>5805.4872256158997</v>
          </cell>
          <cell r="O161">
            <v>5775.3473844108603</v>
          </cell>
          <cell r="P161">
            <v>5697.6359970772701</v>
          </cell>
        </row>
        <row r="162">
          <cell r="B162" t="str">
            <v>CO2_I</v>
          </cell>
          <cell r="C162" t="str">
            <v>VAR_fout</v>
          </cell>
          <cell r="D162" t="str">
            <v>ITOT-CHPNGA</v>
          </cell>
          <cell r="E162">
            <v>108.366938600607</v>
          </cell>
          <cell r="F162">
            <v>14.4802834322102</v>
          </cell>
          <cell r="G162">
            <v>9.2545190500021999</v>
          </cell>
          <cell r="H162">
            <v>102.407331033706</v>
          </cell>
          <cell r="I162">
            <v>100.77611676297001</v>
          </cell>
          <cell r="J162">
            <v>25.482921937150699</v>
          </cell>
          <cell r="K162">
            <v>16.448012283737199</v>
          </cell>
          <cell r="L162">
            <v>9.9611899813563092</v>
          </cell>
          <cell r="M162">
            <v>4.9871537442180198</v>
          </cell>
          <cell r="N162">
            <v>5.4500441695923501</v>
          </cell>
          <cell r="O162">
            <v>7.8955706268016996</v>
          </cell>
          <cell r="P162">
            <v>13.427633122518801</v>
          </cell>
        </row>
        <row r="163">
          <cell r="B163" t="str">
            <v>CO2_I</v>
          </cell>
          <cell r="C163" t="str">
            <v>VAR_fout</v>
          </cell>
          <cell r="D163" t="str">
            <v>ITOT-SWHNGABR</v>
          </cell>
          <cell r="E163">
            <v>2005.1537925406701</v>
          </cell>
          <cell r="F163">
            <v>1695.5995289289399</v>
          </cell>
          <cell r="G163">
            <v>1908.50872310983</v>
          </cell>
          <cell r="H163">
            <v>1632.70913810446</v>
          </cell>
          <cell r="I163">
            <v>1480.49263281243</v>
          </cell>
          <cell r="J163">
            <v>1397.4632891573101</v>
          </cell>
          <cell r="K163">
            <v>1242.0642573679099</v>
          </cell>
          <cell r="L163">
            <v>1104.95588482327</v>
          </cell>
          <cell r="M163">
            <v>1007.45786632022</v>
          </cell>
          <cell r="N163">
            <v>783.39664988690799</v>
          </cell>
          <cell r="O163">
            <v>703.75737315881304</v>
          </cell>
          <cell r="P163">
            <v>615.26938947334997</v>
          </cell>
        </row>
        <row r="164">
          <cell r="B164" t="str">
            <v>CO2_I</v>
          </cell>
          <cell r="C164" t="str">
            <v>VAR_fout</v>
          </cell>
          <cell r="D164" t="str">
            <v>ITOT-SWHLFOBR</v>
          </cell>
          <cell r="E164">
            <v>655.76899624704095</v>
          </cell>
          <cell r="F164">
            <v>597.33351547007101</v>
          </cell>
          <cell r="G164">
            <v>589.70726875654395</v>
          </cell>
          <cell r="H164">
            <v>479.38872638867099</v>
          </cell>
          <cell r="I164">
            <v>365.24665563957302</v>
          </cell>
          <cell r="J164">
            <v>249.49711780999101</v>
          </cell>
          <cell r="K164">
            <v>133.78717989628601</v>
          </cell>
          <cell r="L164">
            <v>19.1387961830617</v>
          </cell>
          <cell r="M164">
            <v>19.135885624632799</v>
          </cell>
          <cell r="N164">
            <v>19.135204737550499</v>
          </cell>
          <cell r="O164">
            <v>18.437254177027899</v>
          </cell>
          <cell r="P164">
            <v>18.2769483677206</v>
          </cell>
        </row>
        <row r="165">
          <cell r="B165" t="str">
            <v>CO2_I</v>
          </cell>
          <cell r="C165" t="str">
            <v>VAR_fout</v>
          </cell>
          <cell r="D165" t="str">
            <v>ITOT-CHPNGACCS</v>
          </cell>
          <cell r="J165">
            <v>1.5840813409263101E-2</v>
          </cell>
          <cell r="K165">
            <v>1.9758273133215501E-2</v>
          </cell>
          <cell r="L165">
            <v>5.0121413763181098E-2</v>
          </cell>
          <cell r="M165">
            <v>2.46410163518247E-2</v>
          </cell>
          <cell r="N165">
            <v>4.2354435297318797E-2</v>
          </cell>
          <cell r="O165">
            <v>4.1292620930412E-2</v>
          </cell>
          <cell r="P165">
            <v>8.2824365942126998E-2</v>
          </cell>
        </row>
        <row r="166">
          <cell r="B166" t="str">
            <v>CO2_I</v>
          </cell>
          <cell r="C166" t="str">
            <v>VAR_fout</v>
          </cell>
          <cell r="D166" t="str">
            <v>ITOT-CHPGFC</v>
          </cell>
          <cell r="H166">
            <v>0.157799653967373</v>
          </cell>
          <cell r="I166">
            <v>0.22230187594609699</v>
          </cell>
          <cell r="J166">
            <v>0.37994368239841197</v>
          </cell>
          <cell r="K166">
            <v>0.48838530774413302</v>
          </cell>
          <cell r="L166">
            <v>0.94215488469841602</v>
          </cell>
          <cell r="M166">
            <v>0.75874656684679498</v>
          </cell>
          <cell r="N166">
            <v>1.1443230739392001</v>
          </cell>
          <cell r="O166">
            <v>1.28361212933002</v>
          </cell>
          <cell r="P166">
            <v>2.32314675783089</v>
          </cell>
        </row>
        <row r="167">
          <cell r="B167" t="str">
            <v>CO2_I</v>
          </cell>
          <cell r="C167" t="str">
            <v>VAR_fout</v>
          </cell>
          <cell r="D167" t="str">
            <v>ITOT-SWHCOABR</v>
          </cell>
          <cell r="E167">
            <v>330.01244071678599</v>
          </cell>
          <cell r="F167">
            <v>321.17926252389299</v>
          </cell>
          <cell r="G167">
            <v>269.58166234178799</v>
          </cell>
          <cell r="H167">
            <v>0.123498183505558</v>
          </cell>
          <cell r="I167">
            <v>0.13986475660123501</v>
          </cell>
          <cell r="J167">
            <v>0.12573416567276699</v>
          </cell>
          <cell r="K167">
            <v>0.16520354684823799</v>
          </cell>
          <cell r="L167">
            <v>0.41676213894017</v>
          </cell>
          <cell r="M167">
            <v>0.246590806430244</v>
          </cell>
          <cell r="N167">
            <v>0.37129389055567102</v>
          </cell>
          <cell r="O167">
            <v>0.20455723368127299</v>
          </cell>
          <cell r="P167">
            <v>0.358340189471552</v>
          </cell>
        </row>
        <row r="168">
          <cell r="B168" t="str">
            <v>CO2_I</v>
          </cell>
          <cell r="C168" t="str">
            <v>VAR_fout</v>
          </cell>
          <cell r="D168" t="str">
            <v>ITOT-CHPOIL</v>
          </cell>
          <cell r="E168">
            <v>21.787259639863201</v>
          </cell>
          <cell r="F168">
            <v>51.231569859704102</v>
          </cell>
          <cell r="G168">
            <v>0.88190804644634302</v>
          </cell>
          <cell r="H168">
            <v>47.4342770378287</v>
          </cell>
          <cell r="I168">
            <v>47.142119886238703</v>
          </cell>
          <cell r="J168">
            <v>5.3278570540290504</v>
          </cell>
          <cell r="K168">
            <v>5.89622294431308</v>
          </cell>
          <cell r="L168">
            <v>7.4244968895862202</v>
          </cell>
          <cell r="M168">
            <v>7.8872802113418201</v>
          </cell>
          <cell r="N168">
            <v>7.8466065038977302</v>
          </cell>
          <cell r="O168">
            <v>7.7410851555135203</v>
          </cell>
          <cell r="P168">
            <v>8.0671438394053894</v>
          </cell>
        </row>
        <row r="169">
          <cell r="B169" t="str">
            <v>CO2_I</v>
          </cell>
          <cell r="C169" t="str">
            <v>VAR_fout</v>
          </cell>
          <cell r="D169" t="str">
            <v>ITOT-SWHWSTBR</v>
          </cell>
          <cell r="E169">
            <v>723.65863646713603</v>
          </cell>
          <cell r="F169">
            <v>749.84581466992495</v>
          </cell>
          <cell r="G169">
            <v>520.45605285264003</v>
          </cell>
          <cell r="H169">
            <v>514.63824686547696</v>
          </cell>
          <cell r="I169">
            <v>508.825224438774</v>
          </cell>
          <cell r="J169">
            <v>506.26156309479597</v>
          </cell>
          <cell r="K169">
            <v>503.69306749456399</v>
          </cell>
          <cell r="L169">
            <v>501.12322423802499</v>
          </cell>
          <cell r="M169">
            <v>501.12453785985298</v>
          </cell>
          <cell r="N169">
            <v>501.13219616209301</v>
          </cell>
          <cell r="O169">
            <v>501.12375897003301</v>
          </cell>
          <cell r="P169">
            <v>501.146543366846</v>
          </cell>
        </row>
        <row r="170">
          <cell r="B170" t="str">
            <v>CO2_I</v>
          </cell>
          <cell r="C170" t="str">
            <v>VAR_fout</v>
          </cell>
          <cell r="D170" t="str">
            <v>ITOT-SWHNGAHP</v>
          </cell>
          <cell r="G170">
            <v>1.5666307760843099</v>
          </cell>
          <cell r="H170">
            <v>4.7461701632783404</v>
          </cell>
          <cell r="I170">
            <v>5.7767481594216603</v>
          </cell>
          <cell r="J170">
            <v>6.5822296608439901</v>
          </cell>
          <cell r="K170">
            <v>6.4745559923468301</v>
          </cell>
          <cell r="L170">
            <v>6.35922083557855</v>
          </cell>
          <cell r="M170">
            <v>6.3584040395570796</v>
          </cell>
          <cell r="N170">
            <v>93.758893627345302</v>
          </cell>
          <cell r="O170">
            <v>93.757731237545201</v>
          </cell>
          <cell r="P170">
            <v>93.7361684262967</v>
          </cell>
        </row>
        <row r="171">
          <cell r="B171" t="str">
            <v>CO2_I</v>
          </cell>
          <cell r="C171" t="str">
            <v>VAR_fout</v>
          </cell>
          <cell r="D171" t="str">
            <v>ITOT-CHPWST</v>
          </cell>
          <cell r="E171">
            <v>344.47042188341101</v>
          </cell>
          <cell r="F171">
            <v>344.64593460680402</v>
          </cell>
          <cell r="G171">
            <v>504.20076628515301</v>
          </cell>
          <cell r="H171">
            <v>498.56568175604798</v>
          </cell>
          <cell r="I171">
            <v>492.93630279233201</v>
          </cell>
          <cell r="J171">
            <v>490.44795650875801</v>
          </cell>
          <cell r="K171">
            <v>487.95978859316199</v>
          </cell>
          <cell r="L171">
            <v>485.47552552762698</v>
          </cell>
          <cell r="M171">
            <v>485.471640911848</v>
          </cell>
          <cell r="N171">
            <v>485.47524902277502</v>
          </cell>
          <cell r="O171">
            <v>485.472434406535</v>
          </cell>
          <cell r="P171">
            <v>485.48322325175701</v>
          </cell>
        </row>
        <row r="172">
          <cell r="B172" t="str">
            <v>CO2_I</v>
          </cell>
          <cell r="C172" t="str">
            <v>VAR_fout</v>
          </cell>
          <cell r="D172" t="str">
            <v>ITOT-SWHHFOBR</v>
          </cell>
          <cell r="E172">
            <v>210.21032471114199</v>
          </cell>
          <cell r="F172">
            <v>174.674541210706</v>
          </cell>
          <cell r="G172">
            <v>0.245040378389766</v>
          </cell>
          <cell r="H172">
            <v>6.9340471134081497E-2</v>
          </cell>
          <cell r="I172">
            <v>0.108520989142686</v>
          </cell>
          <cell r="J172">
            <v>9.7937478296295497E-2</v>
          </cell>
          <cell r="K172">
            <v>0.111042957464328</v>
          </cell>
        </row>
        <row r="173">
          <cell r="B173" t="str">
            <v>CO2_I</v>
          </cell>
          <cell r="C173" t="str">
            <v>VAR_comnet</v>
          </cell>
          <cell r="D173" t="str">
            <v>-</v>
          </cell>
          <cell r="E173">
            <v>4399.4288108066603</v>
          </cell>
          <cell r="F173">
            <v>3948.9904507022502</v>
          </cell>
          <cell r="G173">
            <v>3804.4025715968801</v>
          </cell>
          <cell r="H173">
            <v>3280.2402096580699</v>
          </cell>
          <cell r="I173">
            <v>3001.6664881134302</v>
          </cell>
          <cell r="J173">
            <v>2681.6823913626499</v>
          </cell>
          <cell r="K173">
            <v>2397.10747465751</v>
          </cell>
          <cell r="L173">
            <v>2135.84737691591</v>
          </cell>
          <cell r="M173">
            <v>2033.4527471013</v>
          </cell>
          <cell r="N173">
            <v>1897.7528155099501</v>
          </cell>
          <cell r="O173">
            <v>1819.71466971621</v>
          </cell>
          <cell r="P173">
            <v>1738.1713611611401</v>
          </cell>
        </row>
        <row r="174">
          <cell r="B174"/>
          <cell r="C174"/>
          <cell r="D174"/>
        </row>
        <row r="175">
          <cell r="B175"/>
          <cell r="C175"/>
          <cell r="D175"/>
        </row>
        <row r="176">
          <cell r="B176"/>
          <cell r="C176"/>
          <cell r="D176"/>
        </row>
        <row r="177">
          <cell r="B177"/>
          <cell r="C177"/>
          <cell r="D177"/>
        </row>
        <row r="178">
          <cell r="B178"/>
          <cell r="C178"/>
          <cell r="D178"/>
        </row>
        <row r="179">
          <cell r="B179"/>
          <cell r="C179"/>
          <cell r="D179"/>
        </row>
        <row r="180">
          <cell r="B180"/>
          <cell r="C180"/>
          <cell r="D180"/>
        </row>
        <row r="181">
          <cell r="B181"/>
          <cell r="C181"/>
          <cell r="D181"/>
        </row>
        <row r="182">
          <cell r="B182"/>
          <cell r="C182"/>
          <cell r="D182"/>
        </row>
        <row r="183">
          <cell r="B183"/>
          <cell r="C183"/>
          <cell r="D183"/>
        </row>
        <row r="184">
          <cell r="B184"/>
          <cell r="C184"/>
          <cell r="D184"/>
        </row>
        <row r="185">
          <cell r="B185"/>
          <cell r="C185"/>
          <cell r="D185"/>
        </row>
        <row r="186">
          <cell r="B186"/>
          <cell r="C186"/>
          <cell r="D186"/>
        </row>
        <row r="187">
          <cell r="B187"/>
          <cell r="C187"/>
          <cell r="D187"/>
        </row>
        <row r="188">
          <cell r="B188"/>
          <cell r="C188"/>
          <cell r="D188"/>
        </row>
        <row r="189">
          <cell r="B189"/>
          <cell r="C189"/>
          <cell r="D189"/>
        </row>
        <row r="190">
          <cell r="B190"/>
          <cell r="C190"/>
          <cell r="D190"/>
        </row>
        <row r="191">
          <cell r="B191"/>
          <cell r="C191"/>
          <cell r="D191"/>
        </row>
        <row r="192">
          <cell r="B192"/>
          <cell r="C192"/>
          <cell r="D192"/>
        </row>
        <row r="193">
          <cell r="B193"/>
          <cell r="C193"/>
          <cell r="D193"/>
        </row>
        <row r="194">
          <cell r="B194"/>
          <cell r="C194"/>
          <cell r="D194"/>
        </row>
        <row r="195">
          <cell r="B195"/>
          <cell r="C195"/>
          <cell r="D195"/>
        </row>
        <row r="196">
          <cell r="B196"/>
          <cell r="C196"/>
          <cell r="D196"/>
        </row>
        <row r="197">
          <cell r="B197"/>
          <cell r="C197"/>
          <cell r="D197"/>
        </row>
        <row r="198">
          <cell r="B198"/>
          <cell r="C198"/>
          <cell r="D198"/>
        </row>
        <row r="199">
          <cell r="B199"/>
          <cell r="C199"/>
          <cell r="D199"/>
        </row>
        <row r="200">
          <cell r="B200"/>
          <cell r="C200"/>
          <cell r="D200"/>
        </row>
        <row r="201">
          <cell r="B201"/>
          <cell r="C201"/>
          <cell r="D201"/>
        </row>
        <row r="202">
          <cell r="B202"/>
          <cell r="C202"/>
          <cell r="D202"/>
        </row>
        <row r="203">
          <cell r="B203"/>
          <cell r="C203"/>
          <cell r="D203"/>
        </row>
        <row r="204">
          <cell r="B204"/>
          <cell r="C204"/>
          <cell r="D204"/>
        </row>
        <row r="205">
          <cell r="B205"/>
          <cell r="C205"/>
          <cell r="D205"/>
        </row>
        <row r="206">
          <cell r="B206"/>
          <cell r="C206"/>
          <cell r="D206"/>
        </row>
        <row r="207">
          <cell r="B207"/>
          <cell r="C207"/>
          <cell r="D207"/>
        </row>
        <row r="208">
          <cell r="B208"/>
          <cell r="C208"/>
          <cell r="D208"/>
        </row>
        <row r="209">
          <cell r="B209"/>
          <cell r="C209"/>
          <cell r="D209"/>
        </row>
        <row r="210">
          <cell r="B210"/>
          <cell r="C210"/>
          <cell r="D210"/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  <cell r="I3" t="str">
            <v>2035</v>
          </cell>
          <cell r="J3" t="str">
            <v>2040</v>
          </cell>
          <cell r="K3" t="str">
            <v>2045</v>
          </cell>
          <cell r="L3" t="str">
            <v>2050</v>
          </cell>
          <cell r="M3" t="str">
            <v>2055</v>
          </cell>
          <cell r="N3" t="str">
            <v>2060</v>
          </cell>
          <cell r="O3" t="str">
            <v>2065</v>
          </cell>
          <cell r="P3" t="str">
            <v>2070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4.6776214828667598E-7</v>
          </cell>
          <cell r="I4">
            <v>1.03876581296997E-6</v>
          </cell>
          <cell r="J4">
            <v>1.3436855219214101E-6</v>
          </cell>
          <cell r="K4">
            <v>2.2776135999820601E-6</v>
          </cell>
          <cell r="L4">
            <v>1.6605517228383701E-4</v>
          </cell>
          <cell r="M4">
            <v>3.55983806153247E-6</v>
          </cell>
          <cell r="N4">
            <v>9.1633272505122507E-5</v>
          </cell>
          <cell r="O4">
            <v>6.3592530912520004E-6</v>
          </cell>
          <cell r="P4">
            <v>3.1775521990280898E-4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3.0690025101413399E-5</v>
          </cell>
          <cell r="K5">
            <v>1.61321945599994E-6</v>
          </cell>
          <cell r="L5">
            <v>6.8388633638155098E-6</v>
          </cell>
          <cell r="M5">
            <v>1.13069723697637E-6</v>
          </cell>
          <cell r="N5">
            <v>3.7518182177526498E-5</v>
          </cell>
          <cell r="O5">
            <v>8.2982844700930798E-7</v>
          </cell>
          <cell r="P5">
            <v>4.8629837776644402E-5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3.5064626437359898E-6</v>
          </cell>
          <cell r="I6">
            <v>5.6104211569641299E-6</v>
          </cell>
          <cell r="J6">
            <v>1.3243068736365999E-6</v>
          </cell>
          <cell r="K6">
            <v>2.23163677679113E-6</v>
          </cell>
          <cell r="L6">
            <v>9.4871088896433899E-6</v>
          </cell>
          <cell r="M6">
            <v>3.3581764749533998E-6</v>
          </cell>
          <cell r="N6">
            <v>1.39543554050903E-5</v>
          </cell>
          <cell r="O6">
            <v>4.8052398839328002E-6</v>
          </cell>
          <cell r="P6">
            <v>4.4015667765198E-5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3.7777977759913401E-7</v>
          </cell>
          <cell r="I7">
            <v>1.18578673074542E-6</v>
          </cell>
          <cell r="J7">
            <v>1.3092867396381099E-6</v>
          </cell>
          <cell r="K7">
            <v>2.00764554671333E-6</v>
          </cell>
          <cell r="L7">
            <v>2.1874856612037201E-6</v>
          </cell>
          <cell r="M7">
            <v>1.7061008257163999E-6</v>
          </cell>
          <cell r="N7">
            <v>1.5746164042960401E-6</v>
          </cell>
          <cell r="O7">
            <v>1.9403055801101501E-6</v>
          </cell>
          <cell r="P7">
            <v>5.6625680110218898E-6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7.1469561209137705E-7</v>
          </cell>
          <cell r="F8">
            <v>4.1436810567819798E-7</v>
          </cell>
          <cell r="G8">
            <v>5.6316032517904702E-7</v>
          </cell>
          <cell r="H8">
            <v>7.2531361125424795E-7</v>
          </cell>
          <cell r="I8">
            <v>1.71390528992796E-6</v>
          </cell>
          <cell r="J8">
            <v>2.62992385330054E-6</v>
          </cell>
          <cell r="K8">
            <v>5.0825397652311402E-6</v>
          </cell>
          <cell r="L8">
            <v>3.4124470974966098E-2</v>
          </cell>
          <cell r="M8">
            <v>0.82781649039165395</v>
          </cell>
          <cell r="N8">
            <v>0.32484613475471602</v>
          </cell>
          <cell r="O8">
            <v>1.6942959595677301E-5</v>
          </cell>
          <cell r="P8">
            <v>3.7887368876723598E-5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1.65767000534947E-3</v>
          </cell>
          <cell r="K9">
            <v>1.62676966418163E-4</v>
          </cell>
          <cell r="L9">
            <v>2.8436053319503998E-4</v>
          </cell>
          <cell r="M9">
            <v>4.4304204171074002E-6</v>
          </cell>
          <cell r="N9">
            <v>2.5145183700664599E-4</v>
          </cell>
          <cell r="O9">
            <v>1.71997901086704E-5</v>
          </cell>
          <cell r="P9">
            <v>2.1702992299220299E-3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4.0984051952070704E-3</v>
          </cell>
          <cell r="F10">
            <v>5.5588652772563599E-3</v>
          </cell>
          <cell r="G10">
            <v>7.39336302356916E-7</v>
          </cell>
          <cell r="H10">
            <v>7.28497254800409E-2</v>
          </cell>
          <cell r="I10">
            <v>0.116853823084095</v>
          </cell>
          <cell r="J10">
            <v>1.6118280016528898E-2</v>
          </cell>
          <cell r="K10">
            <v>2.2139561855725E-2</v>
          </cell>
          <cell r="L10">
            <v>4.3686050808823998E-2</v>
          </cell>
          <cell r="M10">
            <v>8.35134994469761E-2</v>
          </cell>
          <cell r="N10">
            <v>4.9452015765266102E-2</v>
          </cell>
          <cell r="O10">
            <v>2.2138098413933601E-2</v>
          </cell>
          <cell r="P10">
            <v>4.3664578339752999E-2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4.4048012097280701E-7</v>
          </cell>
          <cell r="F11">
            <v>4.0794292044203901E-7</v>
          </cell>
          <cell r="G11">
            <v>3.5648059334107201E-7</v>
          </cell>
          <cell r="H11">
            <v>3.98542468737044E-7</v>
          </cell>
          <cell r="I11">
            <v>6.2594601030336098E-7</v>
          </cell>
          <cell r="J11">
            <v>9.1122318545032495E-7</v>
          </cell>
          <cell r="K11">
            <v>1.78121740094114E-6</v>
          </cell>
          <cell r="L11">
            <v>7.5351936496157899E-4</v>
          </cell>
          <cell r="M11">
            <v>7.1280357245682403E-6</v>
          </cell>
          <cell r="N11">
            <v>2.20738387677333E-4</v>
          </cell>
          <cell r="O11">
            <v>1.99852358810189E-5</v>
          </cell>
          <cell r="P11">
            <v>9.92270885451041E-4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1.4391187965050799E-2</v>
          </cell>
          <cell r="F12">
            <v>7.0443522883611998E-2</v>
          </cell>
          <cell r="G12">
            <v>2.42919975621732E-7</v>
          </cell>
          <cell r="H12">
            <v>3.4874804425362998E-7</v>
          </cell>
          <cell r="I12">
            <v>1.4455299606305301E-2</v>
          </cell>
          <cell r="J12">
            <v>3.9999364709122603E-2</v>
          </cell>
          <cell r="K12">
            <v>4.92753582043872E-2</v>
          </cell>
          <cell r="L12">
            <v>5.1052465690515201E-5</v>
          </cell>
          <cell r="M12">
            <v>1.5363122796291E-2</v>
          </cell>
          <cell r="N12">
            <v>3.9119083175332102E-2</v>
          </cell>
          <cell r="O12">
            <v>4.9274310378834098E-2</v>
          </cell>
          <cell r="P12">
            <v>1.5883657378495101E-4</v>
          </cell>
        </row>
        <row r="13">
          <cell r="A13" t="str">
            <v>-</v>
          </cell>
          <cell r="B13" t="str">
            <v>VAR_ncap</v>
          </cell>
          <cell r="C13" t="str">
            <v>SUP_WODH2</v>
          </cell>
          <cell r="L13">
            <v>2.5579425479200802E-4</v>
          </cell>
          <cell r="M13">
            <v>1.4044308808943701E-6</v>
          </cell>
          <cell r="N13">
            <v>1.3253693007484401E-4</v>
          </cell>
          <cell r="O13">
            <v>1.47146252158975E-5</v>
          </cell>
          <cell r="P13">
            <v>9.2686409300896501E-4</v>
          </cell>
        </row>
        <row r="14">
          <cell r="A14" t="str">
            <v>-</v>
          </cell>
          <cell r="B14" t="str">
            <v>VAR_ncap</v>
          </cell>
          <cell r="C14" t="str">
            <v>ESOL-PV_A</v>
          </cell>
          <cell r="H14">
            <v>2.20455820442216E-4</v>
          </cell>
          <cell r="I14">
            <v>1.0554449660741901E-6</v>
          </cell>
          <cell r="J14">
            <v>4.4946888243997701E-7</v>
          </cell>
          <cell r="K14">
            <v>1.0812291143353999E-6</v>
          </cell>
          <cell r="L14">
            <v>2.8629700375029402E-6</v>
          </cell>
          <cell r="M14">
            <v>2.6816688216802501E-4</v>
          </cell>
          <cell r="N14">
            <v>1.23472465689727E-5</v>
          </cell>
          <cell r="O14">
            <v>6.0139393781460005E-4</v>
          </cell>
        </row>
        <row r="15">
          <cell r="A15" t="str">
            <v>-</v>
          </cell>
          <cell r="B15" t="str">
            <v>VAR_ncap</v>
          </cell>
          <cell r="C15" t="str">
            <v>D-TNGA</v>
          </cell>
          <cell r="E15">
            <v>1.7790850718512E-7</v>
          </cell>
          <cell r="F15">
            <v>1.04048504321972E-7</v>
          </cell>
          <cell r="G15">
            <v>1.2287141858447899E-7</v>
          </cell>
          <cell r="H15">
            <v>1.3782901499331001E-7</v>
          </cell>
          <cell r="I15">
            <v>2.3537445781719501E-7</v>
          </cell>
          <cell r="J15">
            <v>3.3622500653586198E-7</v>
          </cell>
          <cell r="K15">
            <v>6.0397955938838295E-7</v>
          </cell>
          <cell r="L15">
            <v>2.48947201293211E-6</v>
          </cell>
          <cell r="M15">
            <v>5.8284093331210105E-4</v>
          </cell>
          <cell r="N15">
            <v>4.5490837181368398E-5</v>
          </cell>
          <cell r="O15">
            <v>4.2514148890234101E-6</v>
          </cell>
          <cell r="P15">
            <v>1.6025392040706901E-4</v>
          </cell>
        </row>
        <row r="16">
          <cell r="A16" t="str">
            <v>-</v>
          </cell>
          <cell r="B16" t="str">
            <v>VAR_ncap</v>
          </cell>
          <cell r="C16" t="str">
            <v>SUP_ELCH2_D</v>
          </cell>
          <cell r="H16">
            <v>8.4480704767811504E-6</v>
          </cell>
          <cell r="I16">
            <v>3.605848985826E-5</v>
          </cell>
          <cell r="J16">
            <v>9.7228832971547896E-5</v>
          </cell>
          <cell r="K16">
            <v>3.3368309981175002E-5</v>
          </cell>
          <cell r="L16">
            <v>5.3065934840133202E-5</v>
          </cell>
          <cell r="M16">
            <v>1.29499965583181E-5</v>
          </cell>
          <cell r="N16">
            <v>1.3688417179400601E-4</v>
          </cell>
          <cell r="O16">
            <v>8.2098600399799192E-6</v>
          </cell>
          <cell r="P16">
            <v>2.6256321210391798E-4</v>
          </cell>
        </row>
        <row r="17">
          <cell r="A17" t="str">
            <v>-</v>
          </cell>
          <cell r="B17" t="str">
            <v>VAR_ncap</v>
          </cell>
          <cell r="C17" t="str">
            <v>SUP_H2GSL</v>
          </cell>
          <cell r="H17">
            <v>4.8995717028042204E-7</v>
          </cell>
          <cell r="I17">
            <v>1.1140272583802299E-6</v>
          </cell>
          <cell r="J17">
            <v>1.48540017184987E-6</v>
          </cell>
          <cell r="K17">
            <v>1.52045123790674E-6</v>
          </cell>
          <cell r="L17">
            <v>2.0220320996752101E-6</v>
          </cell>
          <cell r="M17">
            <v>1.62243127473165E-6</v>
          </cell>
          <cell r="N17">
            <v>1.9127726616573301E-6</v>
          </cell>
          <cell r="O17">
            <v>2.4306418714068799E-6</v>
          </cell>
          <cell r="P17">
            <v>8.3032936671713706E-6</v>
          </cell>
        </row>
        <row r="18">
          <cell r="A18" t="str">
            <v>-</v>
          </cell>
          <cell r="B18" t="str">
            <v>VAR_ncap</v>
          </cell>
          <cell r="C18" t="str">
            <v>ESOL-PV_E</v>
          </cell>
          <cell r="H18">
            <v>4.3242875201308199E-6</v>
          </cell>
          <cell r="I18">
            <v>1.0956648461849001E-4</v>
          </cell>
          <cell r="J18">
            <v>2.6044917616509998E-4</v>
          </cell>
          <cell r="K18">
            <v>7.64925536541955E-5</v>
          </cell>
          <cell r="L18">
            <v>4.0084719760767596E-6</v>
          </cell>
          <cell r="M18">
            <v>3.39783482676574E-6</v>
          </cell>
          <cell r="N18">
            <v>1.6373255591319299E-5</v>
          </cell>
          <cell r="O18">
            <v>4.8107284982655901E-5</v>
          </cell>
          <cell r="P18">
            <v>6.1622837285531696E-4</v>
          </cell>
        </row>
        <row r="19">
          <cell r="A19" t="str">
            <v>-</v>
          </cell>
          <cell r="B19" t="str">
            <v>VAR_ncap</v>
          </cell>
          <cell r="C19" t="str">
            <v>D-SNGA</v>
          </cell>
          <cell r="E19">
            <v>2.80563063047323E-7</v>
          </cell>
          <cell r="F19">
            <v>2.0089951038585699E-7</v>
          </cell>
          <cell r="G19">
            <v>2.4617446578818098E-7</v>
          </cell>
          <cell r="H19">
            <v>2.9286519525192299E-7</v>
          </cell>
          <cell r="I19">
            <v>4.4177023857669601E-7</v>
          </cell>
          <cell r="J19">
            <v>6.3233196160950296E-7</v>
          </cell>
          <cell r="K19">
            <v>1.5180521729227601E-6</v>
          </cell>
          <cell r="L19">
            <v>1.21230424739117</v>
          </cell>
          <cell r="M19">
            <v>0.43081748948824</v>
          </cell>
          <cell r="N19">
            <v>1.2360018096104E-5</v>
          </cell>
          <cell r="O19">
            <v>5.8803163395648104E-6</v>
          </cell>
          <cell r="P19">
            <v>4.6603686583370697E-5</v>
          </cell>
        </row>
        <row r="20">
          <cell r="A20" t="str">
            <v>-</v>
          </cell>
          <cell r="B20" t="str">
            <v>VAR_ncap</v>
          </cell>
          <cell r="C20" t="str">
            <v>SUP_MNRBIO</v>
          </cell>
          <cell r="E20">
            <v>4.98347557088889E-2</v>
          </cell>
          <cell r="F20">
            <v>0.111885995488561</v>
          </cell>
          <cell r="G20">
            <v>6.7845398988963996E-4</v>
          </cell>
          <cell r="H20">
            <v>2.9442434658131098E-6</v>
          </cell>
          <cell r="I20">
            <v>9.9555093426560702E-6</v>
          </cell>
          <cell r="J20">
            <v>7.2274549531319204E-2</v>
          </cell>
          <cell r="K20">
            <v>9.0013185624706102E-2</v>
          </cell>
          <cell r="L20">
            <v>1.2710485079618899E-4</v>
          </cell>
          <cell r="M20">
            <v>9.5810844875541396E-3</v>
          </cell>
          <cell r="N20">
            <v>6.2706166931155702E-2</v>
          </cell>
          <cell r="O20">
            <v>9.0012256074135405E-2</v>
          </cell>
          <cell r="P20">
            <v>1.39206452850378E-4</v>
          </cell>
        </row>
        <row r="21">
          <cell r="A21" t="str">
            <v>-</v>
          </cell>
          <cell r="B21" t="str">
            <v>VAR_ncap</v>
          </cell>
          <cell r="C21" t="str">
            <v>D-RNGA</v>
          </cell>
          <cell r="E21">
            <v>1.0416807096230001E-6</v>
          </cell>
          <cell r="F21">
            <v>3.6004703686326601E-7</v>
          </cell>
          <cell r="G21">
            <v>1.7626244540530201E-6</v>
          </cell>
          <cell r="H21">
            <v>0.11062653708888</v>
          </cell>
          <cell r="I21">
            <v>0.140916494404208</v>
          </cell>
          <cell r="J21">
            <v>3.9051253223439702E-6</v>
          </cell>
          <cell r="K21">
            <v>1.5997685391454801E-6</v>
          </cell>
          <cell r="L21">
            <v>1.9708122329244699</v>
          </cell>
          <cell r="M21">
            <v>0.87792527253695096</v>
          </cell>
          <cell r="N21">
            <v>1.9175332666045698E-6</v>
          </cell>
          <cell r="O21">
            <v>2.6956608641176001E-6</v>
          </cell>
          <cell r="P21">
            <v>5.80379561411213E-6</v>
          </cell>
        </row>
        <row r="22">
          <cell r="A22" t="str">
            <v>-</v>
          </cell>
          <cell r="B22" t="str">
            <v>VAR_ncap</v>
          </cell>
          <cell r="C22" t="str">
            <v>SUP_WODBIO</v>
          </cell>
          <cell r="E22">
            <v>6.4660260969566299E-7</v>
          </cell>
          <cell r="F22">
            <v>2.45426077636122E-5</v>
          </cell>
          <cell r="G22">
            <v>1.79902657072195E-6</v>
          </cell>
          <cell r="H22">
            <v>4.62765774325099E-7</v>
          </cell>
          <cell r="I22">
            <v>1.9072896471125601E-5</v>
          </cell>
          <cell r="J22">
            <v>6.3684875706069403E-6</v>
          </cell>
          <cell r="K22">
            <v>1.5493082665025099E-5</v>
          </cell>
          <cell r="L22">
            <v>2.40555042969191E-5</v>
          </cell>
          <cell r="M22">
            <v>1.51356658774956E-6</v>
          </cell>
          <cell r="N22">
            <v>3.7480047505330101E-5</v>
          </cell>
          <cell r="O22">
            <v>5.3323613225677103E-6</v>
          </cell>
          <cell r="P22">
            <v>9.4969702650167696E-5</v>
          </cell>
        </row>
        <row r="23">
          <cell r="A23" t="str">
            <v>-</v>
          </cell>
          <cell r="B23" t="str">
            <v>VAR_ncap</v>
          </cell>
          <cell r="C23" t="str">
            <v>SUP_ELCH2_SOEC</v>
          </cell>
          <cell r="J23">
            <v>4.52088522417518E-4</v>
          </cell>
          <cell r="K23">
            <v>1.84030192947799E-4</v>
          </cell>
          <cell r="L23">
            <v>7.7250287707621005E-4</v>
          </cell>
          <cell r="M23">
            <v>1.44387670346289E-5</v>
          </cell>
          <cell r="N23">
            <v>1.03617866147242E-3</v>
          </cell>
          <cell r="O23">
            <v>7.0090443137817803E-6</v>
          </cell>
          <cell r="P23">
            <v>1.99474572724413E-3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2.8141597491688401E-4</v>
          </cell>
          <cell r="F24">
            <v>2.8970289792440901E-5</v>
          </cell>
          <cell r="G24">
            <v>4.3982397285438796E-6</v>
          </cell>
          <cell r="H24">
            <v>1.37776178731735E-4</v>
          </cell>
          <cell r="I24">
            <v>1.05169949708953E-3</v>
          </cell>
          <cell r="J24">
            <v>9.1114766836936003E-4</v>
          </cell>
          <cell r="K24">
            <v>1.4063399686914499E-4</v>
          </cell>
          <cell r="L24">
            <v>9.9392940085708398E-3</v>
          </cell>
          <cell r="M24">
            <v>3.8636181677827001E-4</v>
          </cell>
          <cell r="N24">
            <v>3.7570294376896698E-2</v>
          </cell>
          <cell r="O24">
            <v>4.00962778051783E-3</v>
          </cell>
          <cell r="P24">
            <v>8.8496910305136192E-3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2.0316610250016701E-7</v>
          </cell>
          <cell r="F25">
            <v>1.4962182786023501E-7</v>
          </cell>
          <cell r="G25">
            <v>1.42529699252386E-7</v>
          </cell>
          <cell r="H25">
            <v>1.9027190482710101E-7</v>
          </cell>
          <cell r="I25">
            <v>2.3451574191871099E-5</v>
          </cell>
          <cell r="J25">
            <v>2.8360942815753999E-5</v>
          </cell>
          <cell r="K25">
            <v>9.8534695100677892E-6</v>
          </cell>
          <cell r="L25">
            <v>1.0757459711221299E-2</v>
          </cell>
          <cell r="M25">
            <v>3.9914643850609E-3</v>
          </cell>
          <cell r="N25">
            <v>9.35907481679513E-3</v>
          </cell>
          <cell r="O25">
            <v>4.4094488074967297E-2</v>
          </cell>
          <cell r="P25">
            <v>2.44350065692054E-2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0.16132969944438699</v>
          </cell>
          <cell r="F26">
            <v>5.12063567602868E-2</v>
          </cell>
          <cell r="G26">
            <v>3.4690461654127801E-6</v>
          </cell>
          <cell r="H26">
            <v>6.4618510056592903E-4</v>
          </cell>
          <cell r="I26">
            <v>0.16958634125473701</v>
          </cell>
          <cell r="J26">
            <v>0.19784283272964501</v>
          </cell>
          <cell r="K26">
            <v>9.5426919465647894E-2</v>
          </cell>
          <cell r="L26">
            <v>7.0849444942299097E-3</v>
          </cell>
          <cell r="M26">
            <v>0.14425925694719799</v>
          </cell>
          <cell r="N26">
            <v>0.22266274217933399</v>
          </cell>
          <cell r="O26">
            <v>9.0136345600908302E-2</v>
          </cell>
          <cell r="P26">
            <v>2.09688831011466E-4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3.55649792396875E-5</v>
          </cell>
          <cell r="I27">
            <v>5.6961941278121703E-5</v>
          </cell>
          <cell r="J27">
            <v>2.2156975976582501E-4</v>
          </cell>
          <cell r="K27">
            <v>3.1144214267402898E-5</v>
          </cell>
          <cell r="L27">
            <v>1.52749525261164E-4</v>
          </cell>
          <cell r="M27">
            <v>7.4219324549027002E-6</v>
          </cell>
          <cell r="N27">
            <v>1.16818133970985E-4</v>
          </cell>
          <cell r="O27">
            <v>1.8366257738344302E-5</v>
          </cell>
          <cell r="P27">
            <v>6.1782894266572701E-4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4.9455769856657601E-3</v>
          </cell>
          <cell r="F28">
            <v>1.8850153886563699E-7</v>
          </cell>
          <cell r="G28">
            <v>1.87712595538523E-7</v>
          </cell>
          <cell r="H28">
            <v>1.80542175793339E-7</v>
          </cell>
          <cell r="I28">
            <v>1.7320201494036801E-6</v>
          </cell>
          <cell r="J28">
            <v>9.5824723007527599E-6</v>
          </cell>
          <cell r="K28">
            <v>1.21503495913869E-5</v>
          </cell>
          <cell r="L28">
            <v>2.4112245451603401E-5</v>
          </cell>
          <cell r="M28">
            <v>1.12284249655241E-6</v>
          </cell>
          <cell r="N28">
            <v>3.4230827811898398E-5</v>
          </cell>
          <cell r="O28">
            <v>3.9588202499848403E-6</v>
          </cell>
          <cell r="P28">
            <v>9.2929323968898004E-5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7.1166269084510401E-7</v>
          </cell>
          <cell r="F29">
            <v>4.8148470281905604E-7</v>
          </cell>
          <cell r="G29">
            <v>7.2431566620819399E-7</v>
          </cell>
          <cell r="H29">
            <v>8.7966749812732098E-7</v>
          </cell>
          <cell r="I29">
            <v>1.41259780378197E-6</v>
          </cell>
          <cell r="J29">
            <v>2.00382022284548E-6</v>
          </cell>
          <cell r="K29">
            <v>3.6959026941698401E-6</v>
          </cell>
          <cell r="L29">
            <v>8.2860385658075603E-2</v>
          </cell>
          <cell r="M29">
            <v>0.55996332862449205</v>
          </cell>
          <cell r="N29">
            <v>4.4408688790834203E-5</v>
          </cell>
          <cell r="O29">
            <v>1.6710896210807698E-5</v>
          </cell>
          <cell r="P29">
            <v>5.1464271598213802E-5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5.6138738368835203E-7</v>
          </cell>
          <cell r="I30">
            <v>1.2650545245474299E-6</v>
          </cell>
          <cell r="J30">
            <v>1.73373990329379E-6</v>
          </cell>
          <cell r="K30">
            <v>1.70191834831495E-6</v>
          </cell>
          <cell r="L30">
            <v>2.00129334710501E-6</v>
          </cell>
          <cell r="M30">
            <v>1.86799664255284E-6</v>
          </cell>
          <cell r="N30">
            <v>2.1700900871065601E-6</v>
          </cell>
          <cell r="O30">
            <v>2.71653248537797E-6</v>
          </cell>
          <cell r="P30">
            <v>8.7246646147108608E-6</v>
          </cell>
        </row>
        <row r="31">
          <cell r="A31" t="str">
            <v>-</v>
          </cell>
          <cell r="B31" t="str">
            <v>VAR_cap</v>
          </cell>
          <cell r="C31" t="str">
            <v>SUP_NGAH2</v>
          </cell>
          <cell r="H31">
            <v>4.6776214828667598E-7</v>
          </cell>
          <cell r="I31">
            <v>1.046921547549868E-6</v>
          </cell>
          <cell r="J31">
            <v>1.4883535035989899E-6</v>
          </cell>
          <cell r="K31">
            <v>2.8925539022621299E-6</v>
          </cell>
          <cell r="L31">
            <v>1.6911265876874679E-4</v>
          </cell>
          <cell r="M31">
            <v>1.7125591736178819E-4</v>
          </cell>
          <cell r="N31">
            <v>2.6057528473862415E-4</v>
          </cell>
          <cell r="O31">
            <v>2.6319185170642633E-4</v>
          </cell>
          <cell r="P31">
            <v>5.7676621521958655E-4</v>
          </cell>
        </row>
        <row r="32">
          <cell r="A32" t="str">
            <v>-</v>
          </cell>
          <cell r="B32" t="str">
            <v>VAR_cap</v>
          </cell>
          <cell r="C32" t="str">
            <v>SUP_WSTHTGBIO</v>
          </cell>
          <cell r="J32">
            <v>3.0690025101413399E-5</v>
          </cell>
          <cell r="K32">
            <v>3.2238767591484988E-5</v>
          </cell>
          <cell r="L32">
            <v>3.8862934035257323E-5</v>
          </cell>
          <cell r="M32">
            <v>3.5642063665153663E-5</v>
          </cell>
          <cell r="N32">
            <v>4.6489722592868314E-5</v>
          </cell>
          <cell r="O32">
            <v>4.5581451303351538E-5</v>
          </cell>
          <cell r="P32">
            <v>8.7356364492578123E-5</v>
          </cell>
        </row>
        <row r="33">
          <cell r="A33" t="str">
            <v>-</v>
          </cell>
          <cell r="B33" t="str">
            <v>VAR_cap</v>
          </cell>
          <cell r="C33" t="str">
            <v>STG-H2</v>
          </cell>
          <cell r="H33">
            <v>3.5064626437359898E-6</v>
          </cell>
          <cell r="I33">
            <v>8.9276028617866615E-6</v>
          </cell>
          <cell r="J33">
            <v>9.6547696216869735E-6</v>
          </cell>
          <cell r="K33">
            <v>1.01828554225116E-5</v>
          </cell>
          <cell r="L33">
            <v>1.6848786345009159E-5</v>
          </cell>
          <cell r="M33">
            <v>1.5894654766879659E-5</v>
          </cell>
          <cell r="N33">
            <v>2.6905038626565089E-5</v>
          </cell>
          <cell r="O33">
            <v>2.9504470598732177E-5</v>
          </cell>
          <cell r="P33">
            <v>6.3934938386441903E-5</v>
          </cell>
        </row>
        <row r="34">
          <cell r="A34" t="str">
            <v>-</v>
          </cell>
          <cell r="B34" t="str">
            <v>VAR_cap</v>
          </cell>
          <cell r="C34" t="str">
            <v>SUP_H2NGA</v>
          </cell>
          <cell r="H34">
            <v>3.7777977759913401E-7</v>
          </cell>
          <cell r="I34">
            <v>8.6644576527101091E-7</v>
          </cell>
          <cell r="J34">
            <v>7.4804717850695992E-7</v>
          </cell>
          <cell r="K34">
            <v>7.382086327082601E-7</v>
          </cell>
          <cell r="L34">
            <v>1.7407339430528999E-6</v>
          </cell>
          <cell r="M34">
            <v>1.8833042779126005E-6</v>
          </cell>
          <cell r="N34">
            <v>1.0637841744916072E-7</v>
          </cell>
          <cell r="O34">
            <v>3.6403827839504597E-6</v>
          </cell>
          <cell r="P34">
            <v>9.7038417767953886E-6</v>
          </cell>
        </row>
        <row r="35">
          <cell r="A35" t="str">
            <v>-</v>
          </cell>
          <cell r="B35" t="str">
            <v>VAR_cap</v>
          </cell>
          <cell r="C35" t="str">
            <v>D-ENGA</v>
          </cell>
          <cell r="E35">
            <v>1.0275127092365921</v>
          </cell>
          <cell r="F35">
            <v>1.0275131236046979</v>
          </cell>
          <cell r="G35">
            <v>1.027513686765023</v>
          </cell>
          <cell r="H35">
            <v>1.0275144120786344</v>
          </cell>
          <cell r="I35">
            <v>1.0275161259839243</v>
          </cell>
          <cell r="J35">
            <v>1.0275187559077774</v>
          </cell>
          <cell r="K35">
            <v>1.0275238384475427</v>
          </cell>
          <cell r="L35">
            <v>0.76307141000516265</v>
          </cell>
          <cell r="M35">
            <v>1.1201554988619149</v>
          </cell>
          <cell r="N35">
            <v>1.1867982086083499</v>
          </cell>
          <cell r="O35">
            <v>1.18681406057715</v>
          </cell>
          <cell r="P35">
            <v>1.1868513528187199</v>
          </cell>
        </row>
        <row r="36">
          <cell r="A36" t="str">
            <v>-</v>
          </cell>
          <cell r="B36" t="str">
            <v>VAR_cap</v>
          </cell>
          <cell r="C36" t="str">
            <v>D-CHEAT</v>
          </cell>
          <cell r="J36">
            <v>1.65767000534947E-3</v>
          </cell>
          <cell r="K36">
            <v>1.8203469717676299E-3</v>
          </cell>
          <cell r="L36">
            <v>2.1047075049626701E-3</v>
          </cell>
          <cell r="M36">
            <v>2.1091379253797798E-3</v>
          </cell>
          <cell r="N36">
            <v>2.3605897623864198E-3</v>
          </cell>
          <cell r="O36">
            <v>2.37778955249509E-3</v>
          </cell>
          <cell r="P36">
            <v>4.5480887824171298E-3</v>
          </cell>
        </row>
        <row r="37">
          <cell r="A37" t="str">
            <v>-</v>
          </cell>
          <cell r="B37" t="str">
            <v>VAR_cap</v>
          </cell>
          <cell r="C37" t="str">
            <v>SUP_WSTBIO</v>
          </cell>
          <cell r="E37">
            <v>0.21266855635489149</v>
          </cell>
          <cell r="F37">
            <v>0.21822700662646866</v>
          </cell>
          <cell r="G37">
            <v>0.21822530539747093</v>
          </cell>
          <cell r="H37">
            <v>0.21749105654027476</v>
          </cell>
          <cell r="I37">
            <v>0.21703158171059761</v>
          </cell>
          <cell r="J37">
            <v>0.21093811355704423</v>
          </cell>
          <cell r="K37">
            <v>0.20486600817361103</v>
          </cell>
          <cell r="L37">
            <v>0.19879616537336264</v>
          </cell>
          <cell r="M37">
            <v>0.19879209139921425</v>
          </cell>
          <cell r="N37">
            <v>0.19878926114192447</v>
          </cell>
          <cell r="O37">
            <v>0.19878771566203424</v>
          </cell>
          <cell r="P37">
            <v>0.1987656744316432</v>
          </cell>
        </row>
        <row r="38">
          <cell r="A38" t="str">
            <v>-</v>
          </cell>
          <cell r="B38" t="str">
            <v>VAR_cap</v>
          </cell>
          <cell r="C38" t="str">
            <v>D-CNGA</v>
          </cell>
          <cell r="E38">
            <v>4.4048012097280701E-7</v>
          </cell>
          <cell r="F38">
            <v>8.4842304141484597E-7</v>
          </cell>
          <cell r="G38">
            <v>1.2049036347559201E-6</v>
          </cell>
          <cell r="H38">
            <v>1.6034461034929601E-6</v>
          </cell>
          <cell r="I38">
            <v>2.2293921137963201E-6</v>
          </cell>
          <cell r="J38">
            <v>3.1406152992466498E-6</v>
          </cell>
          <cell r="K38">
            <v>4.9218327001877801E-6</v>
          </cell>
          <cell r="L38">
            <v>7.5844119766176597E-4</v>
          </cell>
          <cell r="M38">
            <v>7.6556923338633501E-4</v>
          </cell>
          <cell r="N38">
            <v>9.8578243674656506E-4</v>
          </cell>
          <cell r="O38">
            <v>1.0050247504194501E-3</v>
          </cell>
          <cell r="P38">
            <v>1.9969602962922302E-3</v>
          </cell>
        </row>
        <row r="39">
          <cell r="A39" t="str">
            <v>-</v>
          </cell>
          <cell r="B39" t="str">
            <v>VAR_cap</v>
          </cell>
          <cell r="C39" t="str">
            <v>SUP_BIONGA</v>
          </cell>
          <cell r="E39">
            <v>4.2409271671588339E-2</v>
          </cell>
          <cell r="F39">
            <v>0.11285283071173799</v>
          </cell>
          <cell r="G39">
            <v>0.10938947908405662</v>
          </cell>
          <cell r="H39">
            <v>0.10397247603890807</v>
          </cell>
          <cell r="I39">
            <v>0.10376433770855213</v>
          </cell>
          <cell r="J39">
            <v>0.10372881743088351</v>
          </cell>
          <cell r="K39">
            <v>0.10372956399573177</v>
          </cell>
          <cell r="L39">
            <v>0.10377924851366635</v>
          </cell>
          <cell r="M39">
            <v>0.10377421199013855</v>
          </cell>
          <cell r="N39">
            <v>0.10380562636355573</v>
          </cell>
          <cell r="O39">
            <v>0.10380509665234332</v>
          </cell>
          <cell r="P39">
            <v>0.10391254537551556</v>
          </cell>
        </row>
        <row r="40">
          <cell r="A40" t="str">
            <v>-</v>
          </cell>
          <cell r="B40" t="str">
            <v>VAR_cap</v>
          </cell>
          <cell r="C40" t="str">
            <v>SUP_WODH2</v>
          </cell>
          <cell r="L40">
            <v>2.5579425479200802E-4</v>
          </cell>
          <cell r="M40">
            <v>2.5701679546144774E-4</v>
          </cell>
          <cell r="N40">
            <v>3.8912828257531669E-4</v>
          </cell>
          <cell r="O40">
            <v>4.0317217862006702E-4</v>
          </cell>
          <cell r="P40">
            <v>1.3289859930334994E-3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5.9149011799169598E-5</v>
          </cell>
          <cell r="I41">
            <v>2.20455820442216E-4</v>
          </cell>
          <cell r="J41">
            <v>2.2128962519732799E-4</v>
          </cell>
          <cell r="K41">
            <v>2.2213000067588E-4</v>
          </cell>
          <cell r="L41">
            <v>2.23041963405066E-4</v>
          </cell>
          <cell r="M41">
            <v>2.3783688147890501E-4</v>
          </cell>
          <cell r="N41">
            <v>2.7361599516837701E-4</v>
          </cell>
          <cell r="O41">
            <v>3.7698560959166901E-4</v>
          </cell>
          <cell r="P41">
            <v>8.8585226570343605E-4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0.95961787099015117</v>
          </cell>
          <cell r="F42">
            <v>0.95961797503865554</v>
          </cell>
          <cell r="G42">
            <v>0.95961809791007413</v>
          </cell>
          <cell r="H42">
            <v>0.95961823573908911</v>
          </cell>
          <cell r="I42">
            <v>0.95961847111354692</v>
          </cell>
          <cell r="J42">
            <v>0.95961880733855343</v>
          </cell>
          <cell r="K42">
            <v>0.95961941131811279</v>
          </cell>
          <cell r="L42">
            <v>0.32780696065515974</v>
          </cell>
          <cell r="M42">
            <v>5.8704864179385998E-4</v>
          </cell>
          <cell r="N42">
            <v>6.3235696838619701E-4</v>
          </cell>
          <cell r="O42">
            <v>6.3636413497145398E-4</v>
          </cell>
          <cell r="P42">
            <v>7.9650215682623596E-4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8.4480704767811504E-6</v>
          </cell>
          <cell r="I43">
            <v>4.4506560335041201E-5</v>
          </cell>
          <cell r="J43">
            <v>1.41735393306589E-4</v>
          </cell>
          <cell r="K43">
            <v>1.7242554928963201E-4</v>
          </cell>
          <cell r="L43">
            <v>2.1972156765111601E-4</v>
          </cell>
          <cell r="M43">
            <v>1.9467663150681301E-4</v>
          </cell>
          <cell r="N43">
            <v>2.3626841317363201E-4</v>
          </cell>
          <cell r="O43">
            <v>2.11109963232437E-4</v>
          </cell>
          <cell r="P43">
            <v>4.2060724049622101E-4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4.8995717028042204E-7</v>
          </cell>
          <cell r="I44">
            <v>7.19580175171407E-7</v>
          </cell>
          <cell r="J44">
            <v>4.6395743077848985E-7</v>
          </cell>
          <cell r="K44">
            <v>8.2100990180694974E-7</v>
          </cell>
          <cell r="L44">
            <v>-1.1060936353514596E-6</v>
          </cell>
          <cell r="M44">
            <v>1.76029250734537E-6</v>
          </cell>
          <cell r="N44">
            <v>1.3537654205489502E-6</v>
          </cell>
          <cell r="O44">
            <v>1.3682309871137893E-6</v>
          </cell>
          <cell r="P44">
            <v>8.6804816352044006E-6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4.3242875201308199E-6</v>
          </cell>
          <cell r="I45">
            <v>1.1389077213862001E-4</v>
          </cell>
          <cell r="J45">
            <v>3.7433994830372001E-4</v>
          </cell>
          <cell r="K45">
            <v>4.5083250195791498E-4</v>
          </cell>
          <cell r="L45">
            <v>4.5484097393399202E-4</v>
          </cell>
          <cell r="M45">
            <v>4.5707858839080697E-4</v>
          </cell>
          <cell r="N45">
            <v>4.70287776831946E-4</v>
          </cell>
          <cell r="O45">
            <v>3.87461893024633E-4</v>
          </cell>
          <cell r="P45">
            <v>7.6460777388632996E-4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2.2350524821882032</v>
          </cell>
          <cell r="F46">
            <v>2.2350526830877135</v>
          </cell>
          <cell r="G46">
            <v>2.2350529292621792</v>
          </cell>
          <cell r="H46">
            <v>2.2350532221273745</v>
          </cell>
          <cell r="I46">
            <v>2.2350536638976131</v>
          </cell>
          <cell r="J46">
            <v>2.235054296229575</v>
          </cell>
          <cell r="K46">
            <v>2.2350558142817478</v>
          </cell>
          <cell r="L46">
            <v>1.975795517637176</v>
          </cell>
          <cell r="M46">
            <v>1.6431253495360101</v>
          </cell>
          <cell r="N46">
            <v>1.6431374037808399</v>
          </cell>
          <cell r="O46">
            <v>1.64314281299403</v>
          </cell>
          <cell r="P46">
            <v>1.6431891730548001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4.98347557088889E-2</v>
          </cell>
          <cell r="F47">
            <v>0.16172049135557853</v>
          </cell>
          <cell r="G47">
            <v>0.16239830506479438</v>
          </cell>
          <cell r="H47">
            <v>0.16240006524956874</v>
          </cell>
          <cell r="I47">
            <v>0.16240660319395275</v>
          </cell>
          <cell r="J47">
            <v>0.16241648542792092</v>
          </cell>
          <cell r="K47">
            <v>0.16241626619772986</v>
          </cell>
          <cell r="L47">
            <v>0.16242123291894947</v>
          </cell>
          <cell r="M47">
            <v>0.16241758137298565</v>
          </cell>
          <cell r="N47">
            <v>0.16242195345790825</v>
          </cell>
          <cell r="O47">
            <v>0.1624215364400115</v>
          </cell>
          <cell r="P47">
            <v>0.16243262206689507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3.0972410490766298</v>
          </cell>
          <cell r="F48">
            <v>3.0972414091236664</v>
          </cell>
          <cell r="G48">
            <v>3.0972431717481208</v>
          </cell>
          <cell r="H48">
            <v>3.2078697088370012</v>
          </cell>
          <cell r="I48">
            <v>3.3487862032412092</v>
          </cell>
          <cell r="J48">
            <v>3.3487901083665319</v>
          </cell>
          <cell r="K48">
            <v>3.3487917081350709</v>
          </cell>
          <cell r="L48">
            <v>3.2803725638510901</v>
          </cell>
          <cell r="M48">
            <v>3.10028920620057</v>
          </cell>
          <cell r="N48">
            <v>3.1002901766177202</v>
          </cell>
          <cell r="O48">
            <v>3.0652208404693799</v>
          </cell>
          <cell r="P48">
            <v>2.98966992174923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6.4660260969566299E-7</v>
          </cell>
          <cell r="F49">
            <v>2.5103863222768687E-5</v>
          </cell>
          <cell r="G49">
            <v>2.6800248318394541E-5</v>
          </cell>
          <cell r="H49">
            <v>2.7021536370293006E-5</v>
          </cell>
          <cell r="I49">
            <v>4.5659073318161402E-5</v>
          </cell>
          <cell r="J49">
            <v>4.1826952573027641E-5</v>
          </cell>
          <cell r="K49">
            <v>4.0895983127246436E-5</v>
          </cell>
          <cell r="L49">
            <v>6.423321673298687E-5</v>
          </cell>
          <cell r="M49">
            <v>5.1154846937819259E-5</v>
          </cell>
          <cell r="N49">
            <v>7.7409969330567721E-5</v>
          </cell>
          <cell r="O49">
            <v>6.7285662817719158E-5</v>
          </cell>
          <cell r="P49">
            <v>1.3827181192551744E-4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4.52088522417518E-4</v>
          </cell>
          <cell r="K50">
            <v>5.6507013809275943E-4</v>
          </cell>
          <cell r="L50">
            <v>9.56060987022244E-4</v>
          </cell>
          <cell r="M50">
            <v>8.1406433562417372E-4</v>
          </cell>
          <cell r="N50">
            <v>1.0465381044676258E-3</v>
          </cell>
          <cell r="O50">
            <v>1.042387073613514E-3</v>
          </cell>
          <cell r="P50">
            <v>2.0008687060609613E-3</v>
          </cell>
        </row>
        <row r="51">
          <cell r="A51" t="str">
            <v>-</v>
          </cell>
          <cell r="B51" t="str">
            <v>VAR_cap</v>
          </cell>
          <cell r="C51" t="str">
            <v>SUP_ELCH2</v>
          </cell>
          <cell r="E51">
            <v>2.8141597491688401E-4</v>
          </cell>
          <cell r="F51">
            <v>3.1021787131164583E-4</v>
          </cell>
          <cell r="G51">
            <v>3.1417412655668697E-4</v>
          </cell>
          <cell r="H51">
            <v>4.5133949520380562E-4</v>
          </cell>
          <cell r="I51">
            <v>1.5014110586393143E-3</v>
          </cell>
          <cell r="J51">
            <v>2.2345867448508292E-3</v>
          </cell>
          <cell r="K51">
            <v>2.1950166151338667E-3</v>
          </cell>
          <cell r="L51">
            <v>1.203773548153928E-2</v>
          </cell>
          <cell r="M51">
            <v>1.1568509568146448E-2</v>
          </cell>
          <cell r="N51">
            <v>4.8029323222355307E-2</v>
          </cell>
          <cell r="O51">
            <v>5.1898683844660017E-2</v>
          </cell>
          <cell r="P51">
            <v>5.0808459641080016E-2</v>
          </cell>
        </row>
        <row r="52">
          <cell r="A52" t="str">
            <v>-</v>
          </cell>
          <cell r="B52" t="str">
            <v>VAR_cap</v>
          </cell>
          <cell r="C52" t="str">
            <v>CT_CWODBDS</v>
          </cell>
          <cell r="E52">
            <v>3.3062628789547299E-2</v>
          </cell>
          <cell r="F52">
            <v>3.3045867595601464E-2</v>
          </cell>
          <cell r="G52">
            <v>3.2716908987953812E-2</v>
          </cell>
          <cell r="H52">
            <v>5.2661067220738378E-5</v>
          </cell>
          <cell r="I52">
            <v>3.672218354590015E-5</v>
          </cell>
          <cell r="J52">
            <v>5.1791522470626258E-5</v>
          </cell>
          <cell r="K52">
            <v>6.1370276783352345E-5</v>
          </cell>
          <cell r="L52">
            <v>1.0818031107805151E-2</v>
          </cell>
          <cell r="M52">
            <v>1.4788866876203028E-2</v>
          </cell>
          <cell r="N52">
            <v>2.4116457552523823E-2</v>
          </cell>
          <cell r="O52">
            <v>6.8201050868685817E-2</v>
          </cell>
          <cell r="P52">
            <v>8.1878376313005236E-2</v>
          </cell>
        </row>
        <row r="53">
          <cell r="A53" t="str">
            <v>-</v>
          </cell>
          <cell r="B53" t="str">
            <v>VAR_cap</v>
          </cell>
          <cell r="C53" t="str">
            <v>CT_CWODPLT</v>
          </cell>
          <cell r="E53">
            <v>0.3636284825363168</v>
          </cell>
          <cell r="F53">
            <v>0.41483438589703547</v>
          </cell>
          <cell r="G53">
            <v>0.41483606023684449</v>
          </cell>
          <cell r="H53">
            <v>0.41548108058956618</v>
          </cell>
          <cell r="I53">
            <v>0.43522896069225947</v>
          </cell>
          <cell r="J53">
            <v>0.46648301890774446</v>
          </cell>
          <cell r="K53">
            <v>0.46329462130072679</v>
          </cell>
          <cell r="L53">
            <v>0.46993668599564259</v>
          </cell>
          <cell r="M53">
            <v>0.46987415600970744</v>
          </cell>
          <cell r="N53">
            <v>0.46942808460200469</v>
          </cell>
          <cell r="O53">
            <v>0.46413766140057466</v>
          </cell>
          <cell r="P53">
            <v>0.45726087824206085</v>
          </cell>
        </row>
        <row r="54">
          <cell r="A54" t="str">
            <v>-</v>
          </cell>
          <cell r="B54" t="str">
            <v>VAR_cap</v>
          </cell>
          <cell r="C54" t="str">
            <v>D-DH2</v>
          </cell>
          <cell r="H54">
            <v>3.55649792396875E-5</v>
          </cell>
          <cell r="I54">
            <v>9.2526920517809304E-5</v>
          </cell>
          <cell r="J54">
            <v>3.1409668028363502E-4</v>
          </cell>
          <cell r="K54">
            <v>3.45240894551037E-4</v>
          </cell>
          <cell r="L54">
            <v>4.9799041981220097E-4</v>
          </cell>
          <cell r="M54">
            <v>5.0541235226710395E-4</v>
          </cell>
          <cell r="N54">
            <v>6.2223048623808895E-4</v>
          </cell>
          <cell r="O54">
            <v>6.2932215866064395E-4</v>
          </cell>
          <cell r="P54">
            <v>1.22286070740247E-3</v>
          </cell>
        </row>
        <row r="55">
          <cell r="A55" t="str">
            <v>-</v>
          </cell>
          <cell r="B55" t="str">
            <v>VAR_cap</v>
          </cell>
          <cell r="C55" t="str">
            <v>CT_CWODETH</v>
          </cell>
          <cell r="E55">
            <v>6.982891751403094E-3</v>
          </cell>
          <cell r="F55">
            <v>4.9532979158340047E-5</v>
          </cell>
          <cell r="G55">
            <v>4.8969487249999298E-5</v>
          </cell>
          <cell r="H55">
            <v>3.0029417651229566E-5</v>
          </cell>
          <cell r="I55">
            <v>3.1284480523459911E-5</v>
          </cell>
          <cell r="J55">
            <v>2.3390608529029987E-5</v>
          </cell>
          <cell r="K55">
            <v>2.3210887674910959E-5</v>
          </cell>
          <cell r="L55">
            <v>4.6737993102905267E-5</v>
          </cell>
          <cell r="M55">
            <v>4.3927312853420431E-5</v>
          </cell>
          <cell r="N55">
            <v>6.9880278693505233E-5</v>
          </cell>
          <cell r="O55">
            <v>6.186802277981445E-5</v>
          </cell>
          <cell r="P55">
            <v>1.3108844256001499E-4</v>
          </cell>
        </row>
        <row r="56">
          <cell r="A56" t="str">
            <v>-</v>
          </cell>
          <cell r="B56" t="str">
            <v>VAR_cap</v>
          </cell>
          <cell r="C56" t="str">
            <v>D-INGA</v>
          </cell>
          <cell r="E56">
            <v>1.9844840819287908</v>
          </cell>
          <cell r="F56">
            <v>1.9844845634134938</v>
          </cell>
          <cell r="G56">
            <v>1.9844852877291599</v>
          </cell>
          <cell r="H56">
            <v>1.9844861673966581</v>
          </cell>
          <cell r="I56">
            <v>1.9844875799944617</v>
          </cell>
          <cell r="J56">
            <v>1.9844895838146845</v>
          </cell>
          <cell r="K56">
            <v>1.9844932797173789</v>
          </cell>
          <cell r="L56">
            <v>0.97628455031740136</v>
          </cell>
          <cell r="M56">
            <v>0.74968167293252597</v>
          </cell>
          <cell r="N56">
            <v>0.64287727051964405</v>
          </cell>
          <cell r="O56">
            <v>0.64289267528133198</v>
          </cell>
          <cell r="P56">
            <v>0.64294341045988801</v>
          </cell>
        </row>
        <row r="57">
          <cell r="A57" t="str">
            <v>-</v>
          </cell>
          <cell r="B57" t="str">
            <v>VAR_cap</v>
          </cell>
          <cell r="C57" t="str">
            <v>SUP_H2DSL</v>
          </cell>
          <cell r="H57">
            <v>5.6138738368835203E-7</v>
          </cell>
          <cell r="I57">
            <v>8.2264042190800995E-7</v>
          </cell>
          <cell r="J57">
            <v>1.0504255678001597E-6</v>
          </cell>
          <cell r="K57">
            <v>1.04855994689334E-6</v>
          </cell>
          <cell r="L57">
            <v>-2.9842439582779494E-6</v>
          </cell>
          <cell r="M57">
            <v>1.7763180830624E-6</v>
          </cell>
          <cell r="N57">
            <v>1.710701121032491E-6</v>
          </cell>
          <cell r="O57">
            <v>1.8645141314117404E-6</v>
          </cell>
          <cell r="P57">
            <v>9.5826258181690803E-6</v>
          </cell>
        </row>
        <row r="58">
          <cell r="A58" t="str">
            <v>ELC35</v>
          </cell>
          <cell r="B58" t="str">
            <v>VAR_fout</v>
          </cell>
          <cell r="C58" t="str">
            <v>SUP_WSTBIO</v>
          </cell>
          <cell r="E58">
            <v>0.11258824636126216</v>
          </cell>
          <cell r="F58">
            <v>0.11553180445798404</v>
          </cell>
          <cell r="G58">
            <v>0.11134817169194305</v>
          </cell>
          <cell r="H58">
            <v>0.11514226274887034</v>
          </cell>
          <cell r="I58">
            <v>0.11489885711995818</v>
          </cell>
          <cell r="J58">
            <v>0.11167326228067016</v>
          </cell>
          <cell r="K58">
            <v>0.10845856583026467</v>
          </cell>
          <cell r="L58">
            <v>0.10524450604020437</v>
          </cell>
          <cell r="M58">
            <v>0.1052430351407083</v>
          </cell>
          <cell r="N58">
            <v>0.10524086081775975</v>
          </cell>
          <cell r="O58">
            <v>0.10524017208257606</v>
          </cell>
          <cell r="P58">
            <v>0.10522793071428067</v>
          </cell>
        </row>
        <row r="59">
          <cell r="A59" t="str">
            <v>ELC35</v>
          </cell>
          <cell r="B59" t="str">
            <v>VAR_fout</v>
          </cell>
          <cell r="C59" t="str">
            <v>ESOL-PV_A</v>
          </cell>
          <cell r="H59">
            <v>4.0776149674452906E-4</v>
          </cell>
          <cell r="I59">
            <v>1.5199104333008507E-3</v>
          </cell>
          <cell r="J59">
            <v>1.5237089809413686E-3</v>
          </cell>
          <cell r="K59">
            <v>1.5247687842197507E-3</v>
          </cell>
          <cell r="L59">
            <v>1.5307558409737977E-3</v>
          </cell>
          <cell r="M59">
            <v>1.6285764640869519E-3</v>
          </cell>
          <cell r="N59">
            <v>1.8733774623194274E-3</v>
          </cell>
          <cell r="O59">
            <v>2.5806499439526942E-3</v>
          </cell>
          <cell r="P59">
            <v>6.0761044763754848E-3</v>
          </cell>
        </row>
        <row r="60">
          <cell r="A60" t="str">
            <v>ELC35</v>
          </cell>
          <cell r="B60" t="str">
            <v>VAR_fout</v>
          </cell>
          <cell r="C60" t="str">
            <v>SUP_WODBIO</v>
          </cell>
          <cell r="F60">
            <v>1.00090093426921E-7</v>
          </cell>
          <cell r="G60">
            <v>5.2879631542103682E-6</v>
          </cell>
          <cell r="H60">
            <v>1.1641691984191816E-5</v>
          </cell>
          <cell r="I60">
            <v>1.8057347224040282E-5</v>
          </cell>
          <cell r="J60">
            <v>1.9229906512806428E-5</v>
          </cell>
          <cell r="K60">
            <v>1.9787601986379204E-5</v>
          </cell>
          <cell r="L60">
            <v>2.496535718634742E-5</v>
          </cell>
          <cell r="M60">
            <v>2.5668066233720493E-5</v>
          </cell>
          <cell r="N60">
            <v>3.059155023416939E-5</v>
          </cell>
          <cell r="O60">
            <v>3.218373918073794E-5</v>
          </cell>
          <cell r="P60">
            <v>5.977794611902869E-5</v>
          </cell>
        </row>
        <row r="61">
          <cell r="A61" t="str">
            <v>ELC35</v>
          </cell>
          <cell r="B61" t="str">
            <v>VAR_fin</v>
          </cell>
          <cell r="C61" t="str">
            <v>D-CELC</v>
          </cell>
          <cell r="E61">
            <v>0.35545345158513286</v>
          </cell>
          <cell r="F61">
            <v>5.0815123487246296E-2</v>
          </cell>
          <cell r="G61">
            <v>5.1228556195173594E-2</v>
          </cell>
          <cell r="H61">
            <v>1.0742403353409561E-2</v>
          </cell>
          <cell r="I61">
            <v>2.947749517332221E-2</v>
          </cell>
          <cell r="J61">
            <v>4.0141904771300516E-2</v>
          </cell>
          <cell r="K61">
            <v>3.8491894153401096E-2</v>
          </cell>
          <cell r="L61">
            <v>0.15197587217158387</v>
          </cell>
          <cell r="M61">
            <v>0.17058215384311631</v>
          </cell>
          <cell r="N61">
            <v>0.65559492240838069</v>
          </cell>
          <cell r="O61">
            <v>0.77042623185850345</v>
          </cell>
          <cell r="P61">
            <v>0.79352063716407262</v>
          </cell>
        </row>
        <row r="62">
          <cell r="A62" t="str">
            <v>SCH2S</v>
          </cell>
          <cell r="B62" t="str">
            <v>VAR_fin</v>
          </cell>
          <cell r="C62" t="str">
            <v>SUP_NGAH2</v>
          </cell>
          <cell r="L62">
            <v>9.6977741118472625E-4</v>
          </cell>
          <cell r="M62">
            <v>9.8598148303653192E-4</v>
          </cell>
          <cell r="N62">
            <v>1.5250625042868907E-3</v>
          </cell>
          <cell r="O62">
            <v>1.5604706133434767E-3</v>
          </cell>
          <cell r="P62">
            <v>3.2317981561360361E-3</v>
          </cell>
        </row>
        <row r="63">
          <cell r="A63" t="str">
            <v>SCH2S</v>
          </cell>
          <cell r="B63" t="str">
            <v>VAR_fin</v>
          </cell>
          <cell r="C63" t="str">
            <v>SUP_WODH2</v>
          </cell>
          <cell r="L63">
            <v>6.5162536870063516E-3</v>
          </cell>
          <cell r="M63">
            <v>6.2245698225376206E-3</v>
          </cell>
          <cell r="N63">
            <v>8.7966033824417086E-3</v>
          </cell>
          <cell r="O63">
            <v>9.1008779426345159E-3</v>
          </cell>
          <cell r="P63">
            <v>3.1708211099098056E-2</v>
          </cell>
        </row>
        <row r="64">
          <cell r="A64" t="str">
            <v>CWST</v>
          </cell>
          <cell r="B64" t="str">
            <v>VAR_fout</v>
          </cell>
          <cell r="C64" t="str">
            <v>D-CWST</v>
          </cell>
          <cell r="E64">
            <v>9.6793723800296494</v>
          </cell>
          <cell r="F64">
            <v>9.9324342746878234</v>
          </cell>
          <cell r="G64">
            <v>9.5727613891730403</v>
          </cell>
          <cell r="H64">
            <v>9.8989448174671626</v>
          </cell>
          <cell r="I64">
            <v>9.8780188878272526</v>
          </cell>
          <cell r="J64">
            <v>9.6016697164454072</v>
          </cell>
          <cell r="K64">
            <v>9.3253184545055294</v>
          </cell>
          <cell r="L64">
            <v>9.0489690747717013</v>
          </cell>
          <cell r="M64">
            <v>9.0489707272194266</v>
          </cell>
          <cell r="N64">
            <v>9.0489754022642597</v>
          </cell>
          <cell r="O64">
            <v>9.0489819874583652</v>
          </cell>
          <cell r="P64">
            <v>9.0490394910299958</v>
          </cell>
        </row>
        <row r="65">
          <cell r="A65" t="str">
            <v>CWST</v>
          </cell>
          <cell r="B65" t="str">
            <v>VAR_fin</v>
          </cell>
          <cell r="C65" t="str">
            <v>SUP_WSTHTGBIO</v>
          </cell>
          <cell r="J65">
            <v>9.8745868259909929E-4</v>
          </cell>
          <cell r="K65">
            <v>1.0037110702541868E-3</v>
          </cell>
          <cell r="L65">
            <v>9.4854120100339471E-4</v>
          </cell>
          <cell r="M65">
            <v>1.1074311320838455E-3</v>
          </cell>
          <cell r="N65">
            <v>1.2682536745787219E-3</v>
          </cell>
          <cell r="O65">
            <v>1.3340504163367034E-3</v>
          </cell>
          <cell r="P65">
            <v>2.4439619079865242E-3</v>
          </cell>
        </row>
        <row r="66">
          <cell r="A66" t="str">
            <v>CWST</v>
          </cell>
          <cell r="B66" t="str">
            <v>VAR_fin</v>
          </cell>
          <cell r="C66" t="str">
            <v>SUP_WSTBIO</v>
          </cell>
          <cell r="E66">
            <v>9.6793723800296494</v>
          </cell>
          <cell r="F66">
            <v>9.9324342746878234</v>
          </cell>
          <cell r="G66">
            <v>9.5727613891730403</v>
          </cell>
          <cell r="H66">
            <v>9.8989448174671626</v>
          </cell>
          <cell r="I66">
            <v>9.8780188878272526</v>
          </cell>
          <cell r="J66">
            <v>9.6007098915010474</v>
          </cell>
          <cell r="K66">
            <v>9.3243378452361814</v>
          </cell>
          <cell r="L66">
            <v>9.0480205335707105</v>
          </cell>
          <cell r="M66">
            <v>9.0478940782397448</v>
          </cell>
          <cell r="N66">
            <v>9.0477071485896854</v>
          </cell>
          <cell r="O66">
            <v>9.0476479370420346</v>
          </cell>
          <cell r="P66">
            <v>9.0465955291220101</v>
          </cell>
        </row>
        <row r="67">
          <cell r="A67" t="str">
            <v>NGA</v>
          </cell>
          <cell r="B67" t="str">
            <v>VAR_fout</v>
          </cell>
          <cell r="C67" t="str">
            <v>D-LNGA</v>
          </cell>
          <cell r="H67">
            <v>8.0170277502003258E-4</v>
          </cell>
          <cell r="I67">
            <v>1.4141563687995677E-3</v>
          </cell>
          <cell r="J67">
            <v>1.2962070158180699E-3</v>
          </cell>
          <cell r="K67">
            <v>1.3823362236673718E-3</v>
          </cell>
          <cell r="L67">
            <v>3.0490266749839709E-3</v>
          </cell>
          <cell r="M67">
            <v>1.5054612577719252E-3</v>
          </cell>
          <cell r="N67">
            <v>3.0010003326911734E-3</v>
          </cell>
          <cell r="O67">
            <v>2.2733402490609914E-3</v>
          </cell>
          <cell r="P67">
            <v>4.9826225609872999E-3</v>
          </cell>
        </row>
        <row r="68">
          <cell r="A68" t="str">
            <v>NGA</v>
          </cell>
          <cell r="B68" t="str">
            <v>VAR_fin</v>
          </cell>
          <cell r="C68" t="str">
            <v>D-ENGA</v>
          </cell>
          <cell r="E68">
            <v>5.5139449269923713</v>
          </cell>
          <cell r="F68">
            <v>2.3564340765752787</v>
          </cell>
          <cell r="G68">
            <v>2.0303308643485032</v>
          </cell>
          <cell r="H68">
            <v>3.3014924107599208</v>
          </cell>
          <cell r="I68">
            <v>2.2529612647786226</v>
          </cell>
          <cell r="J68">
            <v>5.5352914949770184</v>
          </cell>
          <cell r="K68">
            <v>11.915720900711969</v>
          </cell>
          <cell r="L68">
            <v>17.043763915732441</v>
          </cell>
          <cell r="M68">
            <v>18.907541003499809</v>
          </cell>
          <cell r="N68">
            <v>20.335130479557783</v>
          </cell>
          <cell r="O68">
            <v>19.794287236831746</v>
          </cell>
          <cell r="P68">
            <v>18.380806656943459</v>
          </cell>
        </row>
        <row r="69">
          <cell r="A69" t="str">
            <v>NGA</v>
          </cell>
          <cell r="B69" t="str">
            <v>VAR_fin</v>
          </cell>
          <cell r="C69" t="str">
            <v>D-TNGA</v>
          </cell>
          <cell r="E69">
            <v>0.2272739156820652</v>
          </cell>
          <cell r="F69">
            <v>0.10777063802030017</v>
          </cell>
          <cell r="G69">
            <v>0.18781296248381313</v>
          </cell>
          <cell r="H69">
            <v>2.5774373377910448E-3</v>
          </cell>
          <cell r="I69">
            <v>2.1575383946076873E-3</v>
          </cell>
          <cell r="J69">
            <v>3.1383167139671774E-3</v>
          </cell>
          <cell r="K69">
            <v>2.9812490887477622E-3</v>
          </cell>
          <cell r="L69">
            <v>2.6681308739122792E-3</v>
          </cell>
          <cell r="M69">
            <v>2.671321470441277E-3</v>
          </cell>
          <cell r="N69">
            <v>2.5306743501137706E-3</v>
          </cell>
          <cell r="O69">
            <v>2.5702776364628357E-3</v>
          </cell>
          <cell r="P69">
            <v>2.3647835910528569E-3</v>
          </cell>
        </row>
        <row r="70">
          <cell r="A70" t="str">
            <v>NGA</v>
          </cell>
          <cell r="B70" t="str">
            <v>VAR_fin</v>
          </cell>
          <cell r="C70" t="str">
            <v>D-SNGA</v>
          </cell>
          <cell r="E70">
            <v>26.994347342132077</v>
          </cell>
          <cell r="F70">
            <v>25.402457339646975</v>
          </cell>
          <cell r="G70">
            <v>27.060738734151489</v>
          </cell>
          <cell r="H70">
            <v>32.785925876955709</v>
          </cell>
          <cell r="I70">
            <v>37.89657315310248</v>
          </cell>
          <cell r="J70">
            <v>37.602140577745466</v>
          </cell>
          <cell r="K70">
            <v>35.706582952627222</v>
          </cell>
          <cell r="L70">
            <v>30.853558972789941</v>
          </cell>
          <cell r="M70">
            <v>30.311287225917891</v>
          </cell>
          <cell r="N70">
            <v>29.920999665036891</v>
          </cell>
          <cell r="O70">
            <v>29.98772591168407</v>
          </cell>
          <cell r="P70">
            <v>29.472449897338294</v>
          </cell>
        </row>
        <row r="71">
          <cell r="A71" t="str">
            <v>NGA</v>
          </cell>
          <cell r="B71" t="str">
            <v>VAR_fin</v>
          </cell>
          <cell r="C71" t="str">
            <v>D-RNGA</v>
          </cell>
          <cell r="E71">
            <v>47.018207031419507</v>
          </cell>
          <cell r="F71">
            <v>48.435969236326486</v>
          </cell>
          <cell r="G71">
            <v>51.664105908717985</v>
          </cell>
          <cell r="H71">
            <v>54.976727487050297</v>
          </cell>
          <cell r="I71">
            <v>57.318248695824224</v>
          </cell>
          <cell r="J71">
            <v>56.569777666402061</v>
          </cell>
          <cell r="K71">
            <v>55.383801237196025</v>
          </cell>
          <cell r="L71">
            <v>55.690703947218189</v>
          </cell>
          <cell r="M71">
            <v>53.242015910900427</v>
          </cell>
          <cell r="N71">
            <v>50.34282846489004</v>
          </cell>
          <cell r="O71">
            <v>51.677848729266138</v>
          </cell>
          <cell r="P71">
            <v>43.932077035073007</v>
          </cell>
        </row>
        <row r="72">
          <cell r="A72" t="str">
            <v>NGA</v>
          </cell>
          <cell r="B72" t="str">
            <v>VAR_fin</v>
          </cell>
          <cell r="C72" t="str">
            <v>D-INGA</v>
          </cell>
          <cell r="E72">
            <v>37.2657516480201</v>
          </cell>
          <cell r="F72">
            <v>30.417335164791336</v>
          </cell>
          <cell r="G72">
            <v>31.383532019130957</v>
          </cell>
          <cell r="H72">
            <v>28.19391108015995</v>
          </cell>
          <cell r="I72">
            <v>25.47690999861916</v>
          </cell>
          <cell r="J72">
            <v>22.678215124735189</v>
          </cell>
          <cell r="K72">
            <v>19.753461755850065</v>
          </cell>
          <cell r="L72">
            <v>17.206033387704714</v>
          </cell>
          <cell r="M72">
            <v>15.379713590289203</v>
          </cell>
          <cell r="N72">
            <v>12.964511423156663</v>
          </cell>
          <cell r="O72">
            <v>11.594031699386816</v>
          </cell>
          <cell r="P72">
            <v>10.137186811299213</v>
          </cell>
        </row>
        <row r="73">
          <cell r="A73" t="str">
            <v>CO2</v>
          </cell>
          <cell r="B73" t="str">
            <v>VAR_fout</v>
          </cell>
          <cell r="C73" t="str">
            <v>D-ENGA</v>
          </cell>
          <cell r="E73">
            <v>310.98649388236998</v>
          </cell>
          <cell r="F73">
            <v>132.90288191884599</v>
          </cell>
          <cell r="G73">
            <v>114.510660749256</v>
          </cell>
          <cell r="H73">
            <v>186.20417196685901</v>
          </cell>
          <cell r="I73">
            <v>127.06701533351399</v>
          </cell>
          <cell r="J73">
            <v>312.19044031670398</v>
          </cell>
          <cell r="K73">
            <v>672.046658800155</v>
          </cell>
          <cell r="L73">
            <v>961.26828484731004</v>
          </cell>
          <cell r="M73">
            <v>1066.3853125973901</v>
          </cell>
          <cell r="N73">
            <v>1146.9013590470599</v>
          </cell>
          <cell r="O73">
            <v>1116.39780015731</v>
          </cell>
          <cell r="P73">
            <v>1036.67749545161</v>
          </cell>
        </row>
        <row r="74">
          <cell r="A74" t="str">
            <v>CO2</v>
          </cell>
          <cell r="B74" t="str">
            <v>VAR_fout</v>
          </cell>
          <cell r="C74" t="str">
            <v>D-ILFO</v>
          </cell>
          <cell r="E74">
            <v>689.06443498366195</v>
          </cell>
          <cell r="F74">
            <v>659.57550536185499</v>
          </cell>
          <cell r="G74">
            <v>600.61134199692697</v>
          </cell>
          <cell r="H74">
            <v>535.72493102853298</v>
          </cell>
          <cell r="I74">
            <v>419.34628579236801</v>
          </cell>
          <cell r="J74">
            <v>259.106187794275</v>
          </cell>
          <cell r="K74">
            <v>142.00575190212001</v>
          </cell>
          <cell r="L74">
            <v>26.966780108070399</v>
          </cell>
          <cell r="M74">
            <v>27.432299443734099</v>
          </cell>
          <cell r="N74">
            <v>27.386875796795501</v>
          </cell>
          <cell r="O74">
            <v>26.5680273729566</v>
          </cell>
          <cell r="P74">
            <v>26.667507271295001</v>
          </cell>
        </row>
        <row r="75">
          <cell r="A75" t="str">
            <v>CO2</v>
          </cell>
          <cell r="B75" t="str">
            <v>VAR_fout</v>
          </cell>
          <cell r="C75" t="str">
            <v>D-TNGA</v>
          </cell>
          <cell r="E75">
            <v>12.818248844468499</v>
          </cell>
          <cell r="F75">
            <v>6.07826398434492</v>
          </cell>
          <cell r="G75">
            <v>10.5926510840871</v>
          </cell>
          <cell r="H75">
            <v>0.145367465851415</v>
          </cell>
          <cell r="I75">
            <v>0.121685165455874</v>
          </cell>
          <cell r="J75">
            <v>0.17700106266774901</v>
          </cell>
          <cell r="K75">
            <v>0.168142448605374</v>
          </cell>
          <cell r="L75">
            <v>0.150482581288652</v>
          </cell>
          <cell r="M75">
            <v>0.15066253093288801</v>
          </cell>
          <cell r="N75">
            <v>0.14273003334641701</v>
          </cell>
          <cell r="O75">
            <v>0.14496365869650399</v>
          </cell>
          <cell r="P75">
            <v>0.13337379453538101</v>
          </cell>
        </row>
        <row r="76">
          <cell r="A76" t="str">
            <v>CO2</v>
          </cell>
          <cell r="B76" t="str">
            <v>VAR_fout</v>
          </cell>
          <cell r="C76" t="str">
            <v>D-SNGA</v>
          </cell>
          <cell r="E76">
            <v>1522.48119009625</v>
          </cell>
          <cell r="F76">
            <v>1432.69859395609</v>
          </cell>
          <cell r="G76">
            <v>1526.2256646061401</v>
          </cell>
          <cell r="H76">
            <v>1849.1262194603</v>
          </cell>
          <cell r="I76">
            <v>2137.3667258349801</v>
          </cell>
          <cell r="J76">
            <v>2120.7607285848399</v>
          </cell>
          <cell r="K76">
            <v>2013.85127852818</v>
          </cell>
          <cell r="L76">
            <v>1740.14072606535</v>
          </cell>
          <cell r="M76">
            <v>1709.5565995417701</v>
          </cell>
          <cell r="N76">
            <v>1687.54438110808</v>
          </cell>
          <cell r="O76">
            <v>1691.30774141898</v>
          </cell>
          <cell r="P76">
            <v>1662.2461742098801</v>
          </cell>
        </row>
        <row r="77">
          <cell r="A77" t="str">
            <v>CO2</v>
          </cell>
          <cell r="B77" t="str">
            <v>VAR_fout</v>
          </cell>
          <cell r="C77" t="str">
            <v>D-RNGA</v>
          </cell>
          <cell r="E77">
            <v>2651.82687657206</v>
          </cell>
          <cell r="F77">
            <v>2731.7886649288198</v>
          </cell>
          <cell r="G77">
            <v>2913.8555732516902</v>
          </cell>
          <cell r="H77">
            <v>3100.6874302696401</v>
          </cell>
          <cell r="I77">
            <v>3232.74922644449</v>
          </cell>
          <cell r="J77">
            <v>3190.5354603850801</v>
          </cell>
          <cell r="K77">
            <v>3123.6463897778499</v>
          </cell>
          <cell r="L77">
            <v>3140.9557026231</v>
          </cell>
          <cell r="M77">
            <v>3002.8496973747901</v>
          </cell>
          <cell r="N77">
            <v>2839.3355254198</v>
          </cell>
          <cell r="O77">
            <v>2914.6306683306102</v>
          </cell>
          <cell r="P77">
            <v>2477.7691447781199</v>
          </cell>
        </row>
        <row r="78">
          <cell r="A78" t="str">
            <v>CO2</v>
          </cell>
          <cell r="B78" t="str">
            <v>VAR_fout</v>
          </cell>
          <cell r="C78" t="str">
            <v>D-SLFO</v>
          </cell>
          <cell r="E78">
            <v>2267.7887510718201</v>
          </cell>
          <cell r="F78">
            <v>2012.5555084586399</v>
          </cell>
          <cell r="G78">
            <v>1891.6515214026499</v>
          </cell>
          <cell r="H78">
            <v>1625.4922807862999</v>
          </cell>
          <cell r="I78">
            <v>1276.0483038372399</v>
          </cell>
          <cell r="J78">
            <v>1079.36583418754</v>
          </cell>
          <cell r="K78">
            <v>1004.7599121055</v>
          </cell>
          <cell r="L78">
            <v>775.431290094465</v>
          </cell>
          <cell r="M78">
            <v>647.12019958344001</v>
          </cell>
          <cell r="N78">
            <v>527.13805185465105</v>
          </cell>
          <cell r="O78">
            <v>309.74966449045797</v>
          </cell>
          <cell r="P78">
            <v>106.435430534944</v>
          </cell>
        </row>
        <row r="79">
          <cell r="A79" t="str">
            <v>CO2</v>
          </cell>
          <cell r="B79" t="str">
            <v>VAR_fout</v>
          </cell>
          <cell r="C79" t="str">
            <v>D-RLFO</v>
          </cell>
          <cell r="E79">
            <v>4514.4841358598396</v>
          </cell>
          <cell r="F79">
            <v>3846.5254200827399</v>
          </cell>
          <cell r="G79">
            <v>3346.8997284166899</v>
          </cell>
          <cell r="H79">
            <v>3437.9928799132499</v>
          </cell>
          <cell r="I79">
            <v>2754.6783994328898</v>
          </cell>
          <cell r="J79">
            <v>2522.9673175134099</v>
          </cell>
          <cell r="K79">
            <v>2434.09816956842</v>
          </cell>
          <cell r="L79">
            <v>2089.17583760661</v>
          </cell>
          <cell r="M79">
            <v>1948.7307746834799</v>
          </cell>
          <cell r="N79">
            <v>1674.7471294412401</v>
          </cell>
          <cell r="O79">
            <v>1254.079204765</v>
          </cell>
          <cell r="P79">
            <v>483.66943325506401</v>
          </cell>
        </row>
        <row r="80">
          <cell r="A80" t="str">
            <v>CO2</v>
          </cell>
          <cell r="B80" t="str">
            <v>VAR_fout</v>
          </cell>
          <cell r="C80" t="str">
            <v>D-TGSL</v>
          </cell>
          <cell r="E80">
            <v>5889.2485977946899</v>
          </cell>
          <cell r="F80">
            <v>5605.5403353283</v>
          </cell>
          <cell r="G80">
            <v>5886.5338381035699</v>
          </cell>
          <cell r="H80">
            <v>4312.0231908339101</v>
          </cell>
          <cell r="I80">
            <v>3306.8627439874399</v>
          </cell>
          <cell r="J80">
            <v>2845.7550286330902</v>
          </cell>
          <cell r="K80">
            <v>2450.54798438036</v>
          </cell>
          <cell r="L80">
            <v>2122.3063689873102</v>
          </cell>
          <cell r="M80">
            <v>1939.4066070685799</v>
          </cell>
          <cell r="N80">
            <v>1763.68612903236</v>
          </cell>
          <cell r="O80">
            <v>1629.83535316763</v>
          </cell>
          <cell r="P80">
            <v>1559.22608442813</v>
          </cell>
        </row>
        <row r="81">
          <cell r="A81" t="str">
            <v>CO2</v>
          </cell>
          <cell r="B81" t="str">
            <v>VAR_fout</v>
          </cell>
          <cell r="C81" t="str">
            <v>D-INGA</v>
          </cell>
          <cell r="E81">
            <v>2101.7883929483301</v>
          </cell>
          <cell r="F81">
            <v>1715.5377032942299</v>
          </cell>
          <cell r="G81">
            <v>1770.03120587898</v>
          </cell>
          <cell r="H81">
            <v>1590.1365849210199</v>
          </cell>
          <cell r="I81">
            <v>1436.8977239221199</v>
          </cell>
          <cell r="J81">
            <v>1279.05133303506</v>
          </cell>
          <cell r="K81">
            <v>1114.0952430299401</v>
          </cell>
          <cell r="L81">
            <v>970.42028306654504</v>
          </cell>
          <cell r="M81">
            <v>867.41584649231095</v>
          </cell>
          <cell r="N81">
            <v>731.19844426603595</v>
          </cell>
          <cell r="O81">
            <v>653.90338784541598</v>
          </cell>
          <cell r="P81">
            <v>571.73733615727599</v>
          </cell>
        </row>
        <row r="82">
          <cell r="A82" t="str">
            <v>ENGA</v>
          </cell>
          <cell r="B82" t="str">
            <v>VAR_fout</v>
          </cell>
          <cell r="C82" t="str">
            <v>D-ENGA</v>
          </cell>
          <cell r="E82">
            <v>5.7079398410162705</v>
          </cell>
          <cell r="F82">
            <v>2.3490620444928587</v>
          </cell>
          <cell r="G82">
            <v>2.4141425518801558</v>
          </cell>
          <cell r="H82">
            <v>3.7055036892095869</v>
          </cell>
          <cell r="I82">
            <v>2.6603257113501635</v>
          </cell>
          <cell r="J82">
            <v>5.9322083890076378</v>
          </cell>
          <cell r="K82">
            <v>12.29232977287054</v>
          </cell>
          <cell r="L82">
            <v>17.404038104451651</v>
          </cell>
          <cell r="M82">
            <v>19.261875749850741</v>
          </cell>
          <cell r="N82">
            <v>20.684792507304035</v>
          </cell>
          <cell r="O82">
            <v>20.145715114229372</v>
          </cell>
          <cell r="P82">
            <v>18.73677743097814</v>
          </cell>
        </row>
        <row r="83">
          <cell r="A83" t="str">
            <v>ILFO</v>
          </cell>
          <cell r="B83" t="str">
            <v>VAR_fout</v>
          </cell>
          <cell r="C83" t="str">
            <v>D-ILFO</v>
          </cell>
          <cell r="E83">
            <v>9.193436307827735</v>
          </cell>
          <cell r="F83">
            <v>8.7999976357672196</v>
          </cell>
          <cell r="G83">
            <v>8.0134216662549456</v>
          </cell>
          <cell r="H83">
            <v>7.1481858417933033</v>
          </cell>
          <cell r="I83">
            <v>5.5955057737559244</v>
          </cell>
          <cell r="J83">
            <v>3.4575980307194074</v>
          </cell>
          <cell r="K83">
            <v>1.8952550709763174</v>
          </cell>
          <cell r="L83">
            <v>0.3604246007143545</v>
          </cell>
          <cell r="M83">
            <v>0.36663527166018328</v>
          </cell>
          <cell r="N83">
            <v>0.36610327328966447</v>
          </cell>
          <cell r="O83">
            <v>0.35520134779567797</v>
          </cell>
          <cell r="P83">
            <v>0.3574503691604618</v>
          </cell>
        </row>
        <row r="84">
          <cell r="A84" t="str">
            <v>CHEAT</v>
          </cell>
          <cell r="B84" t="str">
            <v>VAR_fout</v>
          </cell>
          <cell r="C84" t="str">
            <v>D-CHEAT</v>
          </cell>
          <cell r="J84">
            <v>1.2106224473192723E-3</v>
          </cell>
          <cell r="K84">
            <v>1.3286459430218403E-3</v>
          </cell>
          <cell r="L84">
            <v>1.5003443328363169E-3</v>
          </cell>
          <cell r="M84">
            <v>1.3474019013918065E-3</v>
          </cell>
          <cell r="N84">
            <v>1.5026660049432185E-3</v>
          </cell>
          <cell r="O84">
            <v>1.4805884780684335E-3</v>
          </cell>
          <cell r="P84">
            <v>2.8568516677083757E-3</v>
          </cell>
        </row>
        <row r="85">
          <cell r="A85" t="str">
            <v>CHEAT</v>
          </cell>
          <cell r="B85" t="str">
            <v>VAR_fin</v>
          </cell>
          <cell r="C85" t="str">
            <v>SUP_ELCH2_SOEC</v>
          </cell>
          <cell r="J85">
            <v>1.2106224473192723E-3</v>
          </cell>
          <cell r="K85">
            <v>1.3286459430218403E-3</v>
          </cell>
          <cell r="L85">
            <v>1.5003443328363169E-3</v>
          </cell>
          <cell r="M85">
            <v>1.3474019013918065E-3</v>
          </cell>
          <cell r="N85">
            <v>1.5026660049432185E-3</v>
          </cell>
          <cell r="O85">
            <v>1.4805884780684335E-3</v>
          </cell>
          <cell r="P85">
            <v>2.8568516677083757E-3</v>
          </cell>
        </row>
        <row r="86">
          <cell r="A86" t="str">
            <v>EH2</v>
          </cell>
          <cell r="B86" t="str">
            <v>VAR_fout</v>
          </cell>
          <cell r="C86" t="str">
            <v>D-ENGA</v>
          </cell>
          <cell r="J86">
            <v>2.6065585958002296E-3</v>
          </cell>
          <cell r="K86">
            <v>2.7887376236028082E-3</v>
          </cell>
          <cell r="L86">
            <v>4.5650778268551172E-3</v>
          </cell>
          <cell r="M86">
            <v>4.9290061840977914E-3</v>
          </cell>
          <cell r="N86">
            <v>4.9121825777189036E-2</v>
          </cell>
          <cell r="O86">
            <v>3.6551684111434606E-2</v>
          </cell>
          <cell r="P86">
            <v>3.6820735342988402E-2</v>
          </cell>
        </row>
        <row r="87">
          <cell r="A87" t="str">
            <v>TDSL</v>
          </cell>
          <cell r="B87" t="str">
            <v>VAR_fout</v>
          </cell>
          <cell r="C87" t="str">
            <v>D-TBDS1</v>
          </cell>
          <cell r="E87">
            <v>2.9720880146088593</v>
          </cell>
          <cell r="F87">
            <v>2.9709457549781813</v>
          </cell>
          <cell r="G87">
            <v>4.4810675937681408</v>
          </cell>
          <cell r="H87">
            <v>2.3498818904619885</v>
          </cell>
          <cell r="I87">
            <v>1.782807770630209</v>
          </cell>
          <cell r="J87">
            <v>1.8222631364137867</v>
          </cell>
          <cell r="K87">
            <v>1.6974498891193841</v>
          </cell>
          <cell r="L87">
            <v>1.662826602067796</v>
          </cell>
          <cell r="M87">
            <v>1.6556753948620202</v>
          </cell>
          <cell r="N87">
            <v>1.6241893355364541</v>
          </cell>
          <cell r="O87">
            <v>1.7682022210250516</v>
          </cell>
          <cell r="P87">
            <v>1.8983232691743701</v>
          </cell>
        </row>
        <row r="88">
          <cell r="A88" t="str">
            <v>CNGA</v>
          </cell>
          <cell r="B88" t="str">
            <v>VAR_fout</v>
          </cell>
          <cell r="C88" t="str">
            <v>D-CNGA</v>
          </cell>
          <cell r="L88">
            <v>1.2760229094535885E-3</v>
          </cell>
          <cell r="M88">
            <v>1.2973440566270164E-3</v>
          </cell>
          <cell r="N88">
            <v>2.0066611898511702E-3</v>
          </cell>
          <cell r="O88">
            <v>2.0532508070308891E-3</v>
          </cell>
          <cell r="P88">
            <v>4.2523659949158374E-3</v>
          </cell>
        </row>
        <row r="89">
          <cell r="A89" t="str">
            <v>CNGA</v>
          </cell>
          <cell r="B89" t="str">
            <v>VAR_fin</v>
          </cell>
          <cell r="C89" t="str">
            <v>SUP_NGAH2</v>
          </cell>
          <cell r="L89">
            <v>1.2760229094535885E-3</v>
          </cell>
          <cell r="M89">
            <v>1.2973440566270164E-3</v>
          </cell>
          <cell r="N89">
            <v>2.0066611898511702E-3</v>
          </cell>
          <cell r="O89">
            <v>2.0532508070308891E-3</v>
          </cell>
          <cell r="P89">
            <v>4.2523659949158374E-3</v>
          </cell>
        </row>
        <row r="90">
          <cell r="A90" t="str">
            <v>LBIO</v>
          </cell>
          <cell r="B90" t="str">
            <v>VAR_fin</v>
          </cell>
          <cell r="C90" t="str">
            <v>D-LBIO</v>
          </cell>
          <cell r="H90">
            <v>1.3910786748342417E-3</v>
          </cell>
          <cell r="I90">
            <v>1.4336504007338127E-2</v>
          </cell>
          <cell r="J90">
            <v>1.5966431113135521E-2</v>
          </cell>
          <cell r="K90">
            <v>2.1597324835880803E-3</v>
          </cell>
          <cell r="L90">
            <v>3.9420392389506445E-3</v>
          </cell>
          <cell r="M90">
            <v>2.1009409812567524E-3</v>
          </cell>
          <cell r="N90">
            <v>3.50391747134552E-3</v>
          </cell>
          <cell r="O90">
            <v>2.6953107582817163E-3</v>
          </cell>
          <cell r="P90">
            <v>5.6354320614359545E-3</v>
          </cell>
        </row>
        <row r="91">
          <cell r="A91" t="str">
            <v>H2_E</v>
          </cell>
          <cell r="B91" t="str">
            <v>VAR_fout</v>
          </cell>
          <cell r="C91" t="str">
            <v>SUP_ELCH2_D</v>
          </cell>
          <cell r="H91">
            <v>1.0857036749742236E-5</v>
          </cell>
          <cell r="I91">
            <v>2.9729060115359616E-4</v>
          </cell>
          <cell r="J91">
            <v>1.0006158354117509E-3</v>
          </cell>
          <cell r="K91">
            <v>1.2408325577417919E-3</v>
          </cell>
          <cell r="L91">
            <v>1.2851932444171625E-3</v>
          </cell>
          <cell r="M91">
            <v>1.2884707088704596E-3</v>
          </cell>
          <cell r="N91">
            <v>1.3264697115389164E-3</v>
          </cell>
          <cell r="O91">
            <v>1.0868244468776786E-3</v>
          </cell>
          <cell r="P91">
            <v>2.1489270345872208E-3</v>
          </cell>
        </row>
        <row r="92">
          <cell r="A92" t="str">
            <v>H2_E</v>
          </cell>
          <cell r="B92" t="str">
            <v>VAR_fin</v>
          </cell>
          <cell r="C92" t="str">
            <v>D-DH2</v>
          </cell>
          <cell r="H92">
            <v>1.0857036749742236E-5</v>
          </cell>
          <cell r="I92">
            <v>2.9729060115359616E-4</v>
          </cell>
          <cell r="J92">
            <v>1.0006158354117509E-3</v>
          </cell>
          <cell r="K92">
            <v>1.2408325577417919E-3</v>
          </cell>
          <cell r="L92">
            <v>1.2851932444171625E-3</v>
          </cell>
          <cell r="M92">
            <v>1.2884707088704596E-3</v>
          </cell>
          <cell r="N92">
            <v>1.3264697115389164E-3</v>
          </cell>
          <cell r="O92">
            <v>1.0868244468776786E-3</v>
          </cell>
          <cell r="P92">
            <v>2.1489270345872208E-3</v>
          </cell>
        </row>
        <row r="93">
          <cell r="A93" t="str">
            <v>BNGA</v>
          </cell>
          <cell r="B93" t="str">
            <v>VAR_fout</v>
          </cell>
          <cell r="C93" t="str">
            <v>SUP_BIONGA</v>
          </cell>
          <cell r="E93">
            <v>1.1764725935361819</v>
          </cell>
          <cell r="F93">
            <v>3.1936042869229757</v>
          </cell>
          <cell r="G93">
            <v>3.1752182415632042</v>
          </cell>
          <cell r="H93">
            <v>3.1751583872235027</v>
          </cell>
          <cell r="I93">
            <v>3.1751602995509258</v>
          </cell>
          <cell r="J93">
            <v>3.1740768568632642</v>
          </cell>
          <cell r="K93">
            <v>3.1740997094301733</v>
          </cell>
          <cell r="L93">
            <v>3.175553185839175</v>
          </cell>
          <cell r="M93">
            <v>3.1754509934662298</v>
          </cell>
          <cell r="N93">
            <v>3.1763541950881766</v>
          </cell>
          <cell r="O93">
            <v>3.1763642483655175</v>
          </cell>
          <cell r="P93">
            <v>3.1795230461773789</v>
          </cell>
        </row>
        <row r="94">
          <cell r="A94" t="str">
            <v>BNGA</v>
          </cell>
          <cell r="B94" t="str">
            <v>VAR_fin</v>
          </cell>
          <cell r="C94" t="str">
            <v>D-ENGA</v>
          </cell>
          <cell r="E94">
            <v>0.21222961044749344</v>
          </cell>
          <cell r="F94">
            <v>1.1449713492527347E-4</v>
          </cell>
          <cell r="G94">
            <v>0.39142906614113787</v>
          </cell>
          <cell r="H94">
            <v>0.41587423359021342</v>
          </cell>
          <cell r="I94">
            <v>0.41587812232879795</v>
          </cell>
          <cell r="J94">
            <v>0.41588045236081561</v>
          </cell>
          <cell r="K94">
            <v>0.41588629029386548</v>
          </cell>
          <cell r="L94">
            <v>0.41589690060414425</v>
          </cell>
          <cell r="M94">
            <v>0.41589937882817579</v>
          </cell>
          <cell r="N94">
            <v>0.41589698807828224</v>
          </cell>
          <cell r="O94">
            <v>0.41590262276466339</v>
          </cell>
          <cell r="P94">
            <v>0.4159815570500251</v>
          </cell>
        </row>
        <row r="95">
          <cell r="A95" t="str">
            <v>BNGA</v>
          </cell>
          <cell r="B95" t="str">
            <v>VAR_fin</v>
          </cell>
          <cell r="C95" t="str">
            <v>D-CNGA</v>
          </cell>
          <cell r="L95">
            <v>1.280099317234946E-3</v>
          </cell>
          <cell r="M95">
            <v>1.3014885773627732E-3</v>
          </cell>
          <cell r="N95">
            <v>2.0130717089948745E-3</v>
          </cell>
          <cell r="O95">
            <v>2.059810162278236E-3</v>
          </cell>
          <cell r="P95">
            <v>4.265950686618801E-3</v>
          </cell>
        </row>
        <row r="96">
          <cell r="A96" t="str">
            <v>BNGA</v>
          </cell>
          <cell r="B96" t="str">
            <v>VAR_fin</v>
          </cell>
          <cell r="C96" t="str">
            <v>D-TNGA</v>
          </cell>
          <cell r="E96">
            <v>1.8717451818194435E-2</v>
          </cell>
          <cell r="F96">
            <v>1.5222665389786972E-2</v>
          </cell>
          <cell r="G96">
            <v>3.9508030462081312E-3</v>
          </cell>
          <cell r="H96">
            <v>1.2241227289551122E-3</v>
          </cell>
          <cell r="I96">
            <v>1.1965120665402653E-3</v>
          </cell>
          <cell r="J96">
            <v>1.3480138329492392E-4</v>
          </cell>
          <cell r="K96">
            <v>1.5071994950033009E-4</v>
          </cell>
          <cell r="L96">
            <v>2.9071796596668453E-4</v>
          </cell>
          <cell r="M96">
            <v>1.8575808697390055E-4</v>
          </cell>
          <cell r="N96">
            <v>2.9977151982761818E-4</v>
          </cell>
          <cell r="O96">
            <v>2.4975415627108893E-4</v>
          </cell>
          <cell r="P96">
            <v>4.5466828618493722E-4</v>
          </cell>
        </row>
        <row r="97">
          <cell r="A97" t="str">
            <v>BNGA</v>
          </cell>
          <cell r="B97" t="str">
            <v>VAR_fin</v>
          </cell>
          <cell r="C97" t="str">
            <v>D-SNGA</v>
          </cell>
          <cell r="E97">
            <v>0.30555534625950209</v>
          </cell>
          <cell r="F97">
            <v>3.1769171310864701</v>
          </cell>
          <cell r="G97">
            <v>2.2923842278861045E-2</v>
          </cell>
          <cell r="H97">
            <v>7.183767967661799E-4</v>
          </cell>
          <cell r="I97">
            <v>7.2157593250563306E-4</v>
          </cell>
          <cell r="J97">
            <v>7.2828892098095632E-4</v>
          </cell>
          <cell r="K97">
            <v>7.3152656548294099E-4</v>
          </cell>
          <cell r="L97">
            <v>7.4550666910957184E-4</v>
          </cell>
          <cell r="M97">
            <v>7.404207575554397E-4</v>
          </cell>
          <cell r="N97">
            <v>7.6788018628604743E-4</v>
          </cell>
          <cell r="O97">
            <v>7.7525485015219903E-4</v>
          </cell>
          <cell r="P97">
            <v>1.2769844912221442E-3</v>
          </cell>
        </row>
        <row r="98">
          <cell r="A98" t="str">
            <v>BNGA</v>
          </cell>
          <cell r="B98" t="str">
            <v>VAR_fin</v>
          </cell>
          <cell r="C98" t="str">
            <v>D-RNGA</v>
          </cell>
          <cell r="E98">
            <v>0.31229675187645711</v>
          </cell>
          <cell r="F98">
            <v>1.277337346760768E-3</v>
          </cell>
          <cell r="G98">
            <v>1.2767118593738904E-3</v>
          </cell>
          <cell r="H98">
            <v>1.2792618084729143E-3</v>
          </cell>
          <cell r="I98">
            <v>1.2809664574716054E-3</v>
          </cell>
          <cell r="J98">
            <v>1.286511470988555E-3</v>
          </cell>
          <cell r="K98">
            <v>1.2880340333559074E-3</v>
          </cell>
          <cell r="L98">
            <v>1.2987772664295914E-3</v>
          </cell>
          <cell r="M98">
            <v>1.2919197017624044E-3</v>
          </cell>
          <cell r="N98">
            <v>1.3056651408762214E-3</v>
          </cell>
          <cell r="O98">
            <v>1.3092269725145972E-3</v>
          </cell>
          <cell r="P98">
            <v>1.4288026371444963E-3</v>
          </cell>
        </row>
        <row r="99">
          <cell r="A99" t="str">
            <v>BNGA</v>
          </cell>
          <cell r="B99" t="str">
            <v>VAR_fin</v>
          </cell>
          <cell r="C99" t="str">
            <v>D-INGA</v>
          </cell>
          <cell r="E99">
            <v>0.32773462624862343</v>
          </cell>
          <cell r="F99">
            <v>1.1533728650658892E-4</v>
          </cell>
          <cell r="G99">
            <v>2.7556768256259172</v>
          </cell>
          <cell r="H99">
            <v>2.7560544141975956</v>
          </cell>
          <cell r="I99">
            <v>2.7560574509048132</v>
          </cell>
          <cell r="J99">
            <v>2.7560590000865695</v>
          </cell>
          <cell r="K99">
            <v>2.75606391937007</v>
          </cell>
          <cell r="L99">
            <v>2.7560738300497154</v>
          </cell>
          <cell r="M99">
            <v>2.7560676079764006</v>
          </cell>
          <cell r="N99">
            <v>2.7560722002478069</v>
          </cell>
          <cell r="O99">
            <v>2.7560769696735505</v>
          </cell>
          <cell r="P99">
            <v>2.7561477048589977</v>
          </cell>
        </row>
        <row r="100">
          <cell r="A100" t="str">
            <v>LFO</v>
          </cell>
          <cell r="B100" t="str">
            <v>VAR_fin</v>
          </cell>
          <cell r="C100" t="str">
            <v>D-ILFO</v>
          </cell>
          <cell r="E100">
            <v>9.349585277933004</v>
          </cell>
          <cell r="F100">
            <v>8.9494641161717041</v>
          </cell>
          <cell r="G100">
            <v>8.1494076254671235</v>
          </cell>
          <cell r="H100">
            <v>7.2689949936028775</v>
          </cell>
          <cell r="I100">
            <v>5.6899088981325443</v>
          </cell>
          <cell r="J100">
            <v>3.5156877584026422</v>
          </cell>
          <cell r="K100">
            <v>1.9268080312363571</v>
          </cell>
          <cell r="L100">
            <v>0.36589932304030365</v>
          </cell>
          <cell r="M100">
            <v>0.37221573193669066</v>
          </cell>
          <cell r="N100">
            <v>0.37159940022789045</v>
          </cell>
          <cell r="O100">
            <v>0.36048883816766136</v>
          </cell>
          <cell r="P100">
            <v>0.36183863326044774</v>
          </cell>
        </row>
        <row r="101">
          <cell r="A101" t="str">
            <v>LFO</v>
          </cell>
          <cell r="B101" t="str">
            <v>VAR_fin</v>
          </cell>
          <cell r="C101" t="str">
            <v>D-SLFO</v>
          </cell>
          <cell r="E101">
            <v>30.770539363253999</v>
          </cell>
          <cell r="F101">
            <v>27.307401742993722</v>
          </cell>
          <cell r="G101">
            <v>25.6669134518677</v>
          </cell>
          <cell r="H101">
            <v>22.055526197914439</v>
          </cell>
          <cell r="I101">
            <v>17.314088247452322</v>
          </cell>
          <cell r="J101">
            <v>14.645398021540631</v>
          </cell>
          <cell r="K101">
            <v>13.633105998717737</v>
          </cell>
          <cell r="L101">
            <v>10.521455767903184</v>
          </cell>
          <cell r="M101">
            <v>8.7804640377671621</v>
          </cell>
          <cell r="N101">
            <v>7.1524837429396255</v>
          </cell>
          <cell r="O101">
            <v>4.202844837048282</v>
          </cell>
          <cell r="P101">
            <v>1.4441713776790217</v>
          </cell>
        </row>
        <row r="102">
          <cell r="A102" t="str">
            <v>LFO</v>
          </cell>
          <cell r="B102" t="str">
            <v>VAR_fin</v>
          </cell>
          <cell r="C102" t="str">
            <v>D-RLFO</v>
          </cell>
          <cell r="E102">
            <v>61.254872942467266</v>
          </cell>
          <cell r="F102">
            <v>52.1916610594674</v>
          </cell>
          <cell r="G102">
            <v>45.412479354364862</v>
          </cell>
          <cell r="H102">
            <v>46.648478696244901</v>
          </cell>
          <cell r="I102">
            <v>37.376911796918478</v>
          </cell>
          <cell r="J102">
            <v>34.232935108730182</v>
          </cell>
          <cell r="K102">
            <v>33.027112205812998</v>
          </cell>
          <cell r="L102">
            <v>28.347026290455982</v>
          </cell>
          <cell r="M102">
            <v>26.441394500454233</v>
          </cell>
          <cell r="N102">
            <v>22.723841647778002</v>
          </cell>
          <cell r="O102">
            <v>17.016000064654076</v>
          </cell>
          <cell r="P102">
            <v>6.5626788772735996</v>
          </cell>
        </row>
        <row r="103">
          <cell r="A103" t="str">
            <v>MNR</v>
          </cell>
          <cell r="B103" t="str">
            <v>VAR_fin</v>
          </cell>
          <cell r="C103" t="str">
            <v>SUP_MNRBIO</v>
          </cell>
          <cell r="E103">
            <v>3.7980890453788723</v>
          </cell>
          <cell r="F103">
            <v>12.48768142622205</v>
          </cell>
          <cell r="G103">
            <v>12.540265595238091</v>
          </cell>
          <cell r="H103">
            <v>12.540422828132941</v>
          </cell>
          <cell r="I103">
            <v>12.540426178369573</v>
          </cell>
          <cell r="J103">
            <v>12.541602913931792</v>
          </cell>
          <cell r="K103">
            <v>12.5416224835975</v>
          </cell>
          <cell r="L103">
            <v>12.541655317753762</v>
          </cell>
          <cell r="M103">
            <v>12.54166709350242</v>
          </cell>
          <cell r="N103">
            <v>12.541739241110202</v>
          </cell>
          <cell r="O103">
            <v>12.541843702953544</v>
          </cell>
          <cell r="P103">
            <v>12.542122705679732</v>
          </cell>
        </row>
        <row r="104">
          <cell r="A104" t="str">
            <v>TNGA</v>
          </cell>
          <cell r="B104" t="str">
            <v>VAR_fout</v>
          </cell>
          <cell r="C104" t="str">
            <v>D-TNGA</v>
          </cell>
          <cell r="E104">
            <v>0.24520920098992505</v>
          </cell>
          <cell r="F104">
            <v>0.12407584586939206</v>
          </cell>
          <cell r="G104">
            <v>0.19273509329249505</v>
          </cell>
          <cell r="H104">
            <v>3.819749802056818E-3</v>
          </cell>
          <cell r="I104">
            <v>3.3802775741864637E-3</v>
          </cell>
          <cell r="J104">
            <v>3.299502359283005E-3</v>
          </cell>
          <cell r="K104">
            <v>3.1590152658870084E-3</v>
          </cell>
          <cell r="L104">
            <v>2.991768174395702E-3</v>
          </cell>
          <cell r="M104">
            <v>2.8857058902943158E-3</v>
          </cell>
          <cell r="N104">
            <v>2.862445767970504E-3</v>
          </cell>
          <cell r="O104">
            <v>2.8504109902921775E-3</v>
          </cell>
          <cell r="P104">
            <v>2.8541579926168836E-3</v>
          </cell>
        </row>
        <row r="105">
          <cell r="A105" t="str">
            <v>WOD</v>
          </cell>
          <cell r="B105" t="str">
            <v>VAR_fin</v>
          </cell>
          <cell r="C105" t="str">
            <v>D-CWOD</v>
          </cell>
          <cell r="E105">
            <v>9.2994160940062276</v>
          </cell>
          <cell r="F105">
            <v>10.113242848544466</v>
          </cell>
          <cell r="G105">
            <v>9.875560393637679</v>
          </cell>
          <cell r="H105">
            <v>8.5109480530706172</v>
          </cell>
          <cell r="I105">
            <v>8.8472156932729558</v>
          </cell>
          <cell r="J105">
            <v>9.3853450668865239</v>
          </cell>
          <cell r="K105">
            <v>9.3095950657221795</v>
          </cell>
          <cell r="L105">
            <v>10.060385703888322</v>
          </cell>
          <cell r="M105">
            <v>10.252887300185787</v>
          </cell>
          <cell r="N105">
            <v>10.742877198692609</v>
          </cell>
          <cell r="O105">
            <v>13.093360851611248</v>
          </cell>
          <cell r="P105">
            <v>13.740512461898557</v>
          </cell>
        </row>
        <row r="106">
          <cell r="A106" t="str">
            <v>GSL</v>
          </cell>
          <cell r="B106" t="str">
            <v>VAR_fin</v>
          </cell>
          <cell r="C106" t="str">
            <v>D-TGSL</v>
          </cell>
          <cell r="E106">
            <v>79.800116501283014</v>
          </cell>
          <cell r="F106">
            <v>75.955831102009526</v>
          </cell>
          <cell r="G106">
            <v>79.763331139614763</v>
          </cell>
          <cell r="H106">
            <v>58.428498520784693</v>
          </cell>
          <cell r="I106">
            <v>44.808438265412477</v>
          </cell>
          <cell r="J106">
            <v>38.560366241640835</v>
          </cell>
          <cell r="K106">
            <v>33.205257240926265</v>
          </cell>
          <cell r="L106">
            <v>28.757538875166794</v>
          </cell>
          <cell r="M106">
            <v>26.279222318002475</v>
          </cell>
          <cell r="N106">
            <v>23.898186030248745</v>
          </cell>
          <cell r="O106">
            <v>22.084489880320223</v>
          </cell>
          <cell r="P106">
            <v>21.127724721248338</v>
          </cell>
        </row>
        <row r="107">
          <cell r="A107" t="str">
            <v>IBIO</v>
          </cell>
          <cell r="B107" t="str">
            <v>VAR_fout</v>
          </cell>
          <cell r="C107" t="str">
            <v>D-IBIO</v>
          </cell>
          <cell r="E107">
            <v>0.43673267029149393</v>
          </cell>
          <cell r="F107">
            <v>0.55206685893644225</v>
          </cell>
          <cell r="G107">
            <v>0.95313303454226073</v>
          </cell>
          <cell r="H107">
            <v>2.2168889321866887</v>
          </cell>
          <cell r="I107">
            <v>3.6683616609161849</v>
          </cell>
          <cell r="J107">
            <v>5.7109670792628267</v>
          </cell>
          <cell r="K107">
            <v>5.7750295071035982</v>
          </cell>
          <cell r="L107">
            <v>5.7754413999220064</v>
          </cell>
          <cell r="M107">
            <v>5.7997830347435615</v>
          </cell>
          <cell r="N107">
            <v>6.1162782872669474</v>
          </cell>
          <cell r="O107">
            <v>6.1163395382348913</v>
          </cell>
          <cell r="P107">
            <v>6.1204189245320197</v>
          </cell>
        </row>
        <row r="108">
          <cell r="A108" t="str">
            <v>SNGA</v>
          </cell>
          <cell r="B108" t="str">
            <v>VAR_fout</v>
          </cell>
          <cell r="C108" t="str">
            <v>D-SNGA</v>
          </cell>
          <cell r="E108">
            <v>27.212967609018463</v>
          </cell>
          <cell r="F108">
            <v>28.488364981930307</v>
          </cell>
          <cell r="G108">
            <v>26.997416102123442</v>
          </cell>
          <cell r="H108">
            <v>32.682207148066617</v>
          </cell>
          <cell r="I108">
            <v>37.776578384959834</v>
          </cell>
          <cell r="J108">
            <v>37.483087469527938</v>
          </cell>
          <cell r="K108">
            <v>35.593582574580374</v>
          </cell>
          <cell r="L108">
            <v>30.755987888631779</v>
          </cell>
          <cell r="M108">
            <v>30.215451391326784</v>
          </cell>
          <cell r="N108">
            <v>29.826288825858647</v>
          </cell>
          <cell r="O108">
            <v>29.89275689735398</v>
          </cell>
          <cell r="P108">
            <v>29.379617023649743</v>
          </cell>
        </row>
        <row r="109">
          <cell r="A109" t="str">
            <v>AUX_H2STG_IN</v>
          </cell>
          <cell r="B109" t="str">
            <v>VAR_fin</v>
          </cell>
          <cell r="C109" t="str">
            <v>STG-H2</v>
          </cell>
          <cell r="H109">
            <v>7.3436078059958275E-6</v>
          </cell>
          <cell r="I109">
            <v>1.8839835999018327E-5</v>
          </cell>
          <cell r="J109">
            <v>2.3703276140806117E-5</v>
          </cell>
          <cell r="K109">
            <v>2.2825279425530714E-5</v>
          </cell>
          <cell r="L109">
            <v>4.7661988313244926E-5</v>
          </cell>
          <cell r="M109">
            <v>3.9874576264219291E-5</v>
          </cell>
          <cell r="N109">
            <v>7.4050189325023267E-5</v>
          </cell>
          <cell r="O109">
            <v>7.0958481461865284E-5</v>
          </cell>
          <cell r="P109">
            <v>1.459800211587181E-4</v>
          </cell>
        </row>
        <row r="110">
          <cell r="A110" t="str">
            <v>AUX_H2STG_IN</v>
          </cell>
          <cell r="B110" t="str">
            <v>VAR_fin</v>
          </cell>
          <cell r="C110" t="str">
            <v>STG-H2</v>
          </cell>
          <cell r="H110">
            <v>3.3274855436172161E-5</v>
          </cell>
          <cell r="I110">
            <v>8.7543462388647104E-5</v>
          </cell>
          <cell r="J110">
            <v>9.499783385607803E-5</v>
          </cell>
          <cell r="K110">
            <v>9.5393578527805183E-5</v>
          </cell>
          <cell r="L110">
            <v>2.0178761827181711E-4</v>
          </cell>
          <cell r="M110">
            <v>1.5672905111796856E-4</v>
          </cell>
          <cell r="N110">
            <v>2.9769208704866343E-4</v>
          </cell>
          <cell r="O110">
            <v>2.8198141601064113E-4</v>
          </cell>
          <cell r="P110">
            <v>6.0727790371546133E-4</v>
          </cell>
        </row>
        <row r="111">
          <cell r="A111" t="str">
            <v>AUX_H2STG_IN</v>
          </cell>
          <cell r="B111" t="str">
            <v>VAR_fin</v>
          </cell>
          <cell r="C111" t="str">
            <v>STG-H2</v>
          </cell>
          <cell r="H111">
            <v>6.2846272821130666E-6</v>
          </cell>
          <cell r="I111">
            <v>1.1642964955674664E-5</v>
          </cell>
          <cell r="J111">
            <v>1.4712895987900236E-5</v>
          </cell>
          <cell r="K111">
            <v>1.4062857605858035E-5</v>
          </cell>
          <cell r="L111">
            <v>3.281969948514734E-5</v>
          </cell>
          <cell r="M111">
            <v>1.8464800464646896E-5</v>
          </cell>
          <cell r="N111">
            <v>3.9590206495592183E-5</v>
          </cell>
          <cell r="O111">
            <v>3.061104532367369E-5</v>
          </cell>
          <cell r="P111">
            <v>6.9334175325656863E-5</v>
          </cell>
        </row>
        <row r="112">
          <cell r="A112" t="str">
            <v>AUX_H2STG_IN</v>
          </cell>
          <cell r="B112" t="str">
            <v>VAR_fin</v>
          </cell>
          <cell r="C112" t="str">
            <v>STG-H2</v>
          </cell>
          <cell r="H112">
            <v>7.3509498099199379E-6</v>
          </cell>
          <cell r="I112">
            <v>2.3702132558704547E-5</v>
          </cell>
          <cell r="J112">
            <v>2.0969545637963992E-5</v>
          </cell>
          <cell r="K112">
            <v>1.9956105097520859E-5</v>
          </cell>
          <cell r="L112">
            <v>4.6376132505085739E-5</v>
          </cell>
          <cell r="M112">
            <v>3.2394842637417709E-5</v>
          </cell>
          <cell r="N112">
            <v>6.4172416512799397E-5</v>
          </cell>
          <cell r="O112">
            <v>5.0801696581856938E-5</v>
          </cell>
          <cell r="P112">
            <v>1.1265036522915017E-4</v>
          </cell>
        </row>
        <row r="113">
          <cell r="A113" t="str">
            <v>AUX_H2STG_IN</v>
          </cell>
          <cell r="B113" t="str">
            <v>VAR_fin</v>
          </cell>
          <cell r="C113" t="str">
            <v>STG-H2</v>
          </cell>
          <cell r="H113">
            <v>1.2295670538143372E-5</v>
          </cell>
          <cell r="I113">
            <v>3.3358528875249714E-5</v>
          </cell>
          <cell r="J113">
            <v>3.5612116089407595E-5</v>
          </cell>
          <cell r="K113">
            <v>3.8549336398895576E-5</v>
          </cell>
          <cell r="L113">
            <v>7.4929797968339396E-5</v>
          </cell>
          <cell r="M113">
            <v>6.5994831751684514E-5</v>
          </cell>
          <cell r="N113">
            <v>1.198792747152487E-4</v>
          </cell>
          <cell r="O113">
            <v>1.2961019264324494E-4</v>
          </cell>
          <cell r="P113">
            <v>2.7931334200193681E-4</v>
          </cell>
        </row>
        <row r="114">
          <cell r="A114" t="str">
            <v>H2</v>
          </cell>
          <cell r="B114" t="str">
            <v>VAR_fout</v>
          </cell>
          <cell r="C114" t="str">
            <v>SUP_NGAH2</v>
          </cell>
          <cell r="L114">
            <v>9.6977741118472625E-4</v>
          </cell>
          <cell r="M114">
            <v>9.8598148303653192E-4</v>
          </cell>
          <cell r="N114">
            <v>1.5250625042868907E-3</v>
          </cell>
          <cell r="O114">
            <v>1.5604706133434767E-3</v>
          </cell>
          <cell r="P114">
            <v>3.2317981561360361E-3</v>
          </cell>
        </row>
        <row r="115">
          <cell r="A115" t="str">
            <v>H2</v>
          </cell>
          <cell r="B115" t="str">
            <v>VAR_fout</v>
          </cell>
          <cell r="C115" t="str">
            <v>STG-H2</v>
          </cell>
          <cell r="H115">
            <v>7.7528666784843584E-6</v>
          </cell>
          <cell r="I115">
            <v>1.7719102155649775E-5</v>
          </cell>
          <cell r="J115">
            <v>2.2559121502833652E-5</v>
          </cell>
          <cell r="K115">
            <v>2.1188153038399442E-5</v>
          </cell>
          <cell r="L115">
            <v>4.9525787672471116E-5</v>
          </cell>
          <cell r="M115">
            <v>3.6373932524226924E-5</v>
          </cell>
          <cell r="N115">
            <v>7.2073870122602319E-5</v>
          </cell>
          <cell r="O115">
            <v>6.9293001820761995E-5</v>
          </cell>
          <cell r="P115">
            <v>1.4413637736805377E-4</v>
          </cell>
        </row>
        <row r="116">
          <cell r="A116" t="str">
            <v>H2</v>
          </cell>
          <cell r="B116" t="str">
            <v>VAR_fout</v>
          </cell>
          <cell r="C116" t="str">
            <v>STG-H2</v>
          </cell>
          <cell r="H116">
            <v>3.2943967233930935E-5</v>
          </cell>
          <cell r="I116">
            <v>8.691410189408738E-5</v>
          </cell>
          <cell r="J116">
            <v>9.4053966719650188E-5</v>
          </cell>
          <cell r="K116">
            <v>9.4445661277197274E-5</v>
          </cell>
          <cell r="L116">
            <v>1.9976963088467602E-4</v>
          </cell>
          <cell r="M116">
            <v>1.5517025964575435E-4</v>
          </cell>
          <cell r="N116">
            <v>2.9472475977333171E-4</v>
          </cell>
          <cell r="O116">
            <v>2.7916715142679941E-4</v>
          </cell>
          <cell r="P116">
            <v>6.0122578489422616E-4</v>
          </cell>
        </row>
        <row r="117">
          <cell r="A117" t="str">
            <v>H2</v>
          </cell>
          <cell r="B117" t="str">
            <v>VAR_fout</v>
          </cell>
          <cell r="C117" t="str">
            <v>STG-H2</v>
          </cell>
          <cell r="H117">
            <v>1.0941022039078932E-5</v>
          </cell>
          <cell r="I117">
            <v>2.9402103576359645E-5</v>
          </cell>
          <cell r="J117">
            <v>2.8891454663064991E-5</v>
          </cell>
          <cell r="K117">
            <v>3.1160680541445964E-5</v>
          </cell>
          <cell r="L117">
            <v>6.941090749504004E-5</v>
          </cell>
          <cell r="M117">
            <v>5.8201993994999578E-5</v>
          </cell>
          <cell r="N117">
            <v>1.0569710574102333E-4</v>
          </cell>
          <cell r="O117">
            <v>1.0508209690302583E-4</v>
          </cell>
          <cell r="P117">
            <v>2.2887069599589546E-4</v>
          </cell>
        </row>
        <row r="118">
          <cell r="A118" t="str">
            <v>H2</v>
          </cell>
          <cell r="B118" t="str">
            <v>VAR_fout</v>
          </cell>
          <cell r="C118" t="str">
            <v>STG-H2</v>
          </cell>
          <cell r="H118">
            <v>6.8612848994740083E-6</v>
          </cell>
          <cell r="I118">
            <v>2.2015680969333058E-5</v>
          </cell>
          <cell r="J118">
            <v>2.5187288226182956E-5</v>
          </cell>
          <cell r="K118">
            <v>2.5002179000900967E-5</v>
          </cell>
          <cell r="L118">
            <v>5.0822244934320136E-5</v>
          </cell>
          <cell r="M118">
            <v>3.4992760186134865E-5</v>
          </cell>
          <cell r="N118">
            <v>7.5187524133705916E-5</v>
          </cell>
          <cell r="O118">
            <v>6.3122982336664239E-5</v>
          </cell>
          <cell r="P118">
            <v>1.3939042496066765E-4</v>
          </cell>
        </row>
        <row r="119">
          <cell r="A119" t="str">
            <v>H2</v>
          </cell>
          <cell r="B119" t="str">
            <v>VAR_fout</v>
          </cell>
          <cell r="C119" t="str">
            <v>STG-H2</v>
          </cell>
          <cell r="H119">
            <v>7.3887936168936799E-6</v>
          </cell>
          <cell r="I119">
            <v>1.7777215192745045E-5</v>
          </cell>
          <cell r="J119">
            <v>1.7416102327568521E-5</v>
          </cell>
          <cell r="K119">
            <v>1.7094648696450911E-5</v>
          </cell>
          <cell r="L119">
            <v>3.0010690782844763E-5</v>
          </cell>
          <cell r="M119">
            <v>2.5601572940393094E-5</v>
          </cell>
          <cell r="N119">
            <v>4.176625977599981E-5</v>
          </cell>
          <cell r="O119">
            <v>4.1669070366348196E-5</v>
          </cell>
          <cell r="P119">
            <v>8.8828286569608372E-5</v>
          </cell>
        </row>
        <row r="120">
          <cell r="A120" t="str">
            <v>H2</v>
          </cell>
          <cell r="B120" t="str">
            <v>VAR_fout</v>
          </cell>
          <cell r="C120" t="str">
            <v>IMPH2</v>
          </cell>
          <cell r="J120">
            <v>2.2676855589104138E-3</v>
          </cell>
          <cell r="K120">
            <v>2.2762046501962167E-3</v>
          </cell>
          <cell r="L120">
            <v>1.3089865924287307E-3</v>
          </cell>
          <cell r="M120">
            <v>6.1622697707120497E-4</v>
          </cell>
          <cell r="N120">
            <v>1.4739045528837113E-3</v>
          </cell>
          <cell r="O120">
            <v>1.0370890988300793E-3</v>
          </cell>
          <cell r="P120">
            <v>2.3391577890773787E-3</v>
          </cell>
        </row>
        <row r="121">
          <cell r="A121" t="str">
            <v>H2</v>
          </cell>
          <cell r="B121" t="str">
            <v>VAR_fout</v>
          </cell>
          <cell r="C121" t="str">
            <v>SUP_WODH2</v>
          </cell>
          <cell r="L121">
            <v>6.5162536870063516E-3</v>
          </cell>
          <cell r="M121">
            <v>6.2245698225376206E-3</v>
          </cell>
          <cell r="N121">
            <v>8.7966033824417086E-3</v>
          </cell>
          <cell r="O121">
            <v>9.1008779426345159E-3</v>
          </cell>
          <cell r="P121">
            <v>3.1708211099098056E-2</v>
          </cell>
        </row>
        <row r="122">
          <cell r="A122" t="str">
            <v>H2</v>
          </cell>
          <cell r="B122" t="str">
            <v>VAR_fout</v>
          </cell>
          <cell r="C122" t="str">
            <v>SUP_ELCH2_SOEC</v>
          </cell>
          <cell r="J122">
            <v>8.1018579166751131E-3</v>
          </cell>
          <cell r="K122">
            <v>1.0199311503785297E-2</v>
          </cell>
          <cell r="L122">
            <v>1.3503098995526866E-2</v>
          </cell>
          <cell r="M122">
            <v>1.2126617112526274E-2</v>
          </cell>
          <cell r="N122">
            <v>1.3523994044488981E-2</v>
          </cell>
          <cell r="O122">
            <v>1.3325296302615929E-2</v>
          </cell>
          <cell r="P122">
            <v>2.5711665009375419E-2</v>
          </cell>
        </row>
        <row r="123">
          <cell r="A123" t="str">
            <v>H2</v>
          </cell>
          <cell r="B123" t="str">
            <v>VAR_fout</v>
          </cell>
          <cell r="C123" t="str">
            <v>SUP_ELCH2</v>
          </cell>
          <cell r="E123">
            <v>3.3091345609415597E-3</v>
          </cell>
          <cell r="F123">
            <v>4.4876865337928071E-3</v>
          </cell>
          <cell r="G123">
            <v>4.5156040766261563E-3</v>
          </cell>
          <cell r="H123">
            <v>7.7302019585170642E-3</v>
          </cell>
          <cell r="I123">
            <v>2.2031884904026564E-2</v>
          </cell>
          <cell r="J123">
            <v>2.462920567883262E-2</v>
          </cell>
          <cell r="K123">
            <v>2.2337272423199148E-2</v>
          </cell>
          <cell r="L123">
            <v>0.10114876247995756</v>
          </cell>
          <cell r="M123">
            <v>0.11332236548470979</v>
          </cell>
          <cell r="N123">
            <v>0.49929158553287528</v>
          </cell>
          <cell r="O123">
            <v>0.54518778496406317</v>
          </cell>
          <cell r="P123">
            <v>0.53819306477070394</v>
          </cell>
        </row>
        <row r="124">
          <cell r="A124" t="str">
            <v>H2</v>
          </cell>
          <cell r="B124" t="str">
            <v>VAR_fout</v>
          </cell>
          <cell r="C124" t="str">
            <v>D-DH2</v>
          </cell>
          <cell r="H124">
            <v>1.0748466382244811E-5</v>
          </cell>
          <cell r="I124">
            <v>2.9431769514206034E-4</v>
          </cell>
          <cell r="J124">
            <v>9.9060967705763342E-4</v>
          </cell>
          <cell r="K124">
            <v>1.2284242321643742E-3</v>
          </cell>
          <cell r="L124">
            <v>1.272341311972991E-3</v>
          </cell>
          <cell r="M124">
            <v>1.2755860017817562E-3</v>
          </cell>
          <cell r="N124">
            <v>1.3132050144235262E-3</v>
          </cell>
          <cell r="O124">
            <v>1.0759562024089009E-3</v>
          </cell>
          <cell r="P124">
            <v>2.1274377642413497E-3</v>
          </cell>
        </row>
        <row r="125">
          <cell r="A125" t="str">
            <v>H2</v>
          </cell>
          <cell r="B125" t="str">
            <v>VAR_fin</v>
          </cell>
          <cell r="C125" t="str">
            <v>STG-H2</v>
          </cell>
          <cell r="H125">
            <v>7.3436078059958275E-6</v>
          </cell>
          <cell r="I125">
            <v>1.8839835999018327E-5</v>
          </cell>
          <cell r="J125">
            <v>2.3703276140806117E-5</v>
          </cell>
          <cell r="K125">
            <v>2.2825279425530714E-5</v>
          </cell>
          <cell r="L125">
            <v>4.7661988313244926E-5</v>
          </cell>
          <cell r="M125">
            <v>3.9874576264219291E-5</v>
          </cell>
          <cell r="N125">
            <v>7.4050189325023267E-5</v>
          </cell>
          <cell r="O125">
            <v>7.0958481461865284E-5</v>
          </cell>
          <cell r="P125">
            <v>1.459800211587181E-4</v>
          </cell>
        </row>
        <row r="126">
          <cell r="A126" t="str">
            <v>H2</v>
          </cell>
          <cell r="B126" t="str">
            <v>VAR_fin</v>
          </cell>
          <cell r="C126" t="str">
            <v>STG-H2</v>
          </cell>
          <cell r="H126">
            <v>3.3274855436172161E-5</v>
          </cell>
          <cell r="I126">
            <v>8.7543462388647104E-5</v>
          </cell>
          <cell r="J126">
            <v>9.499783385607803E-5</v>
          </cell>
          <cell r="K126">
            <v>9.5393578527805183E-5</v>
          </cell>
          <cell r="L126">
            <v>2.0178761827181711E-4</v>
          </cell>
          <cell r="M126">
            <v>1.5672905111796856E-4</v>
          </cell>
          <cell r="N126">
            <v>2.9769208704866343E-4</v>
          </cell>
          <cell r="O126">
            <v>2.8198141601064113E-4</v>
          </cell>
          <cell r="P126">
            <v>6.0727790371546133E-4</v>
          </cell>
        </row>
        <row r="127">
          <cell r="A127" t="str">
            <v>H2</v>
          </cell>
          <cell r="B127" t="str">
            <v>VAR_fin</v>
          </cell>
          <cell r="C127" t="str">
            <v>STG-H2</v>
          </cell>
          <cell r="H127">
            <v>6.2846272821130666E-6</v>
          </cell>
          <cell r="I127">
            <v>1.1642964955674664E-5</v>
          </cell>
          <cell r="J127">
            <v>1.4712895987900236E-5</v>
          </cell>
          <cell r="K127">
            <v>1.4062857605858035E-5</v>
          </cell>
          <cell r="L127">
            <v>3.281969948514734E-5</v>
          </cell>
          <cell r="M127">
            <v>1.8464800464646896E-5</v>
          </cell>
          <cell r="N127">
            <v>3.9590206495592183E-5</v>
          </cell>
          <cell r="O127">
            <v>3.061104532367369E-5</v>
          </cell>
          <cell r="P127">
            <v>6.9334175325656863E-5</v>
          </cell>
        </row>
        <row r="128">
          <cell r="A128" t="str">
            <v>H2</v>
          </cell>
          <cell r="B128" t="str">
            <v>VAR_fin</v>
          </cell>
          <cell r="C128" t="str">
            <v>STG-H2</v>
          </cell>
          <cell r="H128">
            <v>7.3509498099199379E-6</v>
          </cell>
          <cell r="I128">
            <v>2.3702132558704547E-5</v>
          </cell>
          <cell r="J128">
            <v>2.0969545637963992E-5</v>
          </cell>
          <cell r="K128">
            <v>1.9956105097520859E-5</v>
          </cell>
          <cell r="L128">
            <v>4.6376132505085739E-5</v>
          </cell>
          <cell r="M128">
            <v>3.2394842637417709E-5</v>
          </cell>
          <cell r="N128">
            <v>6.4172416512799397E-5</v>
          </cell>
          <cell r="O128">
            <v>5.0801696581856938E-5</v>
          </cell>
          <cell r="P128">
            <v>1.1265036522915017E-4</v>
          </cell>
        </row>
        <row r="129">
          <cell r="A129" t="str">
            <v>H2</v>
          </cell>
          <cell r="B129" t="str">
            <v>VAR_fin</v>
          </cell>
          <cell r="C129" t="str">
            <v>STG-H2</v>
          </cell>
          <cell r="H129">
            <v>1.2295670538143372E-5</v>
          </cell>
          <cell r="I129">
            <v>3.3358528875249714E-5</v>
          </cell>
          <cell r="J129">
            <v>3.5612116089407595E-5</v>
          </cell>
          <cell r="K129">
            <v>3.8549336398895576E-5</v>
          </cell>
          <cell r="L129">
            <v>7.4929797968339396E-5</v>
          </cell>
          <cell r="M129">
            <v>6.5994831751684514E-5</v>
          </cell>
          <cell r="N129">
            <v>1.198792747152487E-4</v>
          </cell>
          <cell r="O129">
            <v>1.2961019264324494E-4</v>
          </cell>
          <cell r="P129">
            <v>2.7931334200193681E-4</v>
          </cell>
        </row>
        <row r="130">
          <cell r="A130" t="str">
            <v>H2</v>
          </cell>
          <cell r="B130" t="str">
            <v>VAR_fin</v>
          </cell>
          <cell r="C130" t="str">
            <v>D-ENGA</v>
          </cell>
          <cell r="J130">
            <v>2.5950932194909754E-3</v>
          </cell>
          <cell r="K130">
            <v>2.7775372810027021E-3</v>
          </cell>
          <cell r="L130">
            <v>4.5533458138874647E-3</v>
          </cell>
          <cell r="M130">
            <v>4.9175356911329415E-3</v>
          </cell>
          <cell r="N130">
            <v>4.9117559590655509E-2</v>
          </cell>
          <cell r="O130">
            <v>3.6547951198217098E-2</v>
          </cell>
          <cell r="P130">
            <v>3.6792116341657868E-2</v>
          </cell>
        </row>
        <row r="131">
          <cell r="A131" t="str">
            <v>H2</v>
          </cell>
          <cell r="B131" t="str">
            <v>VAR_fin</v>
          </cell>
          <cell r="C131" t="str">
            <v>D-TNGA</v>
          </cell>
          <cell r="F131">
            <v>1.4783186821738265E-3</v>
          </cell>
          <cell r="G131">
            <v>1.586104029475847E-3</v>
          </cell>
          <cell r="H131">
            <v>3.0071112046500703E-5</v>
          </cell>
          <cell r="I131">
            <v>3.6660099186218766E-5</v>
          </cell>
          <cell r="J131">
            <v>3.6458111970988541E-5</v>
          </cell>
          <cell r="K131">
            <v>3.6819997825791497E-5</v>
          </cell>
          <cell r="L131">
            <v>4.2212893702154248E-5</v>
          </cell>
          <cell r="M131">
            <v>3.7423368365873697E-5</v>
          </cell>
          <cell r="N131">
            <v>4.0896397051573968E-5</v>
          </cell>
          <cell r="O131">
            <v>3.9056741600233303E-5</v>
          </cell>
          <cell r="P131">
            <v>4.3674788488163632E-5</v>
          </cell>
        </row>
        <row r="132">
          <cell r="A132" t="str">
            <v>H2</v>
          </cell>
          <cell r="B132" t="str">
            <v>VAR_fin</v>
          </cell>
          <cell r="C132" t="str">
            <v>D-SNGA</v>
          </cell>
          <cell r="H132">
            <v>1.3317309938020148E-3</v>
          </cell>
          <cell r="I132">
            <v>3.1213755762765465E-3</v>
          </cell>
          <cell r="J132">
            <v>3.4140461135329266E-3</v>
          </cell>
          <cell r="K132">
            <v>3.2046415229619956E-3</v>
          </cell>
          <cell r="L132">
            <v>1.1098737389382109E-2</v>
          </cell>
          <cell r="M132">
            <v>9.5951022963978137E-3</v>
          </cell>
          <cell r="N132">
            <v>5.3651982307105113E-2</v>
          </cell>
          <cell r="O132">
            <v>6.7147133820594729E-2</v>
          </cell>
          <cell r="P132">
            <v>7.066262851909634E-2</v>
          </cell>
        </row>
        <row r="133">
          <cell r="A133" t="str">
            <v>H2</v>
          </cell>
          <cell r="B133" t="str">
            <v>VAR_fin</v>
          </cell>
          <cell r="C133" t="str">
            <v>D-RNGA</v>
          </cell>
          <cell r="H133">
            <v>1.1544472483752655E-3</v>
          </cell>
          <cell r="I133">
            <v>2.8460268181899075E-3</v>
          </cell>
          <cell r="J133">
            <v>3.3412759658911521E-3</v>
          </cell>
          <cell r="K133">
            <v>3.9415310001416765E-3</v>
          </cell>
          <cell r="L133">
            <v>1.1683006038530083E-2</v>
          </cell>
          <cell r="M133">
            <v>1.081206634706976E-2</v>
          </cell>
          <cell r="N133">
            <v>9.225457752935283E-2</v>
          </cell>
          <cell r="O133">
            <v>0.11330697240531792</v>
          </cell>
          <cell r="P133">
            <v>0.10761126951152913</v>
          </cell>
        </row>
        <row r="134">
          <cell r="A134" t="str">
            <v>H2</v>
          </cell>
          <cell r="B134" t="str">
            <v>VAR_fin</v>
          </cell>
          <cell r="C134" t="str">
            <v>D-INGA</v>
          </cell>
          <cell r="H134">
            <v>2.7613571959470128E-3</v>
          </cell>
          <cell r="I134">
            <v>9.2778499523337356E-3</v>
          </cell>
          <cell r="J134">
            <v>1.4711938891555533E-2</v>
          </cell>
          <cell r="K134">
            <v>1.3780415498830256E-2</v>
          </cell>
          <cell r="L134">
            <v>7.4670072823475819E-2</v>
          </cell>
          <cell r="M134">
            <v>8.8377737302223244E-2</v>
          </cell>
          <cell r="N134">
            <v>0.17382386936907432</v>
          </cell>
          <cell r="O134">
            <v>0.19672944938500736</v>
          </cell>
          <cell r="P134">
            <v>0.18507913404240484</v>
          </cell>
        </row>
        <row r="135">
          <cell r="A135" t="str">
            <v>AUX_H2STG_OUT</v>
          </cell>
          <cell r="B135" t="str">
            <v>VAR_fout</v>
          </cell>
          <cell r="C135" t="str">
            <v>STG-H2</v>
          </cell>
          <cell r="H135">
            <v>7.7528666784843584E-6</v>
          </cell>
          <cell r="I135">
            <v>1.7719102155649775E-5</v>
          </cell>
          <cell r="J135">
            <v>2.2559121502833652E-5</v>
          </cell>
          <cell r="K135">
            <v>2.1188153038399442E-5</v>
          </cell>
          <cell r="L135">
            <v>4.9525787672471116E-5</v>
          </cell>
          <cell r="M135">
            <v>3.6373932524226924E-5</v>
          </cell>
          <cell r="N135">
            <v>7.2073870122602319E-5</v>
          </cell>
          <cell r="O135">
            <v>6.9293001820761995E-5</v>
          </cell>
          <cell r="P135">
            <v>1.4413637736805377E-4</v>
          </cell>
        </row>
        <row r="136">
          <cell r="A136" t="str">
            <v>AUX_H2STG_OUT</v>
          </cell>
          <cell r="B136" t="str">
            <v>VAR_fout</v>
          </cell>
          <cell r="C136" t="str">
            <v>STG-H2</v>
          </cell>
          <cell r="H136">
            <v>3.2943967233930935E-5</v>
          </cell>
          <cell r="I136">
            <v>8.691410189408738E-5</v>
          </cell>
          <cell r="J136">
            <v>9.4053966719650188E-5</v>
          </cell>
          <cell r="K136">
            <v>9.4445661277197274E-5</v>
          </cell>
          <cell r="L136">
            <v>1.9976963088467605E-4</v>
          </cell>
          <cell r="M136">
            <v>1.5517025964575435E-4</v>
          </cell>
          <cell r="N136">
            <v>2.9472475977333171E-4</v>
          </cell>
          <cell r="O136">
            <v>2.7916715142679941E-4</v>
          </cell>
          <cell r="P136">
            <v>6.0122578489422616E-4</v>
          </cell>
        </row>
        <row r="137">
          <cell r="A137" t="str">
            <v>AUX_H2STG_OUT</v>
          </cell>
          <cell r="B137" t="str">
            <v>VAR_fout</v>
          </cell>
          <cell r="C137" t="str">
            <v>STG-H2</v>
          </cell>
          <cell r="H137">
            <v>1.0941022039078932E-5</v>
          </cell>
          <cell r="I137">
            <v>2.9402103576359645E-5</v>
          </cell>
          <cell r="J137">
            <v>2.8891454663064991E-5</v>
          </cell>
          <cell r="K137">
            <v>3.1160680541445964E-5</v>
          </cell>
          <cell r="L137">
            <v>6.9410907495040053E-5</v>
          </cell>
          <cell r="M137">
            <v>5.8201993994999578E-5</v>
          </cell>
          <cell r="N137">
            <v>1.0569710574102333E-4</v>
          </cell>
          <cell r="O137">
            <v>1.0508209690302583E-4</v>
          </cell>
          <cell r="P137">
            <v>2.2887069599589546E-4</v>
          </cell>
        </row>
        <row r="138">
          <cell r="A138" t="str">
            <v>AUX_H2STG_OUT</v>
          </cell>
          <cell r="B138" t="str">
            <v>VAR_fout</v>
          </cell>
          <cell r="C138" t="str">
            <v>STG-H2</v>
          </cell>
          <cell r="H138">
            <v>6.8612848994740083E-6</v>
          </cell>
          <cell r="I138">
            <v>2.2015680969333085E-5</v>
          </cell>
          <cell r="J138">
            <v>2.5187288226182956E-5</v>
          </cell>
          <cell r="K138">
            <v>2.5002179000900967E-5</v>
          </cell>
          <cell r="L138">
            <v>5.0822244934320136E-5</v>
          </cell>
          <cell r="M138">
            <v>3.4992760186134865E-5</v>
          </cell>
          <cell r="N138">
            <v>7.5187524133705916E-5</v>
          </cell>
          <cell r="O138">
            <v>6.3122982336664239E-5</v>
          </cell>
          <cell r="P138">
            <v>1.3939042496066765E-4</v>
          </cell>
        </row>
        <row r="139">
          <cell r="A139" t="str">
            <v>AUX_H2STG_OUT</v>
          </cell>
          <cell r="B139" t="str">
            <v>VAR_fout</v>
          </cell>
          <cell r="C139" t="str">
            <v>STG-H2</v>
          </cell>
          <cell r="H139">
            <v>7.3887936168936926E-6</v>
          </cell>
          <cell r="I139">
            <v>1.7777215192745045E-5</v>
          </cell>
          <cell r="J139">
            <v>1.7416102327568521E-5</v>
          </cell>
          <cell r="K139">
            <v>1.7094648696450911E-5</v>
          </cell>
          <cell r="L139">
            <v>3.001069078284478E-5</v>
          </cell>
          <cell r="M139">
            <v>2.5601572940393094E-5</v>
          </cell>
          <cell r="N139">
            <v>4.176625977599981E-5</v>
          </cell>
          <cell r="O139">
            <v>4.1669070366348243E-5</v>
          </cell>
          <cell r="P139">
            <v>8.8828286569608372E-5</v>
          </cell>
        </row>
        <row r="140">
          <cell r="A140" t="str">
            <v>RNGA</v>
          </cell>
          <cell r="B140" t="str">
            <v>VAR_fout</v>
          </cell>
          <cell r="C140" t="str">
            <v>D-RNGA</v>
          </cell>
          <cell r="E140">
            <v>47.179782326515209</v>
          </cell>
          <cell r="F140">
            <v>48.283000753695106</v>
          </cell>
          <cell r="G140">
            <v>51.500856974085941</v>
          </cell>
          <cell r="H140">
            <v>54.80290454767043</v>
          </cell>
          <cell r="I140">
            <v>57.136962683375998</v>
          </cell>
          <cell r="J140">
            <v>56.390872027384724</v>
          </cell>
          <cell r="K140">
            <v>55.208680033715211</v>
          </cell>
          <cell r="L140">
            <v>55.514574829170577</v>
          </cell>
          <cell r="M140">
            <v>53.073697102632046</v>
          </cell>
          <cell r="N140">
            <v>50.183477527151226</v>
          </cell>
          <cell r="O140">
            <v>51.51418255142336</v>
          </cell>
          <cell r="P140">
            <v>43.793208300300186</v>
          </cell>
        </row>
        <row r="141">
          <cell r="A141" t="str">
            <v>CWOD</v>
          </cell>
          <cell r="B141" t="str">
            <v>VAR_fout</v>
          </cell>
          <cell r="C141" t="str">
            <v>D-CWOD</v>
          </cell>
          <cell r="E141">
            <v>9.2994160940062276</v>
          </cell>
          <cell r="F141">
            <v>10.113242848544466</v>
          </cell>
          <cell r="G141">
            <v>9.875560393637679</v>
          </cell>
          <cell r="H141">
            <v>8.5109480530706172</v>
          </cell>
          <cell r="I141">
            <v>8.8472156932729558</v>
          </cell>
          <cell r="J141">
            <v>9.3853450668865239</v>
          </cell>
          <cell r="K141">
            <v>9.3095950657221795</v>
          </cell>
          <cell r="L141">
            <v>10.060385703888322</v>
          </cell>
          <cell r="M141">
            <v>10.252887300185787</v>
          </cell>
          <cell r="N141">
            <v>10.742877198692609</v>
          </cell>
          <cell r="O141">
            <v>13.093360851611248</v>
          </cell>
          <cell r="P141">
            <v>13.740512461898557</v>
          </cell>
        </row>
        <row r="142">
          <cell r="A142" t="str">
            <v>CWOD</v>
          </cell>
          <cell r="B142" t="str">
            <v>VAR_fin</v>
          </cell>
          <cell r="C142" t="str">
            <v>SUP_WODH2</v>
          </cell>
          <cell r="L142">
            <v>1.0860422811677243E-2</v>
          </cell>
          <cell r="M142">
            <v>1.037428303756271E-2</v>
          </cell>
          <cell r="N142">
            <v>1.4661005637402863E-2</v>
          </cell>
          <cell r="O142">
            <v>1.5168129904390877E-2</v>
          </cell>
          <cell r="P142">
            <v>5.2847018498496726E-2</v>
          </cell>
        </row>
        <row r="143">
          <cell r="A143" t="str">
            <v>CWOD</v>
          </cell>
          <cell r="B143" t="str">
            <v>VAR_fin</v>
          </cell>
          <cell r="C143" t="str">
            <v>SUP_WODBIO</v>
          </cell>
          <cell r="F143">
            <v>8.1195793722789599E-5</v>
          </cell>
          <cell r="G143">
            <v>1.7846875645459974E-4</v>
          </cell>
          <cell r="H143">
            <v>3.9290710446647341E-4</v>
          </cell>
          <cell r="I143">
            <v>6.0943546881135852E-4</v>
          </cell>
          <cell r="J143">
            <v>6.4900934480721553E-4</v>
          </cell>
          <cell r="K143">
            <v>6.6783156704029744E-4</v>
          </cell>
          <cell r="L143">
            <v>8.4258080503922441E-4</v>
          </cell>
          <cell r="M143">
            <v>8.6629723538806541E-4</v>
          </cell>
          <cell r="N143">
            <v>1.0324648204032164E-3</v>
          </cell>
          <cell r="O143">
            <v>1.0862011973499044E-3</v>
          </cell>
          <cell r="P143">
            <v>2.0175056815172165E-3</v>
          </cell>
        </row>
        <row r="144">
          <cell r="A144" t="str">
            <v>CWOD</v>
          </cell>
          <cell r="B144" t="str">
            <v>VAR_fin</v>
          </cell>
          <cell r="C144" t="str">
            <v>CT_CWODBDS</v>
          </cell>
          <cell r="E144">
            <v>1.7895783388492545</v>
          </cell>
          <cell r="F144">
            <v>1.8158770360130703</v>
          </cell>
          <cell r="G144">
            <v>1.7978039722868513</v>
          </cell>
          <cell r="H144">
            <v>1.100778823319611E-3</v>
          </cell>
          <cell r="I144">
            <v>8.7686702025973782E-4</v>
          </cell>
          <cell r="J144">
            <v>2.1821171586991765E-3</v>
          </cell>
          <cell r="K144">
            <v>2.7441352402101855E-3</v>
          </cell>
          <cell r="L144">
            <v>0.59439505561267014</v>
          </cell>
          <cell r="M144">
            <v>0.81264103858058567</v>
          </cell>
          <cell r="N144">
            <v>1.3251656557409333</v>
          </cell>
          <cell r="O144">
            <v>3.7477096934656089</v>
          </cell>
          <cell r="P144">
            <v>4.499239023035611</v>
          </cell>
        </row>
        <row r="145">
          <cell r="A145" t="str">
            <v>CWOD</v>
          </cell>
          <cell r="B145" t="str">
            <v>VAR_fin</v>
          </cell>
          <cell r="C145" t="str">
            <v>CT_CWODPLT</v>
          </cell>
          <cell r="E145">
            <v>7.118632643429601</v>
          </cell>
          <cell r="F145">
            <v>8.2972094500069922</v>
          </cell>
          <cell r="G145">
            <v>8.076307148095232</v>
          </cell>
          <cell r="H145">
            <v>8.5092934915108245</v>
          </cell>
          <cell r="I145">
            <v>8.8455027330764846</v>
          </cell>
          <cell r="J145">
            <v>9.3822498813030322</v>
          </cell>
          <cell r="K145">
            <v>9.3059071507403388</v>
          </cell>
          <cell r="L145">
            <v>9.4534934657762708</v>
          </cell>
          <cell r="M145">
            <v>9.4284487512510822</v>
          </cell>
          <cell r="N145">
            <v>9.4009251078475593</v>
          </cell>
          <cell r="O145">
            <v>9.328338790463043</v>
          </cell>
          <cell r="P145">
            <v>9.1841934774840421</v>
          </cell>
        </row>
        <row r="146">
          <cell r="A146" t="str">
            <v>CWOD</v>
          </cell>
          <cell r="B146" t="str">
            <v>VAR_fin</v>
          </cell>
          <cell r="C146" t="str">
            <v>CT_CWODETH</v>
          </cell>
          <cell r="E146">
            <v>0.39120511172736638</v>
          </cell>
          <cell r="F146">
            <v>7.5166730679445271E-5</v>
          </cell>
          <cell r="G146">
            <v>1.2708044991511674E-3</v>
          </cell>
          <cell r="H146">
            <v>1.6087563200536915E-4</v>
          </cell>
          <cell r="I146">
            <v>2.2665770739449474E-4</v>
          </cell>
          <cell r="J146">
            <v>2.6405907998292932E-4</v>
          </cell>
          <cell r="K146">
            <v>2.7594817459030839E-4</v>
          </cell>
          <cell r="L146">
            <v>7.941788826634137E-4</v>
          </cell>
          <cell r="M146">
            <v>5.5693008118175389E-4</v>
          </cell>
          <cell r="N146">
            <v>1.0929646463097051E-3</v>
          </cell>
          <cell r="O146">
            <v>1.0580365808489892E-3</v>
          </cell>
          <cell r="P146">
            <v>2.2154371988850844E-3</v>
          </cell>
        </row>
        <row r="147">
          <cell r="A147" t="str">
            <v>BDS</v>
          </cell>
          <cell r="B147" t="str">
            <v>VAR_fout</v>
          </cell>
          <cell r="C147" t="str">
            <v>IMPBDS</v>
          </cell>
          <cell r="E147">
            <v>2.3895718924106442</v>
          </cell>
          <cell r="F147">
            <v>2.3780126338883383</v>
          </cell>
          <cell r="G147">
            <v>3.9194060466943825</v>
          </cell>
          <cell r="H147">
            <v>3.3627721463549225</v>
          </cell>
          <cell r="I147">
            <v>3.0181492963263192</v>
          </cell>
          <cell r="J147">
            <v>3.0161527606003604</v>
          </cell>
          <cell r="K147">
            <v>3.0159161788436561</v>
          </cell>
          <cell r="L147">
            <v>2.8094514831094664</v>
          </cell>
          <cell r="M147">
            <v>2.7317338511349387</v>
          </cell>
          <cell r="N147">
            <v>2.5530453841422638</v>
          </cell>
          <cell r="O147">
            <v>1.7023758913976963</v>
          </cell>
          <cell r="P147">
            <v>1.4416485884912185</v>
          </cell>
        </row>
        <row r="148">
          <cell r="A148" t="str">
            <v>BDS</v>
          </cell>
          <cell r="B148" t="str">
            <v>VAR_fout</v>
          </cell>
          <cell r="C148" t="str">
            <v>CT_CWODBDS</v>
          </cell>
          <cell r="E148">
            <v>0.6280324052813665</v>
          </cell>
          <cell r="F148">
            <v>0.63726163748484699</v>
          </cell>
          <cell r="G148">
            <v>0.63091909888992825</v>
          </cell>
          <cell r="H148">
            <v>3.863059565957575E-4</v>
          </cell>
          <cell r="I148">
            <v>3.0772662581496314E-4</v>
          </cell>
          <cell r="J148">
            <v>7.6578949243698063E-4</v>
          </cell>
          <cell r="K148">
            <v>9.6302342172668377E-4</v>
          </cell>
          <cell r="L148">
            <v>0.20859626447189672</v>
          </cell>
          <cell r="M148">
            <v>0.28518723936851592</v>
          </cell>
          <cell r="N148">
            <v>0.46505199359218613</v>
          </cell>
          <cell r="O148">
            <v>1.3152165971102321</v>
          </cell>
          <cell r="P148">
            <v>1.578957369024607</v>
          </cell>
        </row>
        <row r="149">
          <cell r="A149" t="str">
            <v>BDS</v>
          </cell>
          <cell r="B149" t="str">
            <v>VAR_fin</v>
          </cell>
          <cell r="C149" t="str">
            <v>D-ILFO</v>
          </cell>
          <cell r="G149">
            <v>1.2066058781348535E-4</v>
          </cell>
          <cell r="H149">
            <v>6.0582724139831906E-4</v>
          </cell>
          <cell r="I149">
            <v>6.3560048473718675E-4</v>
          </cell>
          <cell r="J149">
            <v>6.3699358366609785E-4</v>
          </cell>
          <cell r="K149">
            <v>6.4141598988132849E-4</v>
          </cell>
          <cell r="L149">
            <v>6.4702892327943155E-4</v>
          </cell>
          <cell r="M149">
            <v>6.4914729772159855E-4</v>
          </cell>
          <cell r="N149">
            <v>7.2207561000627463E-4</v>
          </cell>
          <cell r="O149">
            <v>7.4657361927878087E-4</v>
          </cell>
          <cell r="P149">
            <v>1.6878830951846449E-3</v>
          </cell>
        </row>
        <row r="150">
          <cell r="A150" t="str">
            <v>BDS</v>
          </cell>
          <cell r="B150" t="str">
            <v>VAR_fin</v>
          </cell>
          <cell r="C150" t="str">
            <v>D-SLFO</v>
          </cell>
          <cell r="G150">
            <v>9.0007095212298407E-5</v>
          </cell>
          <cell r="H150">
            <v>2.1084848127672409E-4</v>
          </cell>
          <cell r="I150">
            <v>4.4793749651467327E-4</v>
          </cell>
          <cell r="J150">
            <v>2.2054012992837898E-4</v>
          </cell>
          <cell r="K150">
            <v>2.1341885646593078E-4</v>
          </cell>
          <cell r="L150">
            <v>4.6165297519852648E-4</v>
          </cell>
          <cell r="M150">
            <v>2.21720537696935E-4</v>
          </cell>
          <cell r="N150">
            <v>4.575197158994133E-4</v>
          </cell>
          <cell r="O150">
            <v>3.4695379348140314E-4</v>
          </cell>
          <cell r="P150">
            <v>7.8566020138050459E-4</v>
          </cell>
        </row>
        <row r="151">
          <cell r="A151" t="str">
            <v>BDS</v>
          </cell>
          <cell r="B151" t="str">
            <v>VAR_fin</v>
          </cell>
          <cell r="C151" t="str">
            <v>D-RLFO</v>
          </cell>
          <cell r="G151">
            <v>9.0047150118142432E-5</v>
          </cell>
          <cell r="H151">
            <v>2.1226495897884909E-4</v>
          </cell>
          <cell r="I151">
            <v>4.4843232168835376E-4</v>
          </cell>
          <cell r="J151">
            <v>2.2078766912030849E-4</v>
          </cell>
          <cell r="K151">
            <v>2.1380083800530856E-4</v>
          </cell>
          <cell r="L151">
            <v>4.6254433468339835E-4</v>
          </cell>
          <cell r="M151">
            <v>2.2285810537218389E-4</v>
          </cell>
          <cell r="N151">
            <v>4.62782438273051E-4</v>
          </cell>
          <cell r="O151">
            <v>3.5083354648681315E-4</v>
          </cell>
          <cell r="P151">
            <v>8.0538747512801101E-4</v>
          </cell>
        </row>
        <row r="152">
          <cell r="A152" t="str">
            <v>BDS</v>
          </cell>
          <cell r="B152" t="str">
            <v>VAR_fin</v>
          </cell>
          <cell r="C152" t="str">
            <v>D-TBDS1</v>
          </cell>
          <cell r="E152">
            <v>3.0176042976920097</v>
          </cell>
          <cell r="F152">
            <v>3.0152742713731868</v>
          </cell>
          <cell r="G152">
            <v>4.5500328479293124</v>
          </cell>
          <cell r="H152">
            <v>3.3621324420477596</v>
          </cell>
          <cell r="I152">
            <v>3.016930375334244</v>
          </cell>
          <cell r="J152">
            <v>3.0158448748659743</v>
          </cell>
          <cell r="K152">
            <v>3.0158150010374865</v>
          </cell>
          <cell r="L152">
            <v>3.0164854082811043</v>
          </cell>
          <cell r="M152">
            <v>3.0158330447166848</v>
          </cell>
          <cell r="N152">
            <v>3.0164639497609311</v>
          </cell>
          <cell r="O152">
            <v>3.0161571183120106</v>
          </cell>
          <cell r="P152">
            <v>3.0173444638491915</v>
          </cell>
        </row>
        <row r="153">
          <cell r="A153" t="str">
            <v>BIO</v>
          </cell>
          <cell r="B153" t="str">
            <v>VAR_fout</v>
          </cell>
          <cell r="C153" t="str">
            <v>SUP_WSTHTGBIO</v>
          </cell>
          <cell r="J153">
            <v>6.9122107781936955E-4</v>
          </cell>
          <cell r="K153">
            <v>7.0259774917793053E-4</v>
          </cell>
          <cell r="L153">
            <v>6.6397884070237639E-4</v>
          </cell>
          <cell r="M153">
            <v>7.7520179245869165E-4</v>
          </cell>
          <cell r="N153">
            <v>8.8777757220510531E-4</v>
          </cell>
          <cell r="O153">
            <v>9.3383529143569312E-4</v>
          </cell>
          <cell r="P153">
            <v>1.7107733355905673E-3</v>
          </cell>
        </row>
        <row r="154">
          <cell r="A154" t="str">
            <v>BIO</v>
          </cell>
          <cell r="B154" t="str">
            <v>VAR_fout</v>
          </cell>
          <cell r="C154" t="str">
            <v>SUP_WSTBIO</v>
          </cell>
          <cell r="E154">
            <v>5.629412318063113</v>
          </cell>
          <cell r="F154">
            <v>5.7765902228992028</v>
          </cell>
          <cell r="G154">
            <v>5.5674085845971435</v>
          </cell>
          <cell r="H154">
            <v>5.7571131374435156</v>
          </cell>
          <cell r="I154">
            <v>5.7449428559978983</v>
          </cell>
          <cell r="J154">
            <v>5.5836631140335156</v>
          </cell>
          <cell r="K154">
            <v>5.4229282915132302</v>
          </cell>
          <cell r="L154">
            <v>5.2622253020102132</v>
          </cell>
          <cell r="M154">
            <v>5.2621517570354168</v>
          </cell>
          <cell r="N154">
            <v>5.2620430408879866</v>
          </cell>
          <cell r="O154">
            <v>5.2620086041287983</v>
          </cell>
          <cell r="P154">
            <v>5.26139653571403</v>
          </cell>
        </row>
        <row r="155">
          <cell r="A155" t="str">
            <v>BIO</v>
          </cell>
          <cell r="B155" t="str">
            <v>VAR_fout</v>
          </cell>
          <cell r="C155" t="str">
            <v>D-LBIO</v>
          </cell>
          <cell r="H155">
            <v>1.3910786748342417E-3</v>
          </cell>
          <cell r="I155">
            <v>1.4336504007338127E-2</v>
          </cell>
          <cell r="J155">
            <v>1.5966431113135521E-2</v>
          </cell>
          <cell r="K155">
            <v>2.1597324835880803E-3</v>
          </cell>
          <cell r="L155">
            <v>3.9420392389506445E-3</v>
          </cell>
          <cell r="M155">
            <v>2.1009409812567524E-3</v>
          </cell>
          <cell r="N155">
            <v>3.50391747134552E-3</v>
          </cell>
          <cell r="O155">
            <v>2.6953107582817163E-3</v>
          </cell>
          <cell r="P155">
            <v>5.6354320614359545E-3</v>
          </cell>
        </row>
        <row r="156">
          <cell r="A156" t="str">
            <v>BIO</v>
          </cell>
          <cell r="B156" t="str">
            <v>VAR_fout</v>
          </cell>
          <cell r="C156" t="str">
            <v>SUP_MNRBIO</v>
          </cell>
          <cell r="E156">
            <v>1.3280031627198881</v>
          </cell>
          <cell r="F156">
            <v>4.366322177000729</v>
          </cell>
          <cell r="G156">
            <v>4.3847082500832526</v>
          </cell>
          <cell r="H156">
            <v>4.3847632266199179</v>
          </cell>
          <cell r="I156">
            <v>4.3847643980313249</v>
          </cell>
          <cell r="J156">
            <v>4.3851758440321014</v>
          </cell>
          <cell r="K156">
            <v>4.3851826865725574</v>
          </cell>
          <cell r="L156">
            <v>4.3851941670467731</v>
          </cell>
          <cell r="M156">
            <v>4.3851982844414126</v>
          </cell>
          <cell r="N156">
            <v>4.3852235108776991</v>
          </cell>
          <cell r="O156">
            <v>4.3852600359977485</v>
          </cell>
          <cell r="P156">
            <v>4.3853575893985139</v>
          </cell>
        </row>
        <row r="157">
          <cell r="A157" t="str">
            <v>BIO</v>
          </cell>
          <cell r="B157" t="str">
            <v>VAR_fout</v>
          </cell>
          <cell r="C157" t="str">
            <v>SUP_WODBIO</v>
          </cell>
          <cell r="F157">
            <v>6.0145032387251627E-5</v>
          </cell>
          <cell r="G157">
            <v>1.3219907885525902E-4</v>
          </cell>
          <cell r="H157">
            <v>2.9104229960479473E-4</v>
          </cell>
          <cell r="I157">
            <v>4.5143368060100616E-4</v>
          </cell>
          <cell r="J157">
            <v>4.8074766282015972E-4</v>
          </cell>
          <cell r="K157">
            <v>4.9469004965947878E-4</v>
          </cell>
          <cell r="L157">
            <v>6.2413392965868458E-4</v>
          </cell>
          <cell r="M157">
            <v>6.4170165584301081E-4</v>
          </cell>
          <cell r="N157">
            <v>7.6478875585423334E-4</v>
          </cell>
          <cell r="O157">
            <v>8.0459347951844723E-4</v>
          </cell>
          <cell r="P157">
            <v>1.4944486529757156E-3</v>
          </cell>
        </row>
        <row r="158">
          <cell r="A158" t="str">
            <v>BIO</v>
          </cell>
          <cell r="B158" t="str">
            <v>VAR_fin</v>
          </cell>
          <cell r="C158" t="str">
            <v>D-IBIO</v>
          </cell>
          <cell r="E158">
            <v>0.43673267029149393</v>
          </cell>
          <cell r="F158">
            <v>0.55206685893644225</v>
          </cell>
          <cell r="G158">
            <v>0.95313303454226073</v>
          </cell>
          <cell r="H158">
            <v>2.2168889321866887</v>
          </cell>
          <cell r="I158">
            <v>3.6683616609161849</v>
          </cell>
          <cell r="J158">
            <v>5.7109670792628267</v>
          </cell>
          <cell r="K158">
            <v>5.7750295071035982</v>
          </cell>
          <cell r="L158">
            <v>5.7754413999220064</v>
          </cell>
          <cell r="M158">
            <v>5.7997830347435615</v>
          </cell>
          <cell r="N158">
            <v>6.1162782872669474</v>
          </cell>
          <cell r="O158">
            <v>6.1163395382348913</v>
          </cell>
          <cell r="P158">
            <v>6.1204189245320197</v>
          </cell>
        </row>
        <row r="159">
          <cell r="A159" t="str">
            <v>BIO</v>
          </cell>
          <cell r="B159" t="str">
            <v>VAR_fin</v>
          </cell>
          <cell r="C159" t="str">
            <v>D-EBIO</v>
          </cell>
          <cell r="E159">
            <v>1.183953063426149</v>
          </cell>
          <cell r="F159">
            <v>2.0246736866193751</v>
          </cell>
          <cell r="G159">
            <v>2.0246739935050653</v>
          </cell>
          <cell r="H159">
            <v>2.0246726726485171</v>
          </cell>
          <cell r="I159">
            <v>2.0246747505803349</v>
          </cell>
          <cell r="J159">
            <v>2.0246766337209423</v>
          </cell>
          <cell r="K159">
            <v>2.0246786694197878</v>
          </cell>
          <cell r="L159">
            <v>2.0246834095455641</v>
          </cell>
          <cell r="M159">
            <v>2.0246840673832054</v>
          </cell>
          <cell r="N159">
            <v>2.0246957222556072</v>
          </cell>
          <cell r="O159">
            <v>2.0247008085634461</v>
          </cell>
          <cell r="P159">
            <v>2.0247281695909938</v>
          </cell>
        </row>
        <row r="160">
          <cell r="A160" t="str">
            <v>BIO</v>
          </cell>
          <cell r="B160" t="str">
            <v>VAR_fin</v>
          </cell>
          <cell r="C160" t="str">
            <v>D-CBIO</v>
          </cell>
          <cell r="E160">
            <v>1.2890723565412294</v>
          </cell>
          <cell r="F160">
            <v>3.4992629888894746</v>
          </cell>
          <cell r="G160">
            <v>3.4791172218315669</v>
          </cell>
          <cell r="H160">
            <v>3.4790516388548354</v>
          </cell>
          <cell r="I160">
            <v>3.4790537342104182</v>
          </cell>
          <cell r="J160">
            <v>3.4778665956181252</v>
          </cell>
          <cell r="K160">
            <v>3.4778916353958809</v>
          </cell>
          <cell r="L160">
            <v>3.4794842235020793</v>
          </cell>
          <cell r="M160">
            <v>3.4793722503343743</v>
          </cell>
          <cell r="N160">
            <v>3.4803618970542654</v>
          </cell>
          <cell r="O160">
            <v>3.4803729125271143</v>
          </cell>
          <cell r="P160">
            <v>3.4838340377259054</v>
          </cell>
        </row>
        <row r="161">
          <cell r="A161" t="str">
            <v>BIO</v>
          </cell>
          <cell r="B161" t="str">
            <v>VAR_fin</v>
          </cell>
          <cell r="C161" t="str">
            <v>D-SBIO</v>
          </cell>
          <cell r="E161">
            <v>4.0477018834402987</v>
          </cell>
          <cell r="F161">
            <v>4.5834789601622532</v>
          </cell>
          <cell r="G161">
            <v>4.66247900000314</v>
          </cell>
          <cell r="H161">
            <v>4.6542984907350009</v>
          </cell>
          <cell r="I161">
            <v>4.7674741667079541</v>
          </cell>
          <cell r="J161">
            <v>4.8651972469804994</v>
          </cell>
          <cell r="K161">
            <v>4.9377928240647</v>
          </cell>
          <cell r="L161">
            <v>5.2412890442641027</v>
          </cell>
          <cell r="M161">
            <v>5.4370904050030644</v>
          </cell>
          <cell r="N161">
            <v>5.4374218302369535</v>
          </cell>
          <cell r="O161">
            <v>6.3927060169477041</v>
          </cell>
          <cell r="P161">
            <v>6.7045792190132358</v>
          </cell>
        </row>
        <row r="162">
          <cell r="A162" t="str">
            <v>TKERintl_SAF</v>
          </cell>
          <cell r="B162" t="str">
            <v>VAR_fout</v>
          </cell>
          <cell r="C162" t="str">
            <v>D-TBDS1intl</v>
          </cell>
          <cell r="H162">
            <v>5.4446755887527596</v>
          </cell>
          <cell r="I162">
            <v>5.7422448084435898</v>
          </cell>
          <cell r="J162">
            <v>5.9416206332580002</v>
          </cell>
          <cell r="K162">
            <v>6.0831817353740201</v>
          </cell>
          <cell r="L162">
            <v>6.2037436867992799</v>
          </cell>
          <cell r="M162">
            <v>6.20374399251076</v>
          </cell>
          <cell r="N162">
            <v>6.2037448961851904</v>
          </cell>
          <cell r="O162">
            <v>6.20374609514956</v>
          </cell>
          <cell r="P162">
            <v>6.3105236006040002</v>
          </cell>
        </row>
        <row r="163">
          <cell r="A163" t="str">
            <v>EBIO</v>
          </cell>
          <cell r="B163" t="str">
            <v>VAR_fout</v>
          </cell>
          <cell r="C163" t="str">
            <v>D-EBIO</v>
          </cell>
          <cell r="E163">
            <v>1.183953063426149</v>
          </cell>
          <cell r="F163">
            <v>2.0246736866193751</v>
          </cell>
          <cell r="G163">
            <v>2.0246739935050653</v>
          </cell>
          <cell r="H163">
            <v>2.0246726726485171</v>
          </cell>
          <cell r="I163">
            <v>2.0246747505803349</v>
          </cell>
          <cell r="J163">
            <v>2.0246766337209423</v>
          </cell>
          <cell r="K163">
            <v>2.0246786694197878</v>
          </cell>
          <cell r="L163">
            <v>2.0246834095455641</v>
          </cell>
          <cell r="M163">
            <v>2.0246840673832054</v>
          </cell>
          <cell r="N163">
            <v>2.0246957222556072</v>
          </cell>
          <cell r="O163">
            <v>2.0247008085634461</v>
          </cell>
          <cell r="P163">
            <v>2.0247281695909938</v>
          </cell>
        </row>
        <row r="164">
          <cell r="A164" t="str">
            <v>PLT</v>
          </cell>
          <cell r="B164" t="str">
            <v>VAR_fout</v>
          </cell>
          <cell r="C164" t="str">
            <v>CT_CWODPLT</v>
          </cell>
          <cell r="E164">
            <v>5.9796514204808719</v>
          </cell>
          <cell r="F164">
            <v>6.9696559380058689</v>
          </cell>
          <cell r="G164">
            <v>6.7840980043999908</v>
          </cell>
          <cell r="H164">
            <v>7.147806532869085</v>
          </cell>
          <cell r="I164">
            <v>7.4302222957842536</v>
          </cell>
          <cell r="J164">
            <v>7.8810899002945458</v>
          </cell>
          <cell r="K164">
            <v>7.8169620066218855</v>
          </cell>
          <cell r="L164">
            <v>7.9409345112520686</v>
          </cell>
          <cell r="M164">
            <v>7.9198969510509007</v>
          </cell>
          <cell r="N164">
            <v>7.896777090591943</v>
          </cell>
          <cell r="O164">
            <v>7.8358045839889643</v>
          </cell>
          <cell r="P164">
            <v>7.7147225210865971</v>
          </cell>
        </row>
        <row r="165">
          <cell r="A165" t="str">
            <v>SLFO</v>
          </cell>
          <cell r="B165" t="str">
            <v>VAR_fout</v>
          </cell>
          <cell r="C165" t="str">
            <v>D-SLFO</v>
          </cell>
          <cell r="E165">
            <v>30.256635496042268</v>
          </cell>
          <cell r="F165">
            <v>26.851336309964996</v>
          </cell>
          <cell r="G165">
            <v>25.238334744214029</v>
          </cell>
          <cell r="H165">
            <v>21.687380534066161</v>
          </cell>
          <cell r="I165">
            <v>17.025362529784346</v>
          </cell>
          <cell r="J165">
            <v>14.40101966375398</v>
          </cell>
          <cell r="K165">
            <v>13.405627170041045</v>
          </cell>
          <cell r="L165">
            <v>10.34618948895042</v>
          </cell>
          <cell r="M165">
            <v>8.6340371321382889</v>
          </cell>
          <cell r="N165">
            <v>7.0334792071369137</v>
          </cell>
          <cell r="O165">
            <v>4.1329925162609795</v>
          </cell>
          <cell r="P165">
            <v>1.4208266283965183</v>
          </cell>
        </row>
        <row r="166">
          <cell r="A166" t="str">
            <v>ETH</v>
          </cell>
          <cell r="B166" t="str">
            <v>VAR_fout</v>
          </cell>
          <cell r="C166" t="str">
            <v>IMPETH</v>
          </cell>
          <cell r="E166">
            <v>4.4341519255776722</v>
          </cell>
          <cell r="F166">
            <v>4.3986163932295153</v>
          </cell>
          <cell r="G166">
            <v>4.6186126808201786</v>
          </cell>
          <cell r="H166">
            <v>4.1109770175834157</v>
          </cell>
          <cell r="I166">
            <v>2.8918450506768658</v>
          </cell>
          <cell r="J166">
            <v>2.2334233641073076</v>
          </cell>
          <cell r="K166">
            <v>1.923267562958572</v>
          </cell>
          <cell r="L166">
            <v>1.6660200650747619</v>
          </cell>
          <cell r="M166">
            <v>1.5220630282110983</v>
          </cell>
          <cell r="N166">
            <v>1.3844675728155382</v>
          </cell>
          <cell r="O166">
            <v>1.279184724857102</v>
          </cell>
          <cell r="P166">
            <v>1.2243457690473214</v>
          </cell>
        </row>
        <row r="167">
          <cell r="A167" t="str">
            <v>ETH</v>
          </cell>
          <cell r="B167" t="str">
            <v>VAR_fout</v>
          </cell>
          <cell r="C167" t="str">
            <v>CT_CWODETH</v>
          </cell>
          <cell r="E167">
            <v>0.18717947929539061</v>
          </cell>
          <cell r="F167">
            <v>3.5964942908825471E-5</v>
          </cell>
          <cell r="G167">
            <v>6.0804043021586848E-4</v>
          </cell>
          <cell r="H167">
            <v>7.6973986605439717E-5</v>
          </cell>
          <cell r="I167">
            <v>1.0844866382511711E-4</v>
          </cell>
          <cell r="J167">
            <v>1.2634405740810021E-4</v>
          </cell>
          <cell r="K167">
            <v>1.3203261942120023E-4</v>
          </cell>
          <cell r="L167">
            <v>3.7998989601120296E-4</v>
          </cell>
          <cell r="M167">
            <v>2.6647372305347065E-4</v>
          </cell>
          <cell r="N167">
            <v>5.2294959153574344E-4</v>
          </cell>
          <cell r="O167">
            <v>5.0623759849233933E-4</v>
          </cell>
          <cell r="P167">
            <v>1.0600177985096106E-3</v>
          </cell>
        </row>
        <row r="168">
          <cell r="A168" t="str">
            <v>ETH</v>
          </cell>
          <cell r="B168" t="str">
            <v>VAR_fin</v>
          </cell>
          <cell r="C168" t="str">
            <v>D-TGSL</v>
          </cell>
          <cell r="E168">
            <v>4.6213314048730645</v>
          </cell>
          <cell r="F168">
            <v>4.3986523581724262</v>
          </cell>
          <cell r="G168">
            <v>4.6192207212503931</v>
          </cell>
          <cell r="H168">
            <v>4.1110539915700235</v>
          </cell>
          <cell r="I168">
            <v>2.8919534993406897</v>
          </cell>
          <cell r="J168">
            <v>2.2335497081647158</v>
          </cell>
          <cell r="K168">
            <v>1.9233995955779919</v>
          </cell>
          <cell r="L168">
            <v>1.666400054970774</v>
          </cell>
          <cell r="M168">
            <v>1.5223295019341514</v>
          </cell>
          <cell r="N168">
            <v>1.3849905224070735</v>
          </cell>
          <cell r="O168">
            <v>1.2796909624555939</v>
          </cell>
          <cell r="P168">
            <v>1.2254057868458326</v>
          </cell>
        </row>
        <row r="169">
          <cell r="A169" t="str">
            <v>TGSL</v>
          </cell>
          <cell r="B169" t="str">
            <v>VAR_fout</v>
          </cell>
          <cell r="C169" t="str">
            <v>D-TGSL</v>
          </cell>
          <cell r="E169">
            <v>83.180781403546462</v>
          </cell>
          <cell r="F169">
            <v>79.173585555741596</v>
          </cell>
          <cell r="G169">
            <v>83.142457041349502</v>
          </cell>
          <cell r="H169">
            <v>61.620463194366614</v>
          </cell>
          <cell r="I169">
            <v>46.999381811725513</v>
          </cell>
          <cell r="J169">
            <v>40.19440428866826</v>
          </cell>
          <cell r="K169">
            <v>34.612402416617556</v>
          </cell>
          <cell r="L169">
            <v>29.976825537327027</v>
          </cell>
          <cell r="M169">
            <v>27.392977302739659</v>
          </cell>
          <cell r="N169">
            <v>24.91161234213579</v>
          </cell>
          <cell r="O169">
            <v>23.020818394184271</v>
          </cell>
          <cell r="P169">
            <v>22.024626561108164</v>
          </cell>
        </row>
        <row r="170">
          <cell r="A170" t="str">
            <v>RLFO</v>
          </cell>
          <cell r="B170" t="str">
            <v>VAR_fout</v>
          </cell>
          <cell r="C170" t="str">
            <v>D-RLFO</v>
          </cell>
          <cell r="E170">
            <v>60.231845178180187</v>
          </cell>
          <cell r="F170">
            <v>51.319999495851896</v>
          </cell>
          <cell r="G170">
            <v>44.654126513159405</v>
          </cell>
          <cell r="H170">
            <v>45.869603457981398</v>
          </cell>
          <cell r="I170">
            <v>36.753114741473084</v>
          </cell>
          <cell r="J170">
            <v>33.66142229776662</v>
          </cell>
          <cell r="K170">
            <v>32.47573114564134</v>
          </cell>
          <cell r="L170">
            <v>27.87405276384585</v>
          </cell>
          <cell r="M170">
            <v>26.000011497878493</v>
          </cell>
          <cell r="N170">
            <v>22.344782092061163</v>
          </cell>
          <cell r="O170">
            <v>16.732157998847843</v>
          </cell>
          <cell r="P170">
            <v>6.453866460928797</v>
          </cell>
        </row>
        <row r="171">
          <cell r="A171" t="str">
            <v>CELC_E</v>
          </cell>
          <cell r="B171" t="str">
            <v>VAR_fout</v>
          </cell>
          <cell r="C171" t="str">
            <v>ESOL-PV_E</v>
          </cell>
          <cell r="H171">
            <v>1.4919139440579203E-5</v>
          </cell>
          <cell r="I171">
            <v>3.9507056631707122E-4</v>
          </cell>
          <cell r="J171">
            <v>1.2911172069829042E-3</v>
          </cell>
          <cell r="K171">
            <v>1.5559028937201164E-3</v>
          </cell>
          <cell r="L171">
            <v>1.5673088346550761E-3</v>
          </cell>
          <cell r="M171">
            <v>1.5713057425249511E-3</v>
          </cell>
          <cell r="N171">
            <v>1.6176459896816049E-3</v>
          </cell>
          <cell r="O171">
            <v>1.3253956669239976E-3</v>
          </cell>
          <cell r="P171">
            <v>2.6206427251063693E-3</v>
          </cell>
        </row>
        <row r="172">
          <cell r="A172" t="str">
            <v>CELC_E</v>
          </cell>
          <cell r="B172" t="str">
            <v>VAR_fin</v>
          </cell>
          <cell r="C172" t="str">
            <v>SUP_ELCH2_D</v>
          </cell>
          <cell r="H172">
            <v>1.4872653081838676E-5</v>
          </cell>
          <cell r="I172">
            <v>3.9507056631707122E-4</v>
          </cell>
          <cell r="J172">
            <v>1.2911172069829042E-3</v>
          </cell>
          <cell r="K172">
            <v>1.5559028937201164E-3</v>
          </cell>
          <cell r="L172">
            <v>1.5673088346550761E-3</v>
          </cell>
          <cell r="M172">
            <v>1.5713057425249511E-3</v>
          </cell>
          <cell r="N172">
            <v>1.6176459896816049E-3</v>
          </cell>
          <cell r="O172">
            <v>1.3253956669239976E-3</v>
          </cell>
          <cell r="P172">
            <v>2.6206427251063693E-3</v>
          </cell>
        </row>
        <row r="173">
          <cell r="A173" t="str">
            <v>CBIO</v>
          </cell>
          <cell r="B173" t="str">
            <v>VAR_fout</v>
          </cell>
          <cell r="C173" t="str">
            <v>D-CBIO</v>
          </cell>
          <cell r="E173">
            <v>1.2890723565412294</v>
          </cell>
          <cell r="F173">
            <v>3.4992629888894746</v>
          </cell>
          <cell r="G173">
            <v>3.4791172218315669</v>
          </cell>
          <cell r="H173">
            <v>3.4790516388548354</v>
          </cell>
          <cell r="I173">
            <v>3.4790537342104182</v>
          </cell>
          <cell r="J173">
            <v>3.4778665956181252</v>
          </cell>
          <cell r="K173">
            <v>3.4778916353958809</v>
          </cell>
          <cell r="L173">
            <v>3.4794842235020793</v>
          </cell>
          <cell r="M173">
            <v>3.4793722503343743</v>
          </cell>
          <cell r="N173">
            <v>3.4803618970542654</v>
          </cell>
          <cell r="O173">
            <v>3.4803729125271143</v>
          </cell>
          <cell r="P173">
            <v>3.4838340377259054</v>
          </cell>
        </row>
        <row r="174">
          <cell r="A174" t="str">
            <v>CBIO</v>
          </cell>
          <cell r="B174" t="str">
            <v>VAR_fin</v>
          </cell>
          <cell r="C174" t="str">
            <v>SUP_BIONGA</v>
          </cell>
          <cell r="E174">
            <v>1.2890723565412294</v>
          </cell>
          <cell r="F174">
            <v>3.4992629888894746</v>
          </cell>
          <cell r="G174">
            <v>3.4791172218315669</v>
          </cell>
          <cell r="H174">
            <v>3.4790516388548354</v>
          </cell>
          <cell r="I174">
            <v>3.4790537342104182</v>
          </cell>
          <cell r="J174">
            <v>3.4778665956181252</v>
          </cell>
          <cell r="K174">
            <v>3.4778916353958809</v>
          </cell>
          <cell r="L174">
            <v>3.4794842235020793</v>
          </cell>
          <cell r="M174">
            <v>3.4793722503343743</v>
          </cell>
          <cell r="N174">
            <v>3.4803618970542654</v>
          </cell>
          <cell r="O174">
            <v>3.4803729125271143</v>
          </cell>
          <cell r="P174">
            <v>3.4838340377259054</v>
          </cell>
        </row>
        <row r="175">
          <cell r="A175" t="str">
            <v>RSH2</v>
          </cell>
          <cell r="B175" t="str">
            <v>VAR_fout</v>
          </cell>
          <cell r="C175" t="str">
            <v>D-SNGA</v>
          </cell>
          <cell r="H175">
            <v>1.3343987491182417E-3</v>
          </cell>
          <cell r="I175">
            <v>3.1247626950772064E-3</v>
          </cell>
          <cell r="J175">
            <v>3.4215119399669792E-3</v>
          </cell>
          <cell r="K175">
            <v>3.2121073493960213E-3</v>
          </cell>
          <cell r="L175">
            <v>1.1110469402349771E-2</v>
          </cell>
          <cell r="M175">
            <v>9.6025681228320472E-3</v>
          </cell>
          <cell r="N175">
            <v>5.365624849363957E-2</v>
          </cell>
          <cell r="O175">
            <v>6.7151400007128145E-2</v>
          </cell>
          <cell r="P175">
            <v>7.0686092545032247E-2</v>
          </cell>
        </row>
        <row r="176">
          <cell r="A176" t="str">
            <v>RSH2</v>
          </cell>
          <cell r="B176" t="str">
            <v>VAR_fout</v>
          </cell>
          <cell r="C176" t="str">
            <v>D-RNGA</v>
          </cell>
          <cell r="H176">
            <v>1.1571150036913591E-3</v>
          </cell>
          <cell r="I176">
            <v>2.8494139369905822E-3</v>
          </cell>
          <cell r="J176">
            <v>3.3466086990585108E-3</v>
          </cell>
          <cell r="K176">
            <v>3.9468637333089631E-3</v>
          </cell>
          <cell r="L176">
            <v>1.1688338771697233E-2</v>
          </cell>
          <cell r="M176">
            <v>1.0817399080237019E-2</v>
          </cell>
          <cell r="N176">
            <v>9.2257777169250807E-2</v>
          </cell>
          <cell r="O176">
            <v>0.11330803895195263</v>
          </cell>
          <cell r="P176">
            <v>0.10762193497786379</v>
          </cell>
        </row>
        <row r="177">
          <cell r="A177" t="str">
            <v>LTH</v>
          </cell>
          <cell r="B177" t="str">
            <v>VAR_fout</v>
          </cell>
          <cell r="C177" t="str">
            <v>SUP_WODBIO</v>
          </cell>
          <cell r="F177">
            <v>7.2174038864702012E-6</v>
          </cell>
          <cell r="G177">
            <v>1.5863889462631082E-5</v>
          </cell>
          <cell r="H177">
            <v>3.4925075952575408E-5</v>
          </cell>
          <cell r="I177">
            <v>5.4172041672120828E-5</v>
          </cell>
          <cell r="J177">
            <v>5.7689719538419179E-5</v>
          </cell>
          <cell r="K177">
            <v>5.9362805959137562E-5</v>
          </cell>
          <cell r="L177">
            <v>7.4896071559042257E-5</v>
          </cell>
          <cell r="M177">
            <v>7.700419870116137E-5</v>
          </cell>
          <cell r="N177">
            <v>9.177465070250809E-5</v>
          </cell>
          <cell r="O177">
            <v>9.6551217542213658E-5</v>
          </cell>
          <cell r="P177">
            <v>1.793338383570859E-4</v>
          </cell>
        </row>
        <row r="178">
          <cell r="A178" t="str">
            <v>LTH</v>
          </cell>
          <cell r="B178" t="str">
            <v>VAR_fout</v>
          </cell>
          <cell r="C178" t="str">
            <v>CT_CWODBDS</v>
          </cell>
          <cell r="E178">
            <v>0.24493263805973267</v>
          </cell>
          <cell r="F178">
            <v>0.24853203861908998</v>
          </cell>
          <cell r="G178">
            <v>0.24605844856707182</v>
          </cell>
          <cell r="H178">
            <v>1.5065932307234512E-4</v>
          </cell>
          <cell r="I178">
            <v>1.2001338406783545E-4</v>
          </cell>
          <cell r="J178">
            <v>2.9865790205042217E-4</v>
          </cell>
          <cell r="K178">
            <v>3.7557913447340628E-4</v>
          </cell>
          <cell r="L178">
            <v>8.1352543144039682E-2</v>
          </cell>
          <cell r="M178">
            <v>0.11122302335372099</v>
          </cell>
          <cell r="N178">
            <v>0.18137027750095241</v>
          </cell>
          <cell r="O178">
            <v>0.51293447287298999</v>
          </cell>
          <cell r="P178">
            <v>0.61579337391959543</v>
          </cell>
        </row>
        <row r="179">
          <cell r="A179" t="str">
            <v>LTH</v>
          </cell>
          <cell r="B179" t="str">
            <v>VAR_fin</v>
          </cell>
          <cell r="C179" t="str">
            <v>D-CHEAT</v>
          </cell>
          <cell r="J179">
            <v>1.7857925283545594E-4</v>
          </cell>
          <cell r="K179">
            <v>2.7567774867716914E-4</v>
          </cell>
          <cell r="L179">
            <v>5.1075552315014712E-4</v>
          </cell>
          <cell r="M179">
            <v>3.5608473786630473E-4</v>
          </cell>
          <cell r="N179">
            <v>4.533399599280204E-4</v>
          </cell>
          <cell r="O179">
            <v>4.804353834813249E-4</v>
          </cell>
          <cell r="P179">
            <v>1.1485742136483365E-3</v>
          </cell>
        </row>
        <row r="180">
          <cell r="A180" t="str">
            <v>LNGA</v>
          </cell>
          <cell r="B180" t="str">
            <v>VAR_fin</v>
          </cell>
          <cell r="C180" t="str">
            <v>D-LNGA</v>
          </cell>
          <cell r="H180">
            <v>8.0170277502003258E-4</v>
          </cell>
          <cell r="I180">
            <v>1.4141563687995677E-3</v>
          </cell>
          <cell r="J180">
            <v>1.2962070158180699E-3</v>
          </cell>
          <cell r="K180">
            <v>1.3823362236673718E-3</v>
          </cell>
          <cell r="L180">
            <v>3.0490266749839709E-3</v>
          </cell>
          <cell r="M180">
            <v>1.5054612577719252E-3</v>
          </cell>
          <cell r="N180">
            <v>3.0010003326911734E-3</v>
          </cell>
          <cell r="O180">
            <v>2.2733402490609914E-3</v>
          </cell>
          <cell r="P180">
            <v>4.9826225609872999E-3</v>
          </cell>
        </row>
        <row r="181">
          <cell r="A181" t="str">
            <v>IH2</v>
          </cell>
          <cell r="B181" t="str">
            <v>VAR_fout</v>
          </cell>
          <cell r="C181" t="str">
            <v>D-INGA</v>
          </cell>
          <cell r="H181">
            <v>2.7616474410593998E-3</v>
          </cell>
          <cell r="I181">
            <v>9.2810969493113925E-3</v>
          </cell>
          <cell r="J181">
            <v>1.4719404717989628E-2</v>
          </cell>
          <cell r="K181">
            <v>1.3787881325264333E-2</v>
          </cell>
          <cell r="L181">
            <v>7.4686071022978653E-2</v>
          </cell>
          <cell r="M181">
            <v>8.8385203128657094E-2</v>
          </cell>
          <cell r="N181">
            <v>0.17383453483540784</v>
          </cell>
          <cell r="O181">
            <v>0.19673368711687106</v>
          </cell>
          <cell r="P181">
            <v>0.18511113044140806</v>
          </cell>
        </row>
        <row r="182">
          <cell r="A182" t="str">
            <v>WHEAT</v>
          </cell>
          <cell r="B182" t="str">
            <v>VAR_fin</v>
          </cell>
          <cell r="C182" t="str">
            <v>D-CHEAT</v>
          </cell>
          <cell r="J182">
            <v>1.0570741375040549E-3</v>
          </cell>
          <cell r="K182">
            <v>1.0737173628077208E-3</v>
          </cell>
          <cell r="L182">
            <v>1.0102087112656404E-3</v>
          </cell>
          <cell r="M182">
            <v>1.0033405352833592E-3</v>
          </cell>
          <cell r="N182">
            <v>1.0699458906141873E-3</v>
          </cell>
          <cell r="O182">
            <v>1.0111263535782635E-3</v>
          </cell>
          <cell r="P182">
            <v>1.7262873305907991E-3</v>
          </cell>
        </row>
        <row r="183">
          <cell r="A183" t="str">
            <v>SOL</v>
          </cell>
          <cell r="B183" t="str">
            <v>VAR_fin</v>
          </cell>
          <cell r="C183" t="str">
            <v>ESOL-PV_A</v>
          </cell>
          <cell r="H183">
            <v>4.0776149674452906E-4</v>
          </cell>
          <cell r="I183">
            <v>1.5199104333008507E-3</v>
          </cell>
          <cell r="J183">
            <v>1.5237089809413686E-3</v>
          </cell>
          <cell r="K183">
            <v>1.5247687842197507E-3</v>
          </cell>
          <cell r="L183">
            <v>1.5307558409737977E-3</v>
          </cell>
          <cell r="M183">
            <v>1.6285764640869519E-3</v>
          </cell>
          <cell r="N183">
            <v>1.8733774623194274E-3</v>
          </cell>
          <cell r="O183">
            <v>2.5806499439526942E-3</v>
          </cell>
          <cell r="P183">
            <v>6.0761044763754848E-3</v>
          </cell>
        </row>
        <row r="184">
          <cell r="A184" t="str">
            <v>SOL</v>
          </cell>
          <cell r="B184" t="str">
            <v>VAR_fin</v>
          </cell>
          <cell r="C184" t="str">
            <v>ESOL-PV_E</v>
          </cell>
          <cell r="H184">
            <v>1.4919139440579203E-5</v>
          </cell>
          <cell r="I184">
            <v>3.9507056631707122E-4</v>
          </cell>
          <cell r="J184">
            <v>1.2911172069829042E-3</v>
          </cell>
          <cell r="K184">
            <v>1.5559028937201164E-3</v>
          </cell>
          <cell r="L184">
            <v>1.5673088346550761E-3</v>
          </cell>
          <cell r="M184">
            <v>1.5713057425249511E-3</v>
          </cell>
          <cell r="N184">
            <v>1.6176459896816049E-3</v>
          </cell>
          <cell r="O184">
            <v>1.3253956669239976E-3</v>
          </cell>
          <cell r="P184">
            <v>2.6206427251063693E-3</v>
          </cell>
        </row>
        <row r="185">
          <cell r="A185" t="str">
            <v>TKER</v>
          </cell>
          <cell r="B185" t="str">
            <v>VAR_fout</v>
          </cell>
          <cell r="C185" t="str">
            <v>D-TBDS1</v>
          </cell>
          <cell r="E185">
            <v>1.1713624688869601E-3</v>
          </cell>
          <cell r="F185">
            <v>1.72503617219424E-5</v>
          </cell>
          <cell r="G185">
            <v>2.0974949039434801E-3</v>
          </cell>
          <cell r="H185">
            <v>0.96284772364779803</v>
          </cell>
          <cell r="I185">
            <v>1.1897854372240799</v>
          </cell>
          <cell r="J185">
            <v>1.1492605236973501</v>
          </cell>
          <cell r="K185">
            <v>1.2740443372241399</v>
          </cell>
          <cell r="L185">
            <v>1.30932818140861</v>
          </cell>
          <cell r="M185">
            <v>1.3158366136737401</v>
          </cell>
          <cell r="N185">
            <v>1.34794430525824</v>
          </cell>
          <cell r="O185">
            <v>1.20362907541013</v>
          </cell>
          <cell r="P185">
            <v>1.0746779208663699</v>
          </cell>
        </row>
        <row r="186">
          <cell r="A186" t="str">
            <v>BDS1</v>
          </cell>
          <cell r="B186" t="str">
            <v>VAR_fout</v>
          </cell>
          <cell r="C186" t="str">
            <v>IMPBDS1</v>
          </cell>
          <cell r="H186">
            <v>5.4446755887527596</v>
          </cell>
          <cell r="I186">
            <v>5.7422448084435898</v>
          </cell>
          <cell r="J186">
            <v>5.9416206332580002</v>
          </cell>
          <cell r="K186">
            <v>6.0831817353740201</v>
          </cell>
          <cell r="L186">
            <v>6.2037436867992799</v>
          </cell>
          <cell r="M186">
            <v>6.20374399251076</v>
          </cell>
          <cell r="N186">
            <v>6.2037448961851904</v>
          </cell>
          <cell r="O186">
            <v>6.20374609514956</v>
          </cell>
          <cell r="P186">
            <v>6.3105236006040002</v>
          </cell>
        </row>
        <row r="187">
          <cell r="A187" t="str">
            <v>BDS1</v>
          </cell>
          <cell r="B187" t="str">
            <v>VAR_fin</v>
          </cell>
          <cell r="C187" t="str">
            <v>D-TBDS1intl</v>
          </cell>
          <cell r="H187">
            <v>5.4446755887527596</v>
          </cell>
          <cell r="I187">
            <v>5.7422448084435898</v>
          </cell>
          <cell r="J187">
            <v>5.9416206332580002</v>
          </cell>
          <cell r="K187">
            <v>6.0831817353740201</v>
          </cell>
          <cell r="L187">
            <v>6.2037436867992799</v>
          </cell>
          <cell r="M187">
            <v>6.20374399251076</v>
          </cell>
          <cell r="N187">
            <v>6.2037448961851904</v>
          </cell>
          <cell r="O187">
            <v>6.20374609514956</v>
          </cell>
          <cell r="P187">
            <v>6.3105236006040002</v>
          </cell>
        </row>
        <row r="188">
          <cell r="A188" t="str">
            <v>CELC</v>
          </cell>
          <cell r="B188" t="str">
            <v>VAR_fout</v>
          </cell>
          <cell r="C188" t="str">
            <v>D-CELC</v>
          </cell>
          <cell r="E188">
            <v>0.35545345158513286</v>
          </cell>
          <cell r="F188">
            <v>5.0815123487246296E-2</v>
          </cell>
          <cell r="G188">
            <v>5.1228556195173594E-2</v>
          </cell>
          <cell r="H188">
            <v>1.0742403353409561E-2</v>
          </cell>
          <cell r="I188">
            <v>2.947749517332221E-2</v>
          </cell>
          <cell r="J188">
            <v>4.0141904771300516E-2</v>
          </cell>
          <cell r="K188">
            <v>3.8491894153401096E-2</v>
          </cell>
          <cell r="L188">
            <v>0.15197587217158387</v>
          </cell>
          <cell r="M188">
            <v>0.17058215384311631</v>
          </cell>
          <cell r="N188">
            <v>0.65559492240838069</v>
          </cell>
          <cell r="O188">
            <v>0.77042623185850345</v>
          </cell>
          <cell r="P188">
            <v>0.79352063716407262</v>
          </cell>
        </row>
        <row r="189">
          <cell r="A189" t="str">
            <v>CELC</v>
          </cell>
          <cell r="B189" t="str">
            <v>VAR_fin</v>
          </cell>
          <cell r="C189" t="str">
            <v>SUP_ELCH2_SOEC</v>
          </cell>
          <cell r="J189">
            <v>8.1018579166751131E-3</v>
          </cell>
          <cell r="K189">
            <v>1.0199311503785297E-2</v>
          </cell>
          <cell r="L189">
            <v>1.3503098995526866E-2</v>
          </cell>
          <cell r="M189">
            <v>1.2126617112526274E-2</v>
          </cell>
          <cell r="N189">
            <v>1.3523994044488981E-2</v>
          </cell>
          <cell r="O189">
            <v>1.3325296302615929E-2</v>
          </cell>
          <cell r="P189">
            <v>2.5711665009375419E-2</v>
          </cell>
        </row>
        <row r="190">
          <cell r="A190" t="str">
            <v>CELC</v>
          </cell>
          <cell r="B190" t="str">
            <v>VAR_fin</v>
          </cell>
          <cell r="C190" t="str">
            <v>SUP_ELCH2</v>
          </cell>
          <cell r="E190">
            <v>4.8308533736373194E-3</v>
          </cell>
          <cell r="F190">
            <v>6.4664071092115413E-3</v>
          </cell>
          <cell r="G190">
            <v>6.3824792602489838E-3</v>
          </cell>
          <cell r="H190">
            <v>1.058931775139323E-2</v>
          </cell>
          <cell r="I190">
            <v>2.9278252364154905E-2</v>
          </cell>
          <cell r="J190">
            <v>3.1779620230751753E-2</v>
          </cell>
          <cell r="K190">
            <v>2.8009119025955018E-2</v>
          </cell>
          <cell r="L190">
            <v>0.12335214936580199</v>
          </cell>
          <cell r="M190">
            <v>0.13819800668867058</v>
          </cell>
          <cell r="N190">
            <v>0.6088921774791155</v>
          </cell>
          <cell r="O190">
            <v>0.66486315239519866</v>
          </cell>
          <cell r="P190">
            <v>0.65633300581793164</v>
          </cell>
        </row>
        <row r="191">
          <cell r="A191" t="str">
            <v>CELC</v>
          </cell>
          <cell r="B191" t="str">
            <v>VAR_fin</v>
          </cell>
          <cell r="C191" t="str">
            <v>CT_CWODBDS</v>
          </cell>
          <cell r="E191">
            <v>4.3648252167054959E-2</v>
          </cell>
          <cell r="F191">
            <v>4.4289683805196843E-2</v>
          </cell>
          <cell r="G191">
            <v>4.3848877372850044E-2</v>
          </cell>
          <cell r="H191">
            <v>2.6848263983405144E-5</v>
          </cell>
          <cell r="I191">
            <v>2.1387000494139957E-5</v>
          </cell>
          <cell r="J191">
            <v>5.3222369724370144E-5</v>
          </cell>
          <cell r="K191">
            <v>6.6930127810004508E-5</v>
          </cell>
          <cell r="L191">
            <v>1.4497440380796842E-2</v>
          </cell>
          <cell r="M191">
            <v>1.982051313611187E-2</v>
          </cell>
          <cell r="N191">
            <v>3.2321113554656909E-2</v>
          </cell>
          <cell r="O191">
            <v>9.1407553499161118E-2</v>
          </cell>
          <cell r="P191">
            <v>0.10973753714721003</v>
          </cell>
        </row>
        <row r="192">
          <cell r="A192" t="str">
            <v>CELC</v>
          </cell>
          <cell r="B192" t="str">
            <v>VAR_fin</v>
          </cell>
          <cell r="C192" t="str">
            <v>CT_CWODETH</v>
          </cell>
          <cell r="E192">
            <v>0.30697434604444074</v>
          </cell>
          <cell r="F192">
            <v>5.8982506370473796E-5</v>
          </cell>
          <cell r="G192">
            <v>9.9718630555402496E-4</v>
          </cell>
          <cell r="H192">
            <v>1.2623733803292112E-4</v>
          </cell>
          <cell r="I192">
            <v>1.7785580867319203E-4</v>
          </cell>
          <cell r="J192">
            <v>2.072042541492842E-4</v>
          </cell>
          <cell r="K192">
            <v>2.1653349585076852E-4</v>
          </cell>
          <cell r="L192">
            <v>6.2318342945837243E-4</v>
          </cell>
          <cell r="M192">
            <v>4.3701690580769191E-4</v>
          </cell>
          <cell r="N192">
            <v>8.5763733011861849E-4</v>
          </cell>
          <cell r="O192">
            <v>8.3022966152743725E-4</v>
          </cell>
          <cell r="P192">
            <v>1.7384291895557594E-3</v>
          </cell>
        </row>
        <row r="193">
          <cell r="A193" t="str">
            <v>SBIO</v>
          </cell>
          <cell r="B193" t="str">
            <v>VAR_fout</v>
          </cell>
          <cell r="C193" t="str">
            <v>D-SBIO</v>
          </cell>
          <cell r="E193">
            <v>4.0477018834402987</v>
          </cell>
          <cell r="F193">
            <v>4.5834789601622532</v>
          </cell>
          <cell r="G193">
            <v>4.66247900000314</v>
          </cell>
          <cell r="H193">
            <v>4.6542984907350009</v>
          </cell>
          <cell r="I193">
            <v>4.7674741667079541</v>
          </cell>
          <cell r="J193">
            <v>4.8651972469804994</v>
          </cell>
          <cell r="K193">
            <v>4.9377928240647</v>
          </cell>
          <cell r="L193">
            <v>5.2412890442641027</v>
          </cell>
          <cell r="M193">
            <v>5.4370904050030644</v>
          </cell>
          <cell r="N193">
            <v>5.4374218302369535</v>
          </cell>
          <cell r="O193">
            <v>6.3927060169477041</v>
          </cell>
          <cell r="P193">
            <v>6.7045792190132358</v>
          </cell>
        </row>
        <row r="194">
          <cell r="A194" t="str">
            <v>INGA</v>
          </cell>
          <cell r="B194" t="str">
            <v>VAR_fout</v>
          </cell>
          <cell r="C194" t="str">
            <v>D-INGA</v>
          </cell>
          <cell r="E194">
            <v>37.473771828746017</v>
          </cell>
          <cell r="F194">
            <v>30.320564048956509</v>
          </cell>
          <cell r="G194">
            <v>34.030494360880134</v>
          </cell>
          <cell r="H194">
            <v>30.851366455706817</v>
          </cell>
          <cell r="I194">
            <v>28.143003312120406</v>
          </cell>
          <cell r="J194">
            <v>25.353200331307601</v>
          </cell>
          <cell r="K194">
            <v>22.43777595699498</v>
          </cell>
          <cell r="L194">
            <v>19.898259323212628</v>
          </cell>
          <cell r="M194">
            <v>18.077717506748115</v>
          </cell>
          <cell r="N194">
            <v>15.669943405469086</v>
          </cell>
          <cell r="O194">
            <v>14.30375830435473</v>
          </cell>
          <cell r="P194">
            <v>12.851602623539332</v>
          </cell>
        </row>
        <row r="195">
          <cell r="A195" t="str">
            <v>WSTREN</v>
          </cell>
          <cell r="B195" t="str">
            <v>VAR_fin</v>
          </cell>
          <cell r="C195" t="str">
            <v>D-CWST</v>
          </cell>
          <cell r="E195">
            <v>9.6793723800296494</v>
          </cell>
          <cell r="F195">
            <v>9.9324342746878234</v>
          </cell>
          <cell r="G195">
            <v>9.5727613891730403</v>
          </cell>
          <cell r="H195">
            <v>9.8989448174671626</v>
          </cell>
          <cell r="I195">
            <v>9.8780188878272526</v>
          </cell>
          <cell r="J195">
            <v>9.6016697164454072</v>
          </cell>
          <cell r="K195">
            <v>9.3253184545055294</v>
          </cell>
          <cell r="L195">
            <v>9.0489690747717013</v>
          </cell>
          <cell r="M195">
            <v>9.0489707272194266</v>
          </cell>
          <cell r="N195">
            <v>9.0489754022642597</v>
          </cell>
          <cell r="O195">
            <v>9.0489819874583652</v>
          </cell>
          <cell r="P195">
            <v>9.0490394910299958</v>
          </cell>
        </row>
        <row r="196">
          <cell r="A196" t="str">
            <v>SOLPVC</v>
          </cell>
          <cell r="B196" t="str">
            <v>VAR_fin</v>
          </cell>
          <cell r="C196" t="str">
            <v>ESOL-PV_A</v>
          </cell>
          <cell r="H196">
            <v>4.07761496744529E-4</v>
          </cell>
          <cell r="I196">
            <v>1.51991043330085E-3</v>
          </cell>
          <cell r="J196">
            <v>1.5237089809413699E-3</v>
          </cell>
          <cell r="K196">
            <v>1.52476878421975E-3</v>
          </cell>
          <cell r="L196">
            <v>1.5307558409737999E-3</v>
          </cell>
          <cell r="M196">
            <v>1.6285764640869499E-3</v>
          </cell>
          <cell r="N196">
            <v>1.87337746231943E-3</v>
          </cell>
          <cell r="O196">
            <v>2.5806499439526998E-3</v>
          </cell>
          <cell r="P196">
            <v>6.0761044763754796E-3</v>
          </cell>
        </row>
        <row r="197">
          <cell r="A197" t="str">
            <v>SOLPVC</v>
          </cell>
          <cell r="B197" t="str">
            <v>VAR_fin</v>
          </cell>
          <cell r="C197" t="str">
            <v>ESOL-PV_E</v>
          </cell>
          <cell r="H197">
            <v>1.4919139440579199E-5</v>
          </cell>
          <cell r="I197">
            <v>3.9507056631707101E-4</v>
          </cell>
          <cell r="J197">
            <v>1.2911172069829E-3</v>
          </cell>
          <cell r="K197">
            <v>1.5559028937201199E-3</v>
          </cell>
          <cell r="L197">
            <v>1.56730883465508E-3</v>
          </cell>
          <cell r="M197">
            <v>1.57130574252495E-3</v>
          </cell>
          <cell r="N197">
            <v>1.6176459896816099E-3</v>
          </cell>
          <cell r="O197">
            <v>1.325395666924E-3</v>
          </cell>
          <cell r="P197">
            <v>2.6206427251063702E-3</v>
          </cell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  <cell r="H3" t="str">
            <v>2035</v>
          </cell>
          <cell r="I3" t="str">
            <v>2040</v>
          </cell>
          <cell r="J3" t="str">
            <v>2045</v>
          </cell>
          <cell r="K3" t="str">
            <v>2050</v>
          </cell>
          <cell r="L3" t="str">
            <v>2055</v>
          </cell>
          <cell r="M3" t="str">
            <v>2060</v>
          </cell>
          <cell r="N3" t="str">
            <v>2065</v>
          </cell>
          <cell r="O3" t="str">
            <v>2070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1.7835324958576999E-2</v>
          </cell>
          <cell r="E4">
            <v>1.7890809108090901E-2</v>
          </cell>
          <cell r="F4">
            <v>1.7837169874748999E-2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4.4173042516420834E-3</v>
          </cell>
          <cell r="E5">
            <v>3.5486597747929442E-3</v>
          </cell>
          <cell r="F5">
            <v>2.2184091712250972E-3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3.1622916593221617E-4</v>
          </cell>
          <cell r="E6">
            <v>3.1721292744841997E-4</v>
          </cell>
          <cell r="F6">
            <v>3.1626187721186139E-4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8.356515194411242E-5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1.524603954293734</v>
          </cell>
          <cell r="E8">
            <v>0.12586640638265559</v>
          </cell>
          <cell r="F8">
            <v>0.16117218491807225</v>
          </cell>
          <cell r="G8">
            <v>0.15881627258212519</v>
          </cell>
          <cell r="H8">
            <v>0.14691249028081729</v>
          </cell>
          <cell r="I8">
            <v>0.14341004581267741</v>
          </cell>
          <cell r="J8">
            <v>0.13711081793871641</v>
          </cell>
          <cell r="K8">
            <v>0.13003887994855512</v>
          </cell>
          <cell r="L8">
            <v>0.12695930492975591</v>
          </cell>
          <cell r="M8">
            <v>0.12651048616845381</v>
          </cell>
          <cell r="N8">
            <v>0.12729728614982438</v>
          </cell>
          <cell r="O8">
            <v>0.1265975276413486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2.7903402559671183E-3</v>
          </cell>
          <cell r="E9">
            <v>2.3124134795821761E-4</v>
          </cell>
          <cell r="F9">
            <v>2.9761585456042843E-4</v>
          </cell>
          <cell r="G9">
            <v>3.0949031621975469E-4</v>
          </cell>
          <cell r="H9">
            <v>3.0052647479040156E-4</v>
          </cell>
          <cell r="I9">
            <v>2.9975539443944727E-4</v>
          </cell>
          <cell r="J9">
            <v>3.0259915200513544E-4</v>
          </cell>
          <cell r="K9">
            <v>2.9292587885911675E-4</v>
          </cell>
          <cell r="L9">
            <v>2.9125818591905876E-4</v>
          </cell>
          <cell r="M9">
            <v>2.9022854781340181E-4</v>
          </cell>
          <cell r="N9">
            <v>2.92033550884126E-4</v>
          </cell>
          <cell r="O9">
            <v>2.9042823023533358E-4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2.7031985005208047E-2</v>
          </cell>
          <cell r="E10">
            <v>2.2316738720329012E-3</v>
          </cell>
          <cell r="F10">
            <v>2.8576628531573039E-3</v>
          </cell>
          <cell r="G10">
            <v>2.8158913578391052E-3</v>
          </cell>
          <cell r="H10">
            <v>2.604831387957752E-3</v>
          </cell>
          <cell r="I10">
            <v>2.5427313087354126E-3</v>
          </cell>
          <cell r="J10">
            <v>2.4310428712538347E-3</v>
          </cell>
          <cell r="K10">
            <v>2.3056538997970775E-3</v>
          </cell>
          <cell r="L10">
            <v>2.2510515058467347E-3</v>
          </cell>
          <cell r="M10">
            <v>2.243093726391017E-3</v>
          </cell>
          <cell r="N10">
            <v>2.2570440806706448E-3</v>
          </cell>
          <cell r="O10">
            <v>2.244637014917528E-3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4.2127287701223298E-7</v>
          </cell>
          <cell r="F11">
            <v>7.9174196616632599E-7</v>
          </cell>
          <cell r="G11">
            <v>4.4671357809949501E-6</v>
          </cell>
          <cell r="H11">
            <v>4.8430629929504801E-6</v>
          </cell>
          <cell r="I11">
            <v>2.10955158938588E-6</v>
          </cell>
          <cell r="J11">
            <v>4.9382121380582803E-6</v>
          </cell>
          <cell r="K11">
            <v>2.7077802466567498E-6</v>
          </cell>
          <cell r="L11">
            <v>4.0770988279441296E-6</v>
          </cell>
          <cell r="M11">
            <v>5.0107887639593702E-6</v>
          </cell>
          <cell r="N11">
            <v>2.65890411346629E-6</v>
          </cell>
          <cell r="O11">
            <v>4.2950154274619799E-6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5.3372050111762996E-5</v>
          </cell>
          <cell r="E12">
            <v>5.9775678448142477E-6</v>
          </cell>
          <cell r="F12">
            <v>5.9860450576480626E-6</v>
          </cell>
          <cell r="G12">
            <v>5.9943409901733912E-6</v>
          </cell>
          <cell r="H12">
            <v>6.0015454862217499E-6</v>
          </cell>
          <cell r="I12">
            <v>6.0220280191059191E-6</v>
          </cell>
          <cell r="J12">
            <v>6.0320378338992503E-6</v>
          </cell>
          <cell r="K12">
            <v>6.0403960896069198E-6</v>
          </cell>
          <cell r="L12">
            <v>6.0583728501891796E-6</v>
          </cell>
          <cell r="M12">
            <v>6.0681212129985797E-6</v>
          </cell>
          <cell r="N12">
            <v>6.0695025120069896E-6</v>
          </cell>
          <cell r="O12">
            <v>6.0894109952691098E-6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2.1547909329894713E-4</v>
          </cell>
          <cell r="E13">
            <v>6.448325134750366E-4</v>
          </cell>
          <cell r="F13">
            <v>7.9901131863958517E-4</v>
          </cell>
          <cell r="G13">
            <v>8.58978855685712E-4</v>
          </cell>
          <cell r="H13">
            <v>7.699574814303223E-4</v>
          </cell>
          <cell r="I13">
            <v>8.1070594562314478E-4</v>
          </cell>
          <cell r="J13">
            <v>1.1373722829181256E-3</v>
          </cell>
          <cell r="K13">
            <v>1.0775341122783604E-3</v>
          </cell>
          <cell r="L13">
            <v>2.1509263914011802E-3</v>
          </cell>
          <cell r="M13">
            <v>4.360448656946291E-3</v>
          </cell>
          <cell r="N13">
            <v>6.5599197388095431E-3</v>
          </cell>
          <cell r="O13">
            <v>1.0287419850648582E-2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2.1547909329894713E-4</v>
          </cell>
          <cell r="E14">
            <v>6.448325134750366E-4</v>
          </cell>
          <cell r="F14">
            <v>7.9901131863958517E-4</v>
          </cell>
          <cell r="G14">
            <v>8.58978855685712E-4</v>
          </cell>
          <cell r="H14">
            <v>7.699574814303223E-4</v>
          </cell>
          <cell r="I14">
            <v>8.1070594562314478E-4</v>
          </cell>
          <cell r="J14">
            <v>1.1373722829181256E-3</v>
          </cell>
          <cell r="K14">
            <v>1.0775341122783604E-3</v>
          </cell>
          <cell r="L14">
            <v>2.1509263914011802E-3</v>
          </cell>
          <cell r="M14">
            <v>4.360448656946291E-3</v>
          </cell>
          <cell r="N14">
            <v>6.5599197388095431E-3</v>
          </cell>
          <cell r="O14">
            <v>1.0287419850648582E-2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4.6361939393269599E-5</v>
          </cell>
          <cell r="F15">
            <v>4.6005377696117597E-5</v>
          </cell>
          <cell r="G15">
            <v>3.4132439780918203E-5</v>
          </cell>
          <cell r="H15">
            <v>4.4823704488092402E-5</v>
          </cell>
          <cell r="I15">
            <v>5.9859817515059003E-5</v>
          </cell>
          <cell r="J15">
            <v>9.5600869085137494E-5</v>
          </cell>
          <cell r="K15">
            <v>4.32764213860142E-5</v>
          </cell>
          <cell r="L15">
            <v>2.2925686203064701E-4</v>
          </cell>
          <cell r="M15">
            <v>3.9878805531307998E-4</v>
          </cell>
          <cell r="N15">
            <v>4.30402173384347E-4</v>
          </cell>
          <cell r="O15">
            <v>7.2699911897226204E-4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2.5972565777409614E-5</v>
          </cell>
          <cell r="E16">
            <v>7.1605428619886792E-5</v>
          </cell>
          <cell r="F16">
            <v>1.1402914962424E-4</v>
          </cell>
          <cell r="G16">
            <v>1.2558808649436551E-4</v>
          </cell>
          <cell r="H16">
            <v>1.1112745354476393E-4</v>
          </cell>
          <cell r="I16">
            <v>1.1707200783670522E-4</v>
          </cell>
          <cell r="J16">
            <v>1.6813447027974588E-4</v>
          </cell>
          <cell r="K16">
            <v>1.5791206710062059E-4</v>
          </cell>
          <cell r="L16">
            <v>3.2239224073955672E-4</v>
          </cell>
          <cell r="M16">
            <v>6.5470543065955901E-4</v>
          </cell>
          <cell r="N16">
            <v>9.8930971055859467E-4</v>
          </cell>
          <cell r="O16">
            <v>1.5560712803132032E-3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1.1757655555454175E-3</v>
          </cell>
          <cell r="E17">
            <v>1.1759621839687287E-3</v>
          </cell>
          <cell r="F17">
            <v>1.2500531105453488E-3</v>
          </cell>
          <cell r="G17">
            <v>4.971574466432903E-4</v>
          </cell>
          <cell r="H17">
            <v>2.246624295615961E-4</v>
          </cell>
          <cell r="I17">
            <v>4.3307170057433139E-4</v>
          </cell>
          <cell r="J17">
            <v>5.9941956925609475E-4</v>
          </cell>
          <cell r="K17">
            <v>1.1260110853198591E-3</v>
          </cell>
          <cell r="L17">
            <v>1.6899977605246753E-3</v>
          </cell>
          <cell r="M17">
            <v>2.0902002681753499E-3</v>
          </cell>
          <cell r="N17">
            <v>3.8306122887272654E-3</v>
          </cell>
          <cell r="O17">
            <v>1.0623304664717361E-2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4.3753036058518414E-3</v>
          </cell>
          <cell r="E18">
            <v>4.344972004245354E-3</v>
          </cell>
          <cell r="F18">
            <v>4.6032882679912504E-3</v>
          </cell>
          <cell r="G18">
            <v>1.7865390607225355E-3</v>
          </cell>
          <cell r="H18">
            <v>7.4127335629853199E-4</v>
          </cell>
          <cell r="I18">
            <v>1.3848777410001743E-3</v>
          </cell>
          <cell r="J18">
            <v>1.8409203900431547E-3</v>
          </cell>
          <cell r="K18">
            <v>3.3474814212284517E-3</v>
          </cell>
          <cell r="L18">
            <v>4.9791584444143456E-3</v>
          </cell>
          <cell r="M18">
            <v>6.158255684653305E-3</v>
          </cell>
          <cell r="N18">
            <v>1.1285947218517178E-2</v>
          </cell>
          <cell r="O18">
            <v>3.1298927350348692E-2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1.52531083915928E-6</v>
          </cell>
          <cell r="F19">
            <v>2.21560339104961E-6</v>
          </cell>
          <cell r="G19">
            <v>2.75786783987224E-6</v>
          </cell>
          <cell r="H19">
            <v>4.0380598993366302E-6</v>
          </cell>
          <cell r="I19">
            <v>5.7918376516032997E-6</v>
          </cell>
          <cell r="J19">
            <v>9.3360678651028604E-6</v>
          </cell>
          <cell r="K19">
            <v>1.6712353976644198E-5</v>
          </cell>
          <cell r="L19">
            <v>2.16655209936241E-5</v>
          </cell>
          <cell r="M19">
            <v>3.6794648158536602E-5</v>
          </cell>
          <cell r="N19">
            <v>5.2749768105481501E-5</v>
          </cell>
          <cell r="O19">
            <v>1.8847684808495101E-4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2.9529292588822495E-5</v>
          </cell>
          <cell r="E20">
            <v>2.2951559468649987E-5</v>
          </cell>
          <cell r="F20">
            <v>2.4458493726713486E-5</v>
          </cell>
          <cell r="G20">
            <v>1.0000833287331707E-5</v>
          </cell>
          <cell r="H20">
            <v>4.7532702193005802E-6</v>
          </cell>
          <cell r="I20">
            <v>9.06166933707605E-6</v>
          </cell>
          <cell r="J20">
            <v>1.2339199374822001E-5</v>
          </cell>
          <cell r="K20">
            <v>2.3012919203138101E-5</v>
          </cell>
          <cell r="L20">
            <v>3.3893896182257401E-5</v>
          </cell>
          <cell r="M20">
            <v>4.2410575871829229E-5</v>
          </cell>
          <cell r="N20">
            <v>7.7880009066362901E-5</v>
          </cell>
          <cell r="O20">
            <v>2.2406478837304784E-4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5.0951713550271199E-2</v>
          </cell>
          <cell r="E21">
            <v>9.8781703335411433E-2</v>
          </cell>
          <cell r="F21">
            <v>9.6147136533163036E-2</v>
          </cell>
          <cell r="G21">
            <v>7.8826940998210512E-2</v>
          </cell>
          <cell r="H21">
            <v>1.1483592267148322E-2</v>
          </cell>
          <cell r="I21">
            <v>3.1294681103451343E-3</v>
          </cell>
          <cell r="J21">
            <v>3.4885141216869243E-3</v>
          </cell>
          <cell r="K21">
            <v>2.8382139570584568E-3</v>
          </cell>
          <cell r="L21">
            <v>5.1215941266323367E-3</v>
          </cell>
          <cell r="M21">
            <v>0.14469918434865178</v>
          </cell>
          <cell r="N21">
            <v>0.32436670510425247</v>
          </cell>
          <cell r="O21">
            <v>0.3850140138804175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5.0951713550271199E-2</v>
          </cell>
          <cell r="E22">
            <v>9.8781703335411433E-2</v>
          </cell>
          <cell r="F22">
            <v>9.6147136533163036E-2</v>
          </cell>
          <cell r="G22">
            <v>7.8826940998210512E-2</v>
          </cell>
          <cell r="H22">
            <v>1.1483592267148322E-2</v>
          </cell>
          <cell r="I22">
            <v>3.1294681103451343E-3</v>
          </cell>
          <cell r="J22">
            <v>3.4885141216869243E-3</v>
          </cell>
          <cell r="K22">
            <v>2.8382139570584568E-3</v>
          </cell>
          <cell r="L22">
            <v>5.1215941266323367E-3</v>
          </cell>
          <cell r="M22">
            <v>0.14469918434865178</v>
          </cell>
          <cell r="N22">
            <v>0.32436670510425247</v>
          </cell>
          <cell r="O22">
            <v>0.3850140138804175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2.6515983537640599E-5</v>
          </cell>
          <cell r="F23">
            <v>1.04726366655744E-4</v>
          </cell>
          <cell r="G23">
            <v>7.2033220210849101E-5</v>
          </cell>
          <cell r="H23">
            <v>1.0979948970700501E-4</v>
          </cell>
          <cell r="I23">
            <v>1.2049106145432401E-4</v>
          </cell>
          <cell r="J23">
            <v>1.8501084060714701E-4</v>
          </cell>
          <cell r="K23">
            <v>5.3826915690529501E-5</v>
          </cell>
          <cell r="L23">
            <v>3.7406010125319301E-4</v>
          </cell>
          <cell r="M23">
            <v>1.48345865817714E-2</v>
          </cell>
          <cell r="N23">
            <v>1.9098356614084301E-2</v>
          </cell>
          <cell r="O23">
            <v>6.66415800123373E-3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4.8854256727305567E-3</v>
          </cell>
          <cell r="E24">
            <v>7.4952867663489872E-3</v>
          </cell>
          <cell r="F24">
            <v>7.3224418514946698E-3</v>
          </cell>
          <cell r="G24">
            <v>6.0243574908556297E-3</v>
          </cell>
          <cell r="H24">
            <v>1.1448540795273229E-3</v>
          </cell>
          <cell r="I24">
            <v>2.5548911521286282E-4</v>
          </cell>
          <cell r="J24">
            <v>3.4348214314969353E-4</v>
          </cell>
          <cell r="K24">
            <v>2.7891377235874558E-4</v>
          </cell>
          <cell r="L24">
            <v>5.2875551642502937E-4</v>
          </cell>
          <cell r="M24">
            <v>1.5241890682126067E-2</v>
          </cell>
          <cell r="N24">
            <v>3.4192886635761817E-2</v>
          </cell>
          <cell r="O24">
            <v>4.0597073019952988E-2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10.902335740930138</v>
          </cell>
          <cell r="E25">
            <v>12.176926850998253</v>
          </cell>
          <cell r="F25">
            <v>15.543726936800081</v>
          </cell>
          <cell r="G25">
            <v>28.276131565178009</v>
          </cell>
          <cell r="H25">
            <v>39.763916079098728</v>
          </cell>
          <cell r="I25">
            <v>44.348183144016403</v>
          </cell>
          <cell r="J25">
            <v>45.702054496282173</v>
          </cell>
          <cell r="K25">
            <v>46.778172683223787</v>
          </cell>
          <cell r="L25">
            <v>47.920232530183675</v>
          </cell>
          <cell r="M25">
            <v>51.360759230067835</v>
          </cell>
          <cell r="N25">
            <v>54.030827364089575</v>
          </cell>
          <cell r="O25">
            <v>55.149617217401861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0.16817276701994599</v>
          </cell>
          <cell r="I26">
            <v>0.33371518762239499</v>
          </cell>
          <cell r="J26">
            <v>0.62253573034107701</v>
          </cell>
          <cell r="K26">
            <v>0.71967728022600197</v>
          </cell>
          <cell r="L26">
            <v>0.79645759957816997</v>
          </cell>
          <cell r="M26">
            <v>0.92308570552027402</v>
          </cell>
          <cell r="N26">
            <v>0.94235376433964102</v>
          </cell>
          <cell r="O26">
            <v>0.95475852322235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3.9136786521426579E-3</v>
          </cell>
          <cell r="E27">
            <v>1.5410456676228422E-3</v>
          </cell>
          <cell r="F27">
            <v>1.7950289343384726E-3</v>
          </cell>
          <cell r="G27">
            <v>1.6741652395972268E-2</v>
          </cell>
          <cell r="H27">
            <v>2.7876934470934173E-2</v>
          </cell>
          <cell r="I27">
            <v>3.2441982058128448E-2</v>
          </cell>
          <cell r="J27">
            <v>4.3906562496102412E-2</v>
          </cell>
          <cell r="K27">
            <v>7.6737025417245253E-2</v>
          </cell>
          <cell r="L27">
            <v>0.10393978968176988</v>
          </cell>
          <cell r="M27">
            <v>0.11214780549399382</v>
          </cell>
          <cell r="N27">
            <v>0.15528149355554288</v>
          </cell>
          <cell r="O27">
            <v>0.26471402262186949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2.6194046989762283</v>
          </cell>
          <cell r="E28">
            <v>7.6188009528872322E-2</v>
          </cell>
          <cell r="F28">
            <v>0.21623256586489153</v>
          </cell>
          <cell r="G28">
            <v>4.0598248544876476</v>
          </cell>
          <cell r="H28">
            <v>12.303339063183701</v>
          </cell>
          <cell r="I28">
            <v>14.420903423402585</v>
          </cell>
          <cell r="J28">
            <v>16.026172224644114</v>
          </cell>
          <cell r="K28">
            <v>18.503658743590879</v>
          </cell>
          <cell r="L28">
            <v>20.888637836218408</v>
          </cell>
          <cell r="M28">
            <v>22.428774142211353</v>
          </cell>
          <cell r="N28">
            <v>22.852754440075053</v>
          </cell>
          <cell r="O28">
            <v>22.616732758320953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1.7811019550323832</v>
          </cell>
          <cell r="E29">
            <v>6.2562215995072348E-2</v>
          </cell>
          <cell r="F29">
            <v>0.14059414078270124</v>
          </cell>
          <cell r="G29">
            <v>1.9745884803152256</v>
          </cell>
          <cell r="H29">
            <v>3.2701256405973642</v>
          </cell>
          <cell r="I29">
            <v>6.6285513766900888</v>
          </cell>
          <cell r="J29">
            <v>5.0031716793051508</v>
          </cell>
          <cell r="K29">
            <v>3.9478348480982577</v>
          </cell>
          <cell r="L29">
            <v>4.3642242999106395</v>
          </cell>
          <cell r="M29">
            <v>4.7614779121952751</v>
          </cell>
          <cell r="N29">
            <v>6.5767737527664831</v>
          </cell>
          <cell r="O29">
            <v>7.407417686265962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6.4979154082693906</v>
          </cell>
          <cell r="E30">
            <v>12.036671817016972</v>
          </cell>
          <cell r="F30">
            <v>15.185121294688729</v>
          </cell>
          <cell r="G30">
            <v>22.224982815950046</v>
          </cell>
          <cell r="H30">
            <v>24.330751289106928</v>
          </cell>
          <cell r="I30">
            <v>23.600019053909378</v>
          </cell>
          <cell r="J30">
            <v>25.251356040109677</v>
          </cell>
          <cell r="K30">
            <v>24.969658616131522</v>
          </cell>
          <cell r="L30">
            <v>23.359912839695635</v>
          </cell>
          <cell r="M30">
            <v>24.981485730551796</v>
          </cell>
          <cell r="N30">
            <v>25.3884139634003</v>
          </cell>
          <cell r="O30">
            <v>25.815545930579734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4.9051302264719911E-2</v>
          </cell>
          <cell r="E31">
            <v>0.15899081080751162</v>
          </cell>
          <cell r="F31">
            <v>0.60081882523464469</v>
          </cell>
          <cell r="G31">
            <v>0.68737991025077827</v>
          </cell>
          <cell r="H31">
            <v>0.89301169993884688</v>
          </cell>
          <cell r="I31">
            <v>0.52835367179088744</v>
          </cell>
          <cell r="J31">
            <v>0.51101356650458996</v>
          </cell>
          <cell r="K31">
            <v>0.20290661122695411</v>
          </cell>
          <cell r="L31">
            <v>0.52326053505171943</v>
          </cell>
          <cell r="M31">
            <v>0.46743782898562369</v>
          </cell>
          <cell r="N31">
            <v>0.34591401686183293</v>
          </cell>
          <cell r="O31">
            <v>6.7466401271201959E-2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4.9051302264719911E-2</v>
          </cell>
          <cell r="E32">
            <v>0.15899081080751162</v>
          </cell>
          <cell r="F32">
            <v>0.60081882523464469</v>
          </cell>
          <cell r="G32">
            <v>0.68737991025077827</v>
          </cell>
          <cell r="H32">
            <v>0.89301169993884688</v>
          </cell>
          <cell r="I32">
            <v>0.52835367179088744</v>
          </cell>
          <cell r="J32">
            <v>0.51101356650458996</v>
          </cell>
          <cell r="K32">
            <v>0.20290661122695411</v>
          </cell>
          <cell r="L32">
            <v>0.52326053505171943</v>
          </cell>
          <cell r="M32">
            <v>0.46743782898562369</v>
          </cell>
          <cell r="N32">
            <v>0.34591401686183293</v>
          </cell>
          <cell r="O32">
            <v>6.7466401271201959E-2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3.37578149975845E-4</v>
          </cell>
          <cell r="F33">
            <v>3.1382084817096097E-2</v>
          </cell>
          <cell r="G33">
            <v>1.2520380500973099E-2</v>
          </cell>
          <cell r="H33">
            <v>3.0891815120898902E-2</v>
          </cell>
          <cell r="I33">
            <v>6.7543860192315205E-4</v>
          </cell>
          <cell r="J33">
            <v>1.61449049448808E-2</v>
          </cell>
          <cell r="K33">
            <v>6.5292610563965906E-5</v>
          </cell>
          <cell r="L33">
            <v>4.2055673455396202E-2</v>
          </cell>
          <cell r="M33">
            <v>3.31648244138486E-3</v>
          </cell>
          <cell r="N33">
            <v>1.5116655485671901E-3</v>
          </cell>
          <cell r="O33">
            <v>1.78102745715352E-3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4.0682000672256453E-3</v>
          </cell>
          <cell r="E34">
            <v>1.0936278568897404E-2</v>
          </cell>
          <cell r="F34">
            <v>4.1332329324618361E-2</v>
          </cell>
          <cell r="G34">
            <v>4.7275601217584361E-2</v>
          </cell>
          <cell r="H34">
            <v>6.1422957768608712E-2</v>
          </cell>
          <cell r="I34">
            <v>3.6340259823338793E-2</v>
          </cell>
          <cell r="J34">
            <v>3.5151458155900803E-2</v>
          </cell>
          <cell r="K34">
            <v>1.3972647538915516E-2</v>
          </cell>
          <cell r="L34">
            <v>5.0825744002341938E-2</v>
          </cell>
          <cell r="M34">
            <v>4.5412488889207542E-2</v>
          </cell>
          <cell r="N34">
            <v>3.3557032434394021E-2</v>
          </cell>
          <cell r="O34">
            <v>6.6091599237861993E-3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1.3210020830264594E-5</v>
          </cell>
          <cell r="E35">
            <v>5.2252149864740751E-4</v>
          </cell>
          <cell r="F35">
            <v>7.3920330252092727E-4</v>
          </cell>
          <cell r="G35">
            <v>9.3626365488159806E-4</v>
          </cell>
          <cell r="H35">
            <v>1.2644237557621573E-3</v>
          </cell>
          <cell r="I35">
            <v>2.2079596785113988E-3</v>
          </cell>
          <cell r="J35">
            <v>2.5199747559984964E-3</v>
          </cell>
          <cell r="K35">
            <v>4.6631375672471984E-3</v>
          </cell>
          <cell r="L35">
            <v>3.5310489908416233E-3</v>
          </cell>
          <cell r="M35">
            <v>1.1524814852374324E-3</v>
          </cell>
          <cell r="N35">
            <v>4.9605065098421819E-4</v>
          </cell>
          <cell r="O35">
            <v>3.1452241378799759E-4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1.3210020830264594E-5</v>
          </cell>
          <cell r="E36">
            <v>5.2252149864740751E-4</v>
          </cell>
          <cell r="F36">
            <v>7.3920330252092727E-4</v>
          </cell>
          <cell r="G36">
            <v>9.3626365488159806E-4</v>
          </cell>
          <cell r="H36">
            <v>1.2644237557621573E-3</v>
          </cell>
          <cell r="I36">
            <v>2.2079596785113988E-3</v>
          </cell>
          <cell r="J36">
            <v>2.5199747559984964E-3</v>
          </cell>
          <cell r="K36">
            <v>4.6631375672471984E-3</v>
          </cell>
          <cell r="L36">
            <v>3.5310489908416233E-3</v>
          </cell>
          <cell r="M36">
            <v>1.1524814852374324E-3</v>
          </cell>
          <cell r="N36">
            <v>4.9605065098421819E-4</v>
          </cell>
          <cell r="O36">
            <v>3.1452241378799759E-4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5.6436889737708897E-5</v>
          </cell>
          <cell r="F37">
            <v>5.43203827588199E-5</v>
          </cell>
          <cell r="G37">
            <v>5.11525774877642E-5</v>
          </cell>
          <cell r="H37">
            <v>1.00538112158494E-4</v>
          </cell>
          <cell r="I37">
            <v>2.2068876331743701E-4</v>
          </cell>
          <cell r="J37">
            <v>1.42317614141197E-4</v>
          </cell>
          <cell r="K37">
            <v>4.5923875562089598E-4</v>
          </cell>
          <cell r="L37">
            <v>4.0939799943128199E-5</v>
          </cell>
          <cell r="M37">
            <v>1.29009766489534E-5</v>
          </cell>
          <cell r="N37">
            <v>1.30038967900134E-5</v>
          </cell>
          <cell r="O37">
            <v>1.7895042994571801E-5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5.72055369072895E-5</v>
          </cell>
          <cell r="F38">
            <v>1.075855811285907E-4</v>
          </cell>
          <cell r="G38">
            <v>1.3905038641529401E-4</v>
          </cell>
          <cell r="H38">
            <v>1.8595728481624141E-4</v>
          </cell>
          <cell r="I38">
            <v>3.3008297901598752E-4</v>
          </cell>
          <cell r="J38">
            <v>3.7824693955240956E-4</v>
          </cell>
          <cell r="K38">
            <v>7.0222247406969568E-4</v>
          </cell>
          <cell r="L38">
            <v>5.3162809038917588E-4</v>
          </cell>
          <cell r="M38">
            <v>1.68282474820418E-4</v>
          </cell>
          <cell r="N38">
            <v>6.9144069825082105E-5</v>
          </cell>
          <cell r="O38">
            <v>4.3690329726717213E-5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8.8718120145155344E-2</v>
          </cell>
          <cell r="E39">
            <v>0.15937637111379524</v>
          </cell>
          <cell r="F39">
            <v>0.15409816392382683</v>
          </cell>
          <cell r="G39">
            <v>0.12487019499547236</v>
          </cell>
          <cell r="H39">
            <v>2.8212947663937289E-2</v>
          </cell>
          <cell r="I39">
            <v>7.8850999989082855E-3</v>
          </cell>
          <cell r="J39">
            <v>1.479678698888966E-2</v>
          </cell>
          <cell r="K39">
            <v>1.0865437463897044E-2</v>
          </cell>
          <cell r="L39">
            <v>0.25191027652822034</v>
          </cell>
          <cell r="M39">
            <v>0.24757583650775244</v>
          </cell>
          <cell r="N39">
            <v>0.16931096593848563</v>
          </cell>
          <cell r="O39">
            <v>1.01700511259603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8.8718120145155344E-2</v>
          </cell>
          <cell r="E40">
            <v>0.15937637111379524</v>
          </cell>
          <cell r="F40">
            <v>0.15409816392382683</v>
          </cell>
          <cell r="G40">
            <v>0.12487019499547236</v>
          </cell>
          <cell r="H40">
            <v>2.8212947663937289E-2</v>
          </cell>
          <cell r="I40">
            <v>7.8850999989082855E-3</v>
          </cell>
          <cell r="J40">
            <v>1.479678698888966E-2</v>
          </cell>
          <cell r="K40">
            <v>1.0865437463897044E-2</v>
          </cell>
          <cell r="L40">
            <v>0.25191027652822034</v>
          </cell>
          <cell r="M40">
            <v>0.24757583650775244</v>
          </cell>
          <cell r="N40">
            <v>0.16931096593848563</v>
          </cell>
          <cell r="O40">
            <v>1.01700511259603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9.8745943117879302E-5</v>
          </cell>
          <cell r="F41">
            <v>1.5277650527653299E-4</v>
          </cell>
          <cell r="G41">
            <v>1.3199337546244299E-4</v>
          </cell>
          <cell r="H41">
            <v>2.8063088284962899E-4</v>
          </cell>
          <cell r="I41">
            <v>3.22495934024527E-4</v>
          </cell>
          <cell r="J41">
            <v>7.8439084914312597E-4</v>
          </cell>
          <cell r="K41">
            <v>6.8697136445337596E-5</v>
          </cell>
          <cell r="L41">
            <v>2.76071280588089E-2</v>
          </cell>
          <cell r="M41">
            <v>1.01325017008542E-4</v>
          </cell>
          <cell r="N41">
            <v>6.1239513842554797E-5</v>
          </cell>
          <cell r="O41">
            <v>0.114222595207813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7.2621061092137699E-3</v>
          </cell>
          <cell r="E42">
            <v>1.2556019683243049E-2</v>
          </cell>
          <cell r="F42">
            <v>1.2184791246581339E-2</v>
          </cell>
          <cell r="G42">
            <v>9.8721231782204072E-3</v>
          </cell>
          <cell r="H42">
            <v>2.2590907375070494E-3</v>
          </cell>
          <cell r="I42">
            <v>6.320689202830897E-4</v>
          </cell>
          <cell r="J42">
            <v>1.1886478305237001E-3</v>
          </cell>
          <cell r="K42">
            <v>9.1418543462840876E-4</v>
          </cell>
          <cell r="L42">
            <v>2.8111023317392174E-2</v>
          </cell>
          <cell r="M42">
            <v>2.7750890078742593E-2</v>
          </cell>
          <cell r="N42">
            <v>1.9023560955164817E-2</v>
          </cell>
          <cell r="O42">
            <v>0.11438514565649517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6.5341769621062621E-6</v>
          </cell>
          <cell r="E43">
            <v>5.0184223824357543E-4</v>
          </cell>
          <cell r="F43">
            <v>2.4502328623288239E-3</v>
          </cell>
          <cell r="G43">
            <v>3.1401255130885527E-3</v>
          </cell>
          <cell r="H43">
            <v>7.8690161057781392E-3</v>
          </cell>
          <cell r="I43">
            <v>1.1194393946245936E-2</v>
          </cell>
          <cell r="J43">
            <v>1.1439537018706031E-2</v>
          </cell>
          <cell r="K43">
            <v>1.2559146944620105E-2</v>
          </cell>
          <cell r="L43">
            <v>8.1469669344691551E-3</v>
          </cell>
          <cell r="M43">
            <v>4.5227671549881261E-3</v>
          </cell>
          <cell r="N43">
            <v>1.1634615909896166E-3</v>
          </cell>
          <cell r="O43">
            <v>4.8247805592498068E-4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6.5341769621062621E-6</v>
          </cell>
          <cell r="E44">
            <v>5.0184223824357543E-4</v>
          </cell>
          <cell r="F44">
            <v>2.4502328623288239E-3</v>
          </cell>
          <cell r="G44">
            <v>3.1401255130885527E-3</v>
          </cell>
          <cell r="H44">
            <v>7.8690161057781392E-3</v>
          </cell>
          <cell r="I44">
            <v>1.1194393946245936E-2</v>
          </cell>
          <cell r="J44">
            <v>1.1439537018706031E-2</v>
          </cell>
          <cell r="K44">
            <v>1.2559146944620105E-2</v>
          </cell>
          <cell r="L44">
            <v>8.1469669344691551E-3</v>
          </cell>
          <cell r="M44">
            <v>4.5227671549881261E-3</v>
          </cell>
          <cell r="N44">
            <v>1.1634615909896166E-3</v>
          </cell>
          <cell r="O44">
            <v>4.8247805592498068E-4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3.8478413304046098E-5</v>
          </cell>
          <cell r="F45">
            <v>1.60329320627898E-4</v>
          </cell>
          <cell r="G45">
            <v>1.23998462343812E-4</v>
          </cell>
          <cell r="H45">
            <v>5.8006620977053196E-4</v>
          </cell>
          <cell r="I45">
            <v>5.9904640800272297E-4</v>
          </cell>
          <cell r="J45">
            <v>3.5499420499732198E-4</v>
          </cell>
          <cell r="K45">
            <v>6.5894988109942696E-4</v>
          </cell>
          <cell r="L45">
            <v>4.0928697849388002E-5</v>
          </cell>
          <cell r="M45">
            <v>1.3255651991394101E-5</v>
          </cell>
          <cell r="N45">
            <v>1.33195968073839E-5</v>
          </cell>
          <cell r="O45">
            <v>1.8498680931099702E-5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3.8216457962172065E-5</v>
          </cell>
          <cell r="F46">
            <v>1.9420799213705999E-4</v>
          </cell>
          <cell r="G46">
            <v>2.8556002403535928E-4</v>
          </cell>
          <cell r="H46">
            <v>7.7254592609590864E-4</v>
          </cell>
          <cell r="I46">
            <v>1.1580185585145951E-3</v>
          </cell>
          <cell r="J46">
            <v>1.1869004293394586E-3</v>
          </cell>
          <cell r="K46">
            <v>1.3002328528143399E-3</v>
          </cell>
          <cell r="L46">
            <v>8.4641717514773217E-4</v>
          </cell>
          <cell r="M46">
            <v>4.6139355286730179E-4</v>
          </cell>
          <cell r="N46">
            <v>1.0946378252058096E-4</v>
          </cell>
          <cell r="O46">
            <v>4.5059071878484118E-5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  <cell r="H47">
            <v>0.23259804492562927</v>
          </cell>
          <cell r="I47">
            <v>0.24502051137732159</v>
          </cell>
          <cell r="J47">
            <v>0.25420682833729058</v>
          </cell>
          <cell r="K47">
            <v>0.26339340045127269</v>
          </cell>
          <cell r="L47">
            <v>0.27582939137801904</v>
          </cell>
          <cell r="M47">
            <v>0.28823268605345836</v>
          </cell>
          <cell r="N47">
            <v>0.30060921415604086</v>
          </cell>
          <cell r="O47">
            <v>0.31294491203961922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  <cell r="H48">
            <v>9.2102053769306007</v>
          </cell>
          <cell r="I48">
            <v>9.7091188730704641</v>
          </cell>
          <cell r="J48">
            <v>10.080427206033708</v>
          </cell>
          <cell r="K48">
            <v>10.452283766253602</v>
          </cell>
          <cell r="L48">
            <v>10.945783245960422</v>
          </cell>
          <cell r="M48">
            <v>11.437985234932183</v>
          </cell>
          <cell r="N48">
            <v>11.92912504157718</v>
          </cell>
          <cell r="O48">
            <v>12.418644575905004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4.4020246157504999E-5</v>
          </cell>
          <cell r="E49">
            <v>5.4052721032017401E-5</v>
          </cell>
          <cell r="F49">
            <v>8.1080949769351697E-5</v>
          </cell>
          <cell r="G49">
            <v>1.35134661633306E-4</v>
          </cell>
          <cell r="H49">
            <v>1.3344209166183299E-4</v>
          </cell>
          <cell r="I49">
            <v>1.3342950452854699E-4</v>
          </cell>
          <cell r="J49">
            <v>9.8638873393313103E-5</v>
          </cell>
          <cell r="K49">
            <v>1.4948444951549901E-3</v>
          </cell>
          <cell r="L49">
            <v>9.7795761003267108E-4</v>
          </cell>
          <cell r="M49">
            <v>2.56711764574998E-4</v>
          </cell>
          <cell r="N49">
            <v>2.6357780905063999E-4</v>
          </cell>
          <cell r="O49">
            <v>2.6872424818067401E-4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2.093822744022685E-3</v>
          </cell>
          <cell r="E50">
            <v>2.1478754650547023E-3</v>
          </cell>
          <cell r="F50">
            <v>2.2289564148240538E-3</v>
          </cell>
          <cell r="G50">
            <v>2.36409107645736E-3</v>
          </cell>
          <cell r="H50">
            <v>2.4975331681191927E-3</v>
          </cell>
          <cell r="I50">
            <v>2.6309626726477402E-3</v>
          </cell>
          <cell r="J50">
            <v>2.729601546041053E-3</v>
          </cell>
          <cell r="K50">
            <v>2.8282928137209271E-3</v>
          </cell>
          <cell r="L50">
            <v>2.9618031415788401E-3</v>
          </cell>
          <cell r="M50">
            <v>3.0950243393463501E-3</v>
          </cell>
          <cell r="N50">
            <v>3.2279071917555502E-3</v>
          </cell>
          <cell r="O50">
            <v>3.36045480038728E-3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6.2484385009707391E-5</v>
          </cell>
          <cell r="E51">
            <v>0.46653797651769224</v>
          </cell>
          <cell r="F51">
            <v>1.5774074652407872</v>
          </cell>
          <cell r="G51">
            <v>5.66207921683697</v>
          </cell>
          <cell r="H51">
            <v>9.0534369443235523</v>
          </cell>
          <cell r="I51">
            <v>6.3758989649075684</v>
          </cell>
          <cell r="J51">
            <v>4.5759702927503003</v>
          </cell>
          <cell r="K51">
            <v>4.4375166525431355</v>
          </cell>
          <cell r="L51">
            <v>2.5765982234646283</v>
          </cell>
          <cell r="M51">
            <v>1.3437688224755402</v>
          </cell>
          <cell r="N51">
            <v>0.18314806234136904</v>
          </cell>
          <cell r="O51">
            <v>5.3376837984906258E-4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6.2484385009707391E-5</v>
          </cell>
          <cell r="E52">
            <v>0.46653797651769224</v>
          </cell>
          <cell r="F52">
            <v>1.5774074652407872</v>
          </cell>
          <cell r="G52">
            <v>5.66207921683697</v>
          </cell>
          <cell r="H52">
            <v>9.0534369443235523</v>
          </cell>
          <cell r="I52">
            <v>6.3758989649075684</v>
          </cell>
          <cell r="J52">
            <v>4.5759702927503003</v>
          </cell>
          <cell r="K52">
            <v>4.4375166525431355</v>
          </cell>
          <cell r="L52">
            <v>2.5765982234646283</v>
          </cell>
          <cell r="M52">
            <v>1.3437688224755402</v>
          </cell>
          <cell r="N52">
            <v>0.18314806234136904</v>
          </cell>
          <cell r="O52">
            <v>5.3376837984906258E-4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3.2507207428892897E-2</v>
          </cell>
          <cell r="F53">
            <v>7.9278362193775195E-2</v>
          </cell>
          <cell r="G53">
            <v>0.31247078938042699</v>
          </cell>
          <cell r="H53">
            <v>0.33068933645294102</v>
          </cell>
          <cell r="I53">
            <v>8.4105338352610901E-4</v>
          </cell>
          <cell r="J53">
            <v>0.114023453042105</v>
          </cell>
          <cell r="K53">
            <v>0.212060398356962</v>
          </cell>
          <cell r="L53">
            <v>4.47368488026698E-5</v>
          </cell>
          <cell r="M53">
            <v>1.32831838457851E-5</v>
          </cell>
          <cell r="N53">
            <v>1.2811780331546201E-5</v>
          </cell>
          <cell r="O53">
            <v>1.9212341963090001E-5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3.2078459465472775E-2</v>
          </cell>
          <cell r="F54">
            <v>0.10846536105099423</v>
          </cell>
          <cell r="G54">
            <v>0.38931414421522414</v>
          </cell>
          <cell r="H54">
            <v>0.62250557680282714</v>
          </cell>
          <cell r="I54">
            <v>0.43845769477045554</v>
          </cell>
          <cell r="J54">
            <v>0.31466673724462779</v>
          </cell>
          <cell r="K54">
            <v>0.30514885586280083</v>
          </cell>
          <cell r="L54">
            <v>0.24524950948045787</v>
          </cell>
          <cell r="M54">
            <v>0.13113038068732191</v>
          </cell>
          <cell r="N54">
            <v>1.7758980388515359E-2</v>
          </cell>
          <cell r="O54">
            <v>4.5294118898385695E-5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2.9873396509494683E-3</v>
          </cell>
          <cell r="E55">
            <v>1.0675098925465528E-2</v>
          </cell>
          <cell r="F55">
            <v>1.2419610804653513E-2</v>
          </cell>
          <cell r="G55">
            <v>1.2694931171846316E-2</v>
          </cell>
          <cell r="H55">
            <v>1.7879604069155326</v>
          </cell>
          <cell r="I55">
            <v>4.1510225833216827</v>
          </cell>
          <cell r="J55">
            <v>4.8333621356932346</v>
          </cell>
          <cell r="K55">
            <v>3.9710841754453772</v>
          </cell>
          <cell r="L55">
            <v>3.9003589044972093</v>
          </cell>
          <cell r="M55">
            <v>4.9917720468352496</v>
          </cell>
          <cell r="N55">
            <v>6.3925422023385048</v>
          </cell>
          <cell r="O55">
            <v>6.2451875795548641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2.9873396509494683E-3</v>
          </cell>
          <cell r="E56">
            <v>1.0675098925465528E-2</v>
          </cell>
          <cell r="F56">
            <v>1.2419610804653513E-2</v>
          </cell>
          <cell r="G56">
            <v>1.2694931171846316E-2</v>
          </cell>
          <cell r="H56">
            <v>1.7879604069155326</v>
          </cell>
          <cell r="I56">
            <v>4.1510225833216827</v>
          </cell>
          <cell r="J56">
            <v>4.8333621356932346</v>
          </cell>
          <cell r="K56">
            <v>3.9710841754453772</v>
          </cell>
          <cell r="L56">
            <v>3.9003589044972093</v>
          </cell>
          <cell r="M56">
            <v>4.9917720468352496</v>
          </cell>
          <cell r="N56">
            <v>6.3925422023385048</v>
          </cell>
          <cell r="O56">
            <v>6.2451875795548641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1.66378781208303E-4</v>
          </cell>
          <cell r="F57">
            <v>2.0027791049369699E-4</v>
          </cell>
          <cell r="G57">
            <v>2.4776295311157399E-4</v>
          </cell>
          <cell r="H57">
            <v>0.143405738046959</v>
          </cell>
          <cell r="I57">
            <v>0.24279825121717599</v>
          </cell>
          <cell r="J57">
            <v>0.16353047776766</v>
          </cell>
          <cell r="K57">
            <v>0.135056332769313</v>
          </cell>
          <cell r="L57">
            <v>0.21509456175391301</v>
          </cell>
          <cell r="M57">
            <v>0.262700979097506</v>
          </cell>
          <cell r="N57">
            <v>0.29815381286881298</v>
          </cell>
          <cell r="O57">
            <v>0.14162396943859201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2.5877452320823376E-4</v>
          </cell>
          <cell r="E58">
            <v>8.4423085302368095E-4</v>
          </cell>
          <cell r="F58">
            <v>1.0050067690870312E-3</v>
          </cell>
          <cell r="G58">
            <v>1.036898291883481E-3</v>
          </cell>
          <cell r="H58">
            <v>0.14082226009434515</v>
          </cell>
          <cell r="I58">
            <v>0.3604042256742529</v>
          </cell>
          <cell r="J58">
            <v>0.4431918221623492</v>
          </cell>
          <cell r="K58">
            <v>0.41317585593741446</v>
          </cell>
          <cell r="L58">
            <v>0.43759363646688704</v>
          </cell>
          <cell r="M58">
            <v>0.56127244782290231</v>
          </cell>
          <cell r="N58">
            <v>0.71903541381574698</v>
          </cell>
          <cell r="O58">
            <v>0.70247826731781127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7.0394126380986982E-7</v>
          </cell>
          <cell r="H59">
            <v>8.539492570124219E-8</v>
          </cell>
          <cell r="O59">
            <v>4.2828204558572499E-8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3.0031398167448478E-6</v>
          </cell>
          <cell r="H60">
            <v>3.3932447229941362E-7</v>
          </cell>
          <cell r="O60">
            <v>1.4114180850612709E-7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2.6925390775055498E-8</v>
          </cell>
          <cell r="H61">
            <v>1.2331128657841399E-8</v>
          </cell>
          <cell r="J61">
            <v>1.0974502231815601E-8</v>
          </cell>
          <cell r="L61">
            <v>1.13791882320879E-8</v>
          </cell>
          <cell r="M61">
            <v>1.1743991935629801E-8</v>
          </cell>
          <cell r="O61">
            <v>1.46663398339092E-8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2.6925390775055498E-8</v>
          </cell>
          <cell r="H62">
            <v>2.2730088593113199E-8</v>
          </cell>
          <cell r="I62">
            <v>1.79853782714494E-8</v>
          </cell>
          <cell r="J62">
            <v>1.7368328034670001E-8</v>
          </cell>
          <cell r="K62">
            <v>1.0974502231815601E-8</v>
          </cell>
          <cell r="L62">
            <v>1.6315636310436799E-8</v>
          </cell>
          <cell r="M62">
            <v>2.3123180167717701E-8</v>
          </cell>
          <cell r="N62">
            <v>1.3759495640447E-8</v>
          </cell>
          <cell r="O62">
            <v>2.25919235249225E-8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2.1641925839396923E-4</v>
          </cell>
          <cell r="E63">
            <v>5.7881750542021645E-4</v>
          </cell>
          <cell r="F63">
            <v>6.9884887445232713E-4</v>
          </cell>
          <cell r="G63">
            <v>6.8938801413784159E-4</v>
          </cell>
          <cell r="H63">
            <v>5.7731750763325958E-4</v>
          </cell>
          <cell r="I63">
            <v>5.3370784605703359E-4</v>
          </cell>
          <cell r="J63">
            <v>6.7345057346779238E-4</v>
          </cell>
          <cell r="K63">
            <v>5.4625162171385801E-4</v>
          </cell>
          <cell r="L63">
            <v>1.0456743842984716E-3</v>
          </cell>
          <cell r="M63">
            <v>2.1276410564350667E-3</v>
          </cell>
          <cell r="N63">
            <v>3.1838635619843838E-3</v>
          </cell>
          <cell r="O63">
            <v>5.0392325052987024E-3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2.2379118978968101E-2</v>
          </cell>
          <cell r="E64">
            <v>5.9853387896414201E-2</v>
          </cell>
          <cell r="F64">
            <v>7.2265389992309303E-2</v>
          </cell>
          <cell r="G64">
            <v>7.1287077247905339E-2</v>
          </cell>
          <cell r="H64">
            <v>5.8067514226113448E-2</v>
          </cell>
          <cell r="I64">
            <v>5.2467254685543599E-2</v>
          </cell>
          <cell r="J64">
            <v>6.2214647231833599E-2</v>
          </cell>
          <cell r="K64">
            <v>4.7812086937427306E-2</v>
          </cell>
          <cell r="L64">
            <v>8.8325918246804302E-2</v>
          </cell>
          <cell r="M64">
            <v>0.16555382882471179</v>
          </cell>
          <cell r="N64">
            <v>0.24380525541012149</v>
          </cell>
          <cell r="O64">
            <v>0.372854774992396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3.0324009456596295E-4</v>
          </cell>
          <cell r="E65">
            <v>8.1102151621157336E-4</v>
          </cell>
          <cell r="F65">
            <v>9.7920582645405528E-4</v>
          </cell>
          <cell r="G65">
            <v>9.6594955620467945E-4</v>
          </cell>
          <cell r="H65">
            <v>7.8682268599069671E-4</v>
          </cell>
          <cell r="I65">
            <v>7.1093841037321906E-4</v>
          </cell>
          <cell r="J65">
            <v>8.4301690016034755E-4</v>
          </cell>
          <cell r="K65">
            <v>6.4786025660470579E-4</v>
          </cell>
          <cell r="L65">
            <v>1.1968281605258028E-3</v>
          </cell>
          <cell r="M65">
            <v>2.2432768133429761E-3</v>
          </cell>
          <cell r="N65">
            <v>3.3035942467496133E-3</v>
          </cell>
          <cell r="O65">
            <v>5.0522327234742183E-3</v>
          </cell>
        </row>
        <row r="66">
          <cell r="A66" t="str">
            <v>T_B_u-FCLH2O-S2</v>
          </cell>
          <cell r="B66" t="str">
            <v>VAR_ncap</v>
          </cell>
          <cell r="C66" t="str">
            <v>-</v>
          </cell>
          <cell r="G66">
            <v>1.13481920822735E-8</v>
          </cell>
        </row>
        <row r="67">
          <cell r="A67" t="str">
            <v>T_B_u-FCLH2O-S2</v>
          </cell>
          <cell r="B67" t="str">
            <v>VAR_cap</v>
          </cell>
          <cell r="C67" t="str">
            <v>-</v>
          </cell>
          <cell r="G67">
            <v>1.13481920822735E-8</v>
          </cell>
          <cell r="H67">
            <v>1.13481920822735E-8</v>
          </cell>
          <cell r="I67">
            <v>2.38308558759298E-9</v>
          </cell>
        </row>
        <row r="68">
          <cell r="A68" t="str">
            <v>T-Plg-GSL-mix_S2</v>
          </cell>
          <cell r="B68" t="str">
            <v>VAR_fout</v>
          </cell>
          <cell r="C68" t="str">
            <v>CO2_T</v>
          </cell>
          <cell r="D68">
            <v>6.2570768204203002</v>
          </cell>
          <cell r="E68">
            <v>12.32266214459368</v>
          </cell>
          <cell r="F68">
            <v>11.895477486138422</v>
          </cell>
          <cell r="G68">
            <v>9.6418644227520467</v>
          </cell>
          <cell r="H68">
            <v>1.0451675587915064</v>
          </cell>
          <cell r="I68">
            <v>0.2283702495703521</v>
          </cell>
          <cell r="J68">
            <v>0.2078182663949858</v>
          </cell>
          <cell r="K68">
            <v>0.13046436232041009</v>
          </cell>
          <cell r="L68">
            <v>0.22056039330582219</v>
          </cell>
          <cell r="M68">
            <v>6.2545642687784593</v>
          </cell>
          <cell r="N68">
            <v>14.081949771642375</v>
          </cell>
          <cell r="O68">
            <v>16.996016551888509</v>
          </cell>
        </row>
        <row r="69">
          <cell r="A69" t="str">
            <v>T-Plg-GSL-mix_S2</v>
          </cell>
          <cell r="B69" t="str">
            <v>VAR_fout</v>
          </cell>
          <cell r="C69" t="str">
            <v>T-PEVmix-ELC_GSL_S2</v>
          </cell>
          <cell r="D69">
            <v>4.9684932266899871E-2</v>
          </cell>
          <cell r="E69">
            <v>9.7849307523908802E-2</v>
          </cell>
          <cell r="F69">
            <v>9.4457205839694053E-2</v>
          </cell>
          <cell r="G69">
            <v>7.6562170246598824E-2</v>
          </cell>
          <cell r="H69">
            <v>8.5541525692195714E-3</v>
          </cell>
          <cell r="I69">
            <v>1.9054728592139897E-3</v>
          </cell>
          <cell r="J69">
            <v>1.8620251163355165E-3</v>
          </cell>
          <cell r="K69">
            <v>1.2321742622470346E-3</v>
          </cell>
          <cell r="L69">
            <v>2.1845544559157596E-3</v>
          </cell>
          <cell r="M69">
            <v>6.9612066476428217E-2</v>
          </cell>
          <cell r="N69">
            <v>0.15717158923150423</v>
          </cell>
          <cell r="O69">
            <v>0.19004404908171441</v>
          </cell>
        </row>
        <row r="70">
          <cell r="A70" t="str">
            <v>T-Plg-GSL-mix_S2</v>
          </cell>
          <cell r="B70" t="str">
            <v>VAR_fin</v>
          </cell>
          <cell r="C70" t="str">
            <v>TGSL</v>
          </cell>
          <cell r="D70">
            <v>8.4784238759082795E-2</v>
          </cell>
          <cell r="E70">
            <v>0.16697374179666225</v>
          </cell>
          <cell r="F70">
            <v>0.16118533179049341</v>
          </cell>
          <cell r="G70">
            <v>0.13064856941398431</v>
          </cell>
          <cell r="H70">
            <v>1.4162162043245356E-2</v>
          </cell>
          <cell r="I70">
            <v>3.0944478261565379E-3</v>
          </cell>
          <cell r="J70">
            <v>2.8159656693087527E-3</v>
          </cell>
          <cell r="K70">
            <v>1.7678097875394321E-3</v>
          </cell>
          <cell r="L70">
            <v>2.9886232155260542E-3</v>
          </cell>
          <cell r="M70">
            <v>8.4750193343881661E-2</v>
          </cell>
          <cell r="N70">
            <v>0.1908123275290293</v>
          </cell>
          <cell r="O70">
            <v>0.23029832726136168</v>
          </cell>
        </row>
        <row r="71">
          <cell r="A71" t="str">
            <v>T_B_u-FCLH2O-S3</v>
          </cell>
          <cell r="B71" t="str">
            <v>VAR_ncap</v>
          </cell>
          <cell r="C71" t="str">
            <v>-</v>
          </cell>
          <cell r="G71">
            <v>1.00366067818199E-8</v>
          </cell>
        </row>
        <row r="72">
          <cell r="A72" t="str">
            <v>T_B_u-FCLH2O-S3</v>
          </cell>
          <cell r="B72" t="str">
            <v>VAR_cap</v>
          </cell>
          <cell r="C72" t="str">
            <v>-</v>
          </cell>
          <cell r="G72">
            <v>1.00366067818199E-8</v>
          </cell>
          <cell r="H72">
            <v>-2.506401289586696E-10</v>
          </cell>
          <cell r="L72">
            <v>-2.4129110497455398E-9</v>
          </cell>
        </row>
        <row r="73">
          <cell r="A73" t="str">
            <v>T-PHEV-STG_S1</v>
          </cell>
          <cell r="B73" t="str">
            <v>VAR_fout</v>
          </cell>
          <cell r="C73" t="str">
            <v>T-ELC-car-PlgSTGAUXout_S1</v>
          </cell>
          <cell r="E73">
            <v>6.5398379235386814E-5</v>
          </cell>
          <cell r="F73">
            <v>1.0860069411883639E-4</v>
          </cell>
          <cell r="G73">
            <v>6.0143994360622847E-4</v>
          </cell>
          <cell r="H73">
            <v>1.4262702695357339E-3</v>
          </cell>
          <cell r="I73">
            <v>2.3525684381478008E-3</v>
          </cell>
          <cell r="J73">
            <v>3.2682820569610092E-3</v>
          </cell>
          <cell r="K73">
            <v>6.743090994894352E-3</v>
          </cell>
          <cell r="L73">
            <v>7.3023710112661618E-3</v>
          </cell>
          <cell r="M73">
            <v>8.5711599655418236E-3</v>
          </cell>
          <cell r="N73">
            <v>8.8228134481387992E-3</v>
          </cell>
          <cell r="O73">
            <v>1.1973922824872888E-2</v>
          </cell>
        </row>
        <row r="74">
          <cell r="A74" t="str">
            <v>T-PHEV-STG_S1</v>
          </cell>
          <cell r="B74" t="str">
            <v>VAR_fout</v>
          </cell>
          <cell r="C74" t="str">
            <v>T-ELC-car-PlgSTGOut_S1</v>
          </cell>
          <cell r="E74">
            <v>6.5398379235386814E-5</v>
          </cell>
          <cell r="F74">
            <v>1.0860069411883639E-4</v>
          </cell>
          <cell r="G74">
            <v>6.0143994360622826E-4</v>
          </cell>
          <cell r="H74">
            <v>1.4262702695357337E-3</v>
          </cell>
          <cell r="I74">
            <v>2.3525684381478008E-3</v>
          </cell>
          <cell r="J74">
            <v>3.2682820569610092E-3</v>
          </cell>
          <cell r="K74">
            <v>6.743090994894352E-3</v>
          </cell>
          <cell r="L74">
            <v>7.302371011266161E-3</v>
          </cell>
          <cell r="M74">
            <v>8.5711599655418236E-3</v>
          </cell>
          <cell r="N74">
            <v>8.8228134481387974E-3</v>
          </cell>
          <cell r="O74">
            <v>1.1973922824872888E-2</v>
          </cell>
        </row>
        <row r="75">
          <cell r="A75" t="str">
            <v>T-PHEV-STG_S1</v>
          </cell>
          <cell r="B75" t="str">
            <v>VAR_fin</v>
          </cell>
          <cell r="C75" t="str">
            <v>T-ELC-car-PlgSTGAUXin_S1</v>
          </cell>
          <cell r="E75">
            <v>6.8885205641574409E-5</v>
          </cell>
          <cell r="F75">
            <v>1.2120635353841965E-4</v>
          </cell>
          <cell r="G75">
            <v>6.1041020194896084E-4</v>
          </cell>
          <cell r="H75">
            <v>1.4353507938120965E-3</v>
          </cell>
          <cell r="I75">
            <v>2.3576476178131188E-3</v>
          </cell>
          <cell r="J75">
            <v>3.2871846050515382E-3</v>
          </cell>
          <cell r="K75">
            <v>6.7625410361239879E-3</v>
          </cell>
          <cell r="L75">
            <v>7.3177441178863597E-3</v>
          </cell>
          <cell r="M75">
            <v>8.5913038855462542E-3</v>
          </cell>
          <cell r="N75">
            <v>8.8375609239550075E-3</v>
          </cell>
          <cell r="O75">
            <v>1.1998362165626537E-2</v>
          </cell>
        </row>
        <row r="76">
          <cell r="A76" t="str">
            <v>T-PHEV-STG_S1</v>
          </cell>
          <cell r="B76" t="str">
            <v>VAR_fin</v>
          </cell>
          <cell r="C76" t="str">
            <v>T-ELC-car-PlgSTGin_S1</v>
          </cell>
          <cell r="E76">
            <v>6.8885205641574409E-5</v>
          </cell>
          <cell r="F76">
            <v>1.2120635353841965E-4</v>
          </cell>
          <cell r="G76">
            <v>6.1041020194896084E-4</v>
          </cell>
          <cell r="H76">
            <v>1.4353507938120965E-3</v>
          </cell>
          <cell r="I76">
            <v>2.3576476178131188E-3</v>
          </cell>
          <cell r="J76">
            <v>3.2871846050515382E-3</v>
          </cell>
          <cell r="K76">
            <v>6.7625410361239879E-3</v>
          </cell>
          <cell r="L76">
            <v>7.3177441178863597E-3</v>
          </cell>
          <cell r="M76">
            <v>8.5913038855462542E-3</v>
          </cell>
          <cell r="N76">
            <v>8.8375609239550075E-3</v>
          </cell>
          <cell r="O76">
            <v>1.1998362165626537E-2</v>
          </cell>
        </row>
        <row r="77">
          <cell r="A77" t="str">
            <v>T-PHEV-STG_S1</v>
          </cell>
          <cell r="B77" t="str">
            <v>VAR_ncap</v>
          </cell>
          <cell r="C77" t="str">
            <v>-</v>
          </cell>
          <cell r="E77">
            <v>4.7685877295667502E-3</v>
          </cell>
          <cell r="F77">
            <v>4.4603850733502702E-3</v>
          </cell>
          <cell r="G77">
            <v>3.8475076766524498E-3</v>
          </cell>
          <cell r="H77">
            <v>6.4273620204538901E-3</v>
          </cell>
          <cell r="I77">
            <v>1.20310160077658E-2</v>
          </cell>
          <cell r="J77">
            <v>1.00462293443559E-2</v>
          </cell>
          <cell r="K77">
            <v>2.0616180446909702E-2</v>
          </cell>
          <cell r="L77">
            <v>1.11322241939391E-2</v>
          </cell>
          <cell r="M77">
            <v>1.68309563695513E-2</v>
          </cell>
          <cell r="N77">
            <v>1.8201885245009201E-2</v>
          </cell>
          <cell r="O77">
            <v>3.0710715981420299E-2</v>
          </cell>
        </row>
        <row r="78">
          <cell r="A78" t="str">
            <v>T-PHEV-STG_S1</v>
          </cell>
          <cell r="B78" t="str">
            <v>VAR_cap</v>
          </cell>
          <cell r="C78" t="str">
            <v>-</v>
          </cell>
          <cell r="E78">
            <v>4.7685877295667502E-3</v>
          </cell>
          <cell r="F78">
            <v>9.226900506726296E-3</v>
          </cell>
          <cell r="G78">
            <v>1.3069812047971986E-2</v>
          </cell>
          <cell r="H78">
            <v>1.716547218952115E-2</v>
          </cell>
          <cell r="I78">
            <v>2.2499188888004503E-2</v>
          </cell>
          <cell r="J78">
            <v>2.8489630678666434E-2</v>
          </cell>
          <cell r="K78">
            <v>4.2675463562336591E-2</v>
          </cell>
          <cell r="L78">
            <v>4.2286114896320642E-2</v>
          </cell>
          <cell r="M78">
            <v>4.855238334244142E-2</v>
          </cell>
          <cell r="N78">
            <v>4.6259743931031827E-2</v>
          </cell>
          <cell r="O78">
            <v>6.5722706728649188E-2</v>
          </cell>
        </row>
        <row r="79">
          <cell r="A79" t="str">
            <v>T-Plg-GSL-mix_S3</v>
          </cell>
          <cell r="B79" t="str">
            <v>VAR_fout</v>
          </cell>
          <cell r="C79" t="str">
            <v>CO2_T</v>
          </cell>
          <cell r="D79">
            <v>6.6356548346329998</v>
          </cell>
          <cell r="E79">
            <v>18.097193040738759</v>
          </cell>
          <cell r="F79">
            <v>65.6845902349</v>
          </cell>
          <cell r="G79">
            <v>65.57311444551766</v>
          </cell>
          <cell r="H79">
            <v>72.622950091985388</v>
          </cell>
          <cell r="I79">
            <v>35.255979202071032</v>
          </cell>
          <cell r="J79">
            <v>25.947487017135192</v>
          </cell>
          <cell r="K79">
            <v>7.4361435193512104</v>
          </cell>
          <cell r="L79">
            <v>18.010067360325721</v>
          </cell>
          <cell r="M79">
            <v>15.218052670906076</v>
          </cell>
          <cell r="N79">
            <v>11.262874483527185</v>
          </cell>
          <cell r="O79">
            <v>2.2008267475104102</v>
          </cell>
        </row>
        <row r="80">
          <cell r="A80" t="str">
            <v>T-Plg-GSL-mix_S3</v>
          </cell>
          <cell r="B80" t="str">
            <v>VAR_fout</v>
          </cell>
          <cell r="C80" t="str">
            <v>T-PEVmix-ELC_GSL_S3</v>
          </cell>
          <cell r="D80">
            <v>4.9051384383050553E-2</v>
          </cell>
          <cell r="E80">
            <v>0.13377615234934678</v>
          </cell>
          <cell r="F80">
            <v>0.48554666629724441</v>
          </cell>
          <cell r="G80">
            <v>0.48472262678182854</v>
          </cell>
          <cell r="H80">
            <v>0.56694182719321606</v>
          </cell>
          <cell r="I80">
            <v>0.27611517455912016</v>
          </cell>
          <cell r="J80">
            <v>0.2268773508655943</v>
          </cell>
          <cell r="K80">
            <v>6.8674665232919152E-2</v>
          </cell>
          <cell r="L80">
            <v>0.17705061441363337</v>
          </cell>
          <cell r="M80">
            <v>0.15818203386389953</v>
          </cell>
          <cell r="N80">
            <v>0.11707387240852822</v>
          </cell>
          <cell r="O80">
            <v>2.2935574486695077E-2</v>
          </cell>
        </row>
        <row r="81">
          <cell r="A81" t="str">
            <v>T-Plg-GSL-mix_S3</v>
          </cell>
          <cell r="B81" t="str">
            <v>VAR_fin</v>
          </cell>
          <cell r="C81" t="str">
            <v>TGSL</v>
          </cell>
          <cell r="D81">
            <v>8.9914022149498674E-2</v>
          </cell>
          <cell r="E81">
            <v>0.2452194178961889</v>
          </cell>
          <cell r="F81">
            <v>0.89003509803387382</v>
          </cell>
          <cell r="G81">
            <v>0.88852458598262463</v>
          </cell>
          <cell r="H81">
            <v>0.98405081425454421</v>
          </cell>
          <cell r="I81">
            <v>0.47772329542101649</v>
          </cell>
          <cell r="J81">
            <v>0.35159196500183199</v>
          </cell>
          <cell r="K81">
            <v>0.10076075229473194</v>
          </cell>
          <cell r="L81">
            <v>0.24403885312094448</v>
          </cell>
          <cell r="M81">
            <v>0.20620667575753546</v>
          </cell>
          <cell r="N81">
            <v>0.15261347538654718</v>
          </cell>
          <cell r="O81">
            <v>2.9821500643772564E-2</v>
          </cell>
        </row>
        <row r="82">
          <cell r="A82" t="str">
            <v>T_B_u-FCLH2O-S4</v>
          </cell>
          <cell r="B82" t="str">
            <v>VAR_cap</v>
          </cell>
          <cell r="C82" t="str">
            <v>-</v>
          </cell>
          <cell r="M82">
            <v>-2.8070717930573098E-9</v>
          </cell>
        </row>
        <row r="83">
          <cell r="A83" t="str">
            <v>T-PHEV-STG_S2</v>
          </cell>
          <cell r="B83" t="str">
            <v>VAR_fout</v>
          </cell>
          <cell r="C83" t="str">
            <v>T-ELC-car-PlgSTGAUXout_S2</v>
          </cell>
          <cell r="D83">
            <v>8.3979194907818203E-4</v>
          </cell>
          <cell r="E83">
            <v>6.5748797782086887E-4</v>
          </cell>
          <cell r="F83">
            <v>1.3452689308373826E-3</v>
          </cell>
          <cell r="G83">
            <v>2.1209621036117382E-3</v>
          </cell>
          <cell r="H83">
            <v>3.73390976715541E-3</v>
          </cell>
          <cell r="I83">
            <v>4.2087777344922668E-3</v>
          </cell>
          <cell r="J83">
            <v>5.4570030627256435E-3</v>
          </cell>
          <cell r="K83">
            <v>8.519941541304487E-3</v>
          </cell>
          <cell r="L83">
            <v>9.9351779032144354E-3</v>
          </cell>
          <cell r="M83">
            <v>4.1962170869042907E-2</v>
          </cell>
          <cell r="N83">
            <v>8.6239056617029256E-2</v>
          </cell>
          <cell r="O83">
            <v>0.1010731659886869</v>
          </cell>
        </row>
        <row r="84">
          <cell r="A84" t="str">
            <v>T-PHEV-STG_S2</v>
          </cell>
          <cell r="B84" t="str">
            <v>VAR_fout</v>
          </cell>
          <cell r="C84" t="str">
            <v>T-ELC-car-PlgSTGOut_S2</v>
          </cell>
          <cell r="D84">
            <v>8.3979194907818203E-4</v>
          </cell>
          <cell r="E84">
            <v>6.5748797782086876E-4</v>
          </cell>
          <cell r="F84">
            <v>1.3452689308373824E-3</v>
          </cell>
          <cell r="G84">
            <v>2.1209621036117382E-3</v>
          </cell>
          <cell r="H84">
            <v>3.73390976715541E-3</v>
          </cell>
          <cell r="I84">
            <v>4.208777734492266E-3</v>
          </cell>
          <cell r="J84">
            <v>5.4570030627256435E-3</v>
          </cell>
          <cell r="K84">
            <v>8.5199415413044818E-3</v>
          </cell>
          <cell r="L84">
            <v>9.9351779032144354E-3</v>
          </cell>
          <cell r="M84">
            <v>4.19621708690429E-2</v>
          </cell>
          <cell r="N84">
            <v>8.6239056617029242E-2</v>
          </cell>
          <cell r="O84">
            <v>0.10107316598868689</v>
          </cell>
        </row>
        <row r="85">
          <cell r="A85" t="str">
            <v>T-PHEV-STG_S2</v>
          </cell>
          <cell r="B85" t="str">
            <v>VAR_fin</v>
          </cell>
          <cell r="C85" t="str">
            <v>T-ELC-car-PlgSTGAUXin_S2</v>
          </cell>
          <cell r="D85">
            <v>8.42393035052077E-4</v>
          </cell>
          <cell r="E85">
            <v>6.6361971717181863E-4</v>
          </cell>
          <cell r="F85">
            <v>1.3554384529203222E-3</v>
          </cell>
          <cell r="G85">
            <v>2.1344616145085428E-3</v>
          </cell>
          <cell r="H85">
            <v>3.747353946664735E-3</v>
          </cell>
          <cell r="I85">
            <v>4.2178699006846423E-3</v>
          </cell>
          <cell r="J85">
            <v>5.471347264677291E-3</v>
          </cell>
          <cell r="K85">
            <v>8.5337366084575084E-3</v>
          </cell>
          <cell r="L85">
            <v>9.9438928735981567E-3</v>
          </cell>
          <cell r="M85">
            <v>4.1974810999974646E-2</v>
          </cell>
          <cell r="N85">
            <v>8.6253391853601105E-2</v>
          </cell>
          <cell r="O85">
            <v>0.10109038462700788</v>
          </cell>
        </row>
        <row r="86">
          <cell r="A86" t="str">
            <v>T-PHEV-STG_S2</v>
          </cell>
          <cell r="B86" t="str">
            <v>VAR_fin</v>
          </cell>
          <cell r="C86" t="str">
            <v>T-ELC-car-PlgSTGin_S2</v>
          </cell>
          <cell r="D86">
            <v>8.42393035052077E-4</v>
          </cell>
          <cell r="E86">
            <v>6.6361971717181863E-4</v>
          </cell>
          <cell r="F86">
            <v>1.3554384529203222E-3</v>
          </cell>
          <cell r="G86">
            <v>2.1344616145085428E-3</v>
          </cell>
          <cell r="H86">
            <v>3.747353946664735E-3</v>
          </cell>
          <cell r="I86">
            <v>4.2178699006846423E-3</v>
          </cell>
          <cell r="J86">
            <v>5.471347264677291E-3</v>
          </cell>
          <cell r="K86">
            <v>8.5337366084575084E-3</v>
          </cell>
          <cell r="L86">
            <v>9.9438928735981567E-3</v>
          </cell>
          <cell r="M86">
            <v>4.1974810999974646E-2</v>
          </cell>
          <cell r="N86">
            <v>8.6253391853601105E-2</v>
          </cell>
          <cell r="O86">
            <v>0.10109038462700788</v>
          </cell>
        </row>
        <row r="87">
          <cell r="A87" t="str">
            <v>T-PHEV-STG_S2</v>
          </cell>
          <cell r="B87" t="str">
            <v>VAR_ncap</v>
          </cell>
          <cell r="C87" t="str">
            <v>-</v>
          </cell>
          <cell r="D87">
            <v>1.6919172484934901E-2</v>
          </cell>
          <cell r="E87">
            <v>1.5585710828385601E-2</v>
          </cell>
          <cell r="F87">
            <v>2.1383172840688702E-2</v>
          </cell>
          <cell r="G87">
            <v>2.0767316873304999E-2</v>
          </cell>
          <cell r="H87">
            <v>2.2062041055733301E-2</v>
          </cell>
          <cell r="I87">
            <v>2.90205716881109E-2</v>
          </cell>
          <cell r="J87">
            <v>2.23818682483828E-2</v>
          </cell>
          <cell r="K87">
            <v>3.7042736636909802E-2</v>
          </cell>
          <cell r="L87">
            <v>2.93013316707991E-2</v>
          </cell>
          <cell r="M87">
            <v>0.205138451156647</v>
          </cell>
          <cell r="N87">
            <v>0.24294091309368099</v>
          </cell>
          <cell r="O87">
            <v>0.426570428174737</v>
          </cell>
        </row>
        <row r="88">
          <cell r="A88" t="str">
            <v>T-PHEV-STG_S2</v>
          </cell>
          <cell r="B88" t="str">
            <v>VAR_cap</v>
          </cell>
          <cell r="C88" t="str">
            <v>-</v>
          </cell>
          <cell r="D88">
            <v>1.6919172484934901E-2</v>
          </cell>
          <cell r="E88">
            <v>3.2499812001264262E-2</v>
          </cell>
          <cell r="F88">
            <v>5.3871614101967447E-2</v>
          </cell>
          <cell r="G88">
            <v>7.4618721015543274E-2</v>
          </cell>
          <cell r="H88">
            <v>7.6535737625735317E-2</v>
          </cell>
          <cell r="I88">
            <v>7.2348369272522903E-2</v>
          </cell>
          <cell r="J88">
            <v>7.3424549816649698E-2</v>
          </cell>
          <cell r="K88">
            <v>8.8403015559340839E-2</v>
          </cell>
          <cell r="L88">
            <v>9.015455123092822E-2</v>
          </cell>
          <cell r="M88">
            <v>0.27144143141481275</v>
          </cell>
          <cell r="N88">
            <v>0.47460049459015319</v>
          </cell>
          <cell r="O88">
            <v>0.87460556637455922</v>
          </cell>
        </row>
        <row r="89">
          <cell r="A89" t="str">
            <v>T-Plg-GSL-mix_S4</v>
          </cell>
          <cell r="B89" t="str">
            <v>VAR_fout</v>
          </cell>
          <cell r="C89" t="str">
            <v>CO2_T</v>
          </cell>
          <cell r="D89">
            <v>12.5970671586397</v>
          </cell>
          <cell r="E89">
            <v>22.534238445710798</v>
          </cell>
          <cell r="F89">
            <v>21.659912050904346</v>
          </cell>
          <cell r="G89">
            <v>17.324431597648761</v>
          </cell>
          <cell r="H89">
            <v>2.5817641421148001</v>
          </cell>
          <cell r="I89">
            <v>0.58674466305766537</v>
          </cell>
          <cell r="J89">
            <v>0.88111360059857602</v>
          </cell>
          <cell r="K89">
            <v>0.481251646385919</v>
          </cell>
          <cell r="L89">
            <v>10.131897689763694</v>
          </cell>
          <cell r="M89">
            <v>9.4498239923415213</v>
          </cell>
          <cell r="N89">
            <v>6.4645617707957239</v>
          </cell>
          <cell r="O89">
            <v>38.684220937055102</v>
          </cell>
        </row>
        <row r="90">
          <cell r="A90" t="str">
            <v>T-Plg-GSL-mix_S4</v>
          </cell>
          <cell r="B90" t="str">
            <v>VAR_fout</v>
          </cell>
          <cell r="C90" t="str">
            <v>T-PEVmix-ELC_GSL_S4</v>
          </cell>
          <cell r="D90">
            <v>8.8718120145155302E-2</v>
          </cell>
          <cell r="E90">
            <v>0.15870323215947957</v>
          </cell>
          <cell r="F90">
            <v>0.15254556123785382</v>
          </cell>
          <cell r="G90">
            <v>0.12201181311259272</v>
          </cell>
          <cell r="H90">
            <v>1.855368101347437E-2</v>
          </cell>
          <cell r="I90">
            <v>4.3381199195194108E-3</v>
          </cell>
          <cell r="J90">
            <v>7.0229874240484982E-3</v>
          </cell>
          <cell r="K90">
            <v>4.0437255810404837E-3</v>
          </cell>
          <cell r="L90">
            <v>9.3254415042278216E-2</v>
          </cell>
          <cell r="M90">
            <v>9.1665564362385765E-2</v>
          </cell>
          <cell r="N90">
            <v>6.2706856770902569E-2</v>
          </cell>
          <cell r="O90">
            <v>0.37649523387655143</v>
          </cell>
        </row>
        <row r="91">
          <cell r="A91" t="str">
            <v>T-Plg-GSL-mix_S4</v>
          </cell>
          <cell r="B91" t="str">
            <v>VAR_fin</v>
          </cell>
          <cell r="C91" t="str">
            <v>TGSL</v>
          </cell>
          <cell r="D91">
            <v>0.17069196691923716</v>
          </cell>
          <cell r="E91">
            <v>0.30534198435922555</v>
          </cell>
          <cell r="F91">
            <v>0.29349474323718605</v>
          </cell>
          <cell r="G91">
            <v>0.2347483956320971</v>
          </cell>
          <cell r="H91">
            <v>3.4983253958195133E-2</v>
          </cell>
          <cell r="I91">
            <v>7.9504696891282527E-3</v>
          </cell>
          <cell r="J91">
            <v>1.1939208680197507E-2</v>
          </cell>
          <cell r="K91">
            <v>6.5210250187793832E-3</v>
          </cell>
          <cell r="L91">
            <v>0.13728858658216386</v>
          </cell>
          <cell r="M91">
            <v>0.12804639556018335</v>
          </cell>
          <cell r="N91">
            <v>8.7595687951161488E-2</v>
          </cell>
          <cell r="O91">
            <v>0.5241764354614511</v>
          </cell>
        </row>
        <row r="92">
          <cell r="A92" t="str">
            <v>T-PHEV-STG_S3</v>
          </cell>
          <cell r="B92" t="str">
            <v>VAR_fout</v>
          </cell>
          <cell r="C92" t="str">
            <v>T-ELC-car-PlgSTGAUXout_S3</v>
          </cell>
          <cell r="E92">
            <v>1.8667216122581862E-2</v>
          </cell>
          <cell r="F92">
            <v>0.29824914910369199</v>
          </cell>
          <cell r="G92">
            <v>1.7061094683887903</v>
          </cell>
          <cell r="H92">
            <v>2.6632406765801329</v>
          </cell>
          <cell r="I92">
            <v>1.8965925396706347</v>
          </cell>
          <cell r="J92">
            <v>1.8037204762535821</v>
          </cell>
          <cell r="K92">
            <v>2.0227745949651248</v>
          </cell>
          <cell r="L92">
            <v>1.6192366448108657</v>
          </cell>
          <cell r="M92">
            <v>1.1464059465105945</v>
          </cell>
          <cell r="N92">
            <v>0.70458002887236859</v>
          </cell>
          <cell r="O92">
            <v>6.7931110237336695E-2</v>
          </cell>
        </row>
        <row r="93">
          <cell r="A93" t="str">
            <v>T-PHEV-STG_S3</v>
          </cell>
          <cell r="B93" t="str">
            <v>VAR_fout</v>
          </cell>
          <cell r="C93" t="str">
            <v>T-ELC-car-PlgSTGOut_S3</v>
          </cell>
          <cell r="E93">
            <v>1.8667216122581862E-2</v>
          </cell>
          <cell r="F93">
            <v>0.29824914910369199</v>
          </cell>
          <cell r="G93">
            <v>1.7061094683887903</v>
          </cell>
          <cell r="H93">
            <v>2.6632406765801329</v>
          </cell>
          <cell r="I93">
            <v>1.8965925396706342</v>
          </cell>
          <cell r="J93">
            <v>1.8037204762535817</v>
          </cell>
          <cell r="K93">
            <v>2.0227745949651244</v>
          </cell>
          <cell r="L93">
            <v>1.6192366448108657</v>
          </cell>
          <cell r="M93">
            <v>1.1464059465105945</v>
          </cell>
          <cell r="N93">
            <v>0.70458002887236848</v>
          </cell>
          <cell r="O93">
            <v>6.7931110237336695E-2</v>
          </cell>
        </row>
        <row r="94">
          <cell r="A94" t="str">
            <v>T-PHEV-STG_S3</v>
          </cell>
          <cell r="B94" t="str">
            <v>VAR_fin</v>
          </cell>
          <cell r="C94" t="str">
            <v>T-ELC-car-PlgSTGAUXin_S3</v>
          </cell>
          <cell r="E94">
            <v>1.8672180578669789E-2</v>
          </cell>
          <cell r="F94">
            <v>0.2982914644848762</v>
          </cell>
          <cell r="G94">
            <v>1.7062890287263508</v>
          </cell>
          <cell r="H94">
            <v>2.6635128266293351</v>
          </cell>
          <cell r="I94">
            <v>1.8967877394954507</v>
          </cell>
          <cell r="J94">
            <v>1.803914331491995</v>
          </cell>
          <cell r="K94">
            <v>2.0229963460216922</v>
          </cell>
          <cell r="L94">
            <v>1.6194076836442759</v>
          </cell>
          <cell r="M94">
            <v>1.1465393520159441</v>
          </cell>
          <cell r="N94">
            <v>0.70466151490363327</v>
          </cell>
          <cell r="O94">
            <v>6.796314563139666E-2</v>
          </cell>
        </row>
        <row r="95">
          <cell r="A95" t="str">
            <v>T-PHEV-STG_S3</v>
          </cell>
          <cell r="B95" t="str">
            <v>VAR_fin</v>
          </cell>
          <cell r="C95" t="str">
            <v>T-ELC-car-PlgSTGin_S3</v>
          </cell>
          <cell r="E95">
            <v>1.8672180578669789E-2</v>
          </cell>
          <cell r="F95">
            <v>0.2982914644848762</v>
          </cell>
          <cell r="G95">
            <v>1.7062890287263508</v>
          </cell>
          <cell r="H95">
            <v>2.6635128266293351</v>
          </cell>
          <cell r="I95">
            <v>1.8967877394954507</v>
          </cell>
          <cell r="J95">
            <v>1.803914331491995</v>
          </cell>
          <cell r="K95">
            <v>2.0229963460216922</v>
          </cell>
          <cell r="L95">
            <v>1.6194076836442759</v>
          </cell>
          <cell r="M95">
            <v>1.1465393520159441</v>
          </cell>
          <cell r="N95">
            <v>0.70466151490363327</v>
          </cell>
          <cell r="O95">
            <v>6.796314563139666E-2</v>
          </cell>
        </row>
        <row r="96">
          <cell r="A96" t="str">
            <v>T-PHEV-STG_S3</v>
          </cell>
          <cell r="B96" t="str">
            <v>VAR_ncap</v>
          </cell>
          <cell r="C96" t="str">
            <v>-</v>
          </cell>
          <cell r="E96">
            <v>2.9180342969113102</v>
          </cell>
          <cell r="F96">
            <v>9.6998130919903804</v>
          </cell>
          <cell r="G96">
            <v>27.842527931736601</v>
          </cell>
          <cell r="H96">
            <v>30.286357401748202</v>
          </cell>
          <cell r="I96">
            <v>0.124093156305007</v>
          </cell>
          <cell r="J96">
            <v>10.414754622487299</v>
          </cell>
          <cell r="K96">
            <v>16.581773447111001</v>
          </cell>
          <cell r="L96">
            <v>3.29096867929043</v>
          </cell>
          <cell r="M96">
            <v>0.26021734576092098</v>
          </cell>
          <cell r="N96">
            <v>0.119126542555704</v>
          </cell>
          <cell r="O96">
            <v>0.140705036375873</v>
          </cell>
        </row>
        <row r="97">
          <cell r="A97" t="str">
            <v>T-PHEV-STG_S3</v>
          </cell>
          <cell r="B97" t="str">
            <v>VAR_cap</v>
          </cell>
          <cell r="C97" t="str">
            <v>-</v>
          </cell>
          <cell r="E97">
            <v>2.9180342969113102</v>
          </cell>
          <cell r="F97">
            <v>12.616088273685303</v>
          </cell>
          <cell r="G97">
            <v>40.436667218848278</v>
          </cell>
          <cell r="H97">
            <v>54.891469423977597</v>
          </cell>
          <cell r="I97">
            <v>32.615079258412202</v>
          </cell>
          <cell r="J97">
            <v>20.9297508182947</v>
          </cell>
          <cell r="K97">
            <v>26.927654989346195</v>
          </cell>
          <cell r="L97">
            <v>27.950573866358525</v>
          </cell>
          <cell r="M97">
            <v>19.838023552476201</v>
          </cell>
          <cell r="N97">
            <v>5.493618186007879</v>
          </cell>
          <cell r="O97">
            <v>0.51997684990103299</v>
          </cell>
        </row>
        <row r="98">
          <cell r="A98" t="str">
            <v>TFLGV-HYBDSL</v>
          </cell>
          <cell r="B98" t="str">
            <v>VAR_fout</v>
          </cell>
          <cell r="C98" t="str">
            <v>CO2_T</v>
          </cell>
          <cell r="E98">
            <v>32.837556943133997</v>
          </cell>
          <cell r="F98">
            <v>97.883350178276999</v>
          </cell>
          <cell r="G98">
            <v>276.90913191908851</v>
          </cell>
          <cell r="H98">
            <v>333.354604430282</v>
          </cell>
          <cell r="I98">
            <v>166.05038666383186</v>
          </cell>
          <cell r="J98">
            <v>180.04781157064542</v>
          </cell>
          <cell r="K98">
            <v>190.79451216901319</v>
          </cell>
          <cell r="L98">
            <v>195.81320441800221</v>
          </cell>
          <cell r="M98">
            <v>196.47105021790918</v>
          </cell>
          <cell r="N98">
            <v>194.50602256961338</v>
          </cell>
          <cell r="O98">
            <v>197.96752359291071</v>
          </cell>
        </row>
        <row r="99">
          <cell r="A99" t="str">
            <v>TFLGV-HYBDSL</v>
          </cell>
          <cell r="B99" t="str">
            <v>VAR_fout</v>
          </cell>
          <cell r="C99" t="str">
            <v>TFLGV</v>
          </cell>
          <cell r="E99">
            <v>0.20641858200655494</v>
          </cell>
          <cell r="F99">
            <v>0.61529980384474547</v>
          </cell>
          <cell r="G99">
            <v>1.7406651309166796</v>
          </cell>
          <cell r="H99">
            <v>2.0954842916912719</v>
          </cell>
          <cell r="I99">
            <v>1.043801322252601</v>
          </cell>
          <cell r="J99">
            <v>1.1317898594635507</v>
          </cell>
          <cell r="K99">
            <v>1.1993441754745069</v>
          </cell>
          <cell r="L99">
            <v>1.2308919346259406</v>
          </cell>
          <cell r="M99">
            <v>1.2350271873620344</v>
          </cell>
          <cell r="N99">
            <v>1.2226749218915167</v>
          </cell>
          <cell r="O99">
            <v>1.244434096426962</v>
          </cell>
        </row>
        <row r="100">
          <cell r="A100" t="str">
            <v>TFLGV-HYBDSL</v>
          </cell>
          <cell r="B100" t="str">
            <v>VAR_fin</v>
          </cell>
          <cell r="C100" t="str">
            <v>TDSL</v>
          </cell>
          <cell r="E100">
            <v>0.44798849854207373</v>
          </cell>
          <cell r="F100">
            <v>1.3353799478618966</v>
          </cell>
          <cell r="G100">
            <v>3.7777507765223524</v>
          </cell>
          <cell r="H100">
            <v>4.5478117930461481</v>
          </cell>
          <cell r="I100">
            <v>2.2653531604888348</v>
          </cell>
          <cell r="J100">
            <v>2.4563139368437237</v>
          </cell>
          <cell r="K100">
            <v>2.6029264961666252</v>
          </cell>
          <cell r="L100">
            <v>2.671394330395664</v>
          </cell>
          <cell r="M100">
            <v>2.6803690343507376</v>
          </cell>
          <cell r="N100">
            <v>2.6535610173207855</v>
          </cell>
          <cell r="O100">
            <v>2.7007847693439393</v>
          </cell>
        </row>
        <row r="101">
          <cell r="A101" t="str">
            <v>TFLGV-HYBDSL</v>
          </cell>
          <cell r="B101" t="str">
            <v>VAR_ncap</v>
          </cell>
          <cell r="C101" t="str">
            <v>-</v>
          </cell>
          <cell r="E101">
            <v>1.43891965116437E-2</v>
          </cell>
          <cell r="F101">
            <v>4.0691354327854597E-2</v>
          </cell>
          <cell r="G101">
            <v>9.7391641151724703E-2</v>
          </cell>
          <cell r="H101">
            <v>5.3145037706470298E-2</v>
          </cell>
          <cell r="I101">
            <v>4.1658271649682898E-5</v>
          </cell>
          <cell r="J101">
            <v>5.3677400396571401E-2</v>
          </cell>
          <cell r="K101">
            <v>3.4391686418139597E-2</v>
          </cell>
          <cell r="L101">
            <v>2.95511621965827E-2</v>
          </cell>
          <cell r="M101">
            <v>4.0912446796092503E-2</v>
          </cell>
          <cell r="N101">
            <v>4.1938789531788E-2</v>
          </cell>
          <cell r="O101">
            <v>1.8532018054601099E-2</v>
          </cell>
        </row>
        <row r="102">
          <cell r="A102" t="str">
            <v>TFLGV-HYBDSL</v>
          </cell>
          <cell r="B102" t="str">
            <v>VAR_cap</v>
          </cell>
          <cell r="C102" t="str">
            <v>-</v>
          </cell>
          <cell r="E102">
            <v>1.43891965116437E-2</v>
          </cell>
          <cell r="F102">
            <v>5.5080550839498303E-2</v>
          </cell>
          <cell r="G102">
            <v>0.15056567981773405</v>
          </cell>
          <cell r="H102">
            <v>0.17138463387751929</v>
          </cell>
          <cell r="I102">
            <v>7.3638608378885612E-2</v>
          </cell>
          <cell r="J102">
            <v>8.1275323954476064E-2</v>
          </cell>
          <cell r="K102">
            <v>8.8083290268585315E-2</v>
          </cell>
          <cell r="L102">
            <v>8.8087504959731389E-2</v>
          </cell>
          <cell r="M102">
            <v>8.8083935848013425E-2</v>
          </cell>
          <cell r="N102">
            <v>8.8085378138218651E-2</v>
          </cell>
          <cell r="O102">
            <v>8.8081040614306466E-2</v>
          </cell>
        </row>
        <row r="103">
          <cell r="A103" t="str">
            <v>TFHGV-FCLH2O</v>
          </cell>
          <cell r="B103" t="str">
            <v>VAR_fout</v>
          </cell>
          <cell r="C103" t="str">
            <v>TFHGV</v>
          </cell>
          <cell r="D103">
            <v>4.3952520924942141E-4</v>
          </cell>
          <cell r="E103">
            <v>1.6171454690229301E-4</v>
          </cell>
          <cell r="F103">
            <v>1.5942347477879368E-4</v>
          </cell>
          <cell r="G103">
            <v>2.5485727555941076E-5</v>
          </cell>
          <cell r="H103">
            <v>2.4013814686785337E-5</v>
          </cell>
          <cell r="I103">
            <v>2.3705757985534715E-5</v>
          </cell>
          <cell r="J103">
            <v>2.2838979301260805E-5</v>
          </cell>
          <cell r="K103">
            <v>2.1820165932582569E-5</v>
          </cell>
          <cell r="L103">
            <v>2.0818641992476503E-5</v>
          </cell>
          <cell r="M103">
            <v>1.9063433359742592E-5</v>
          </cell>
          <cell r="N103">
            <v>2.0566189976226556E-5</v>
          </cell>
          <cell r="O103">
            <v>1.8879021505839583E-5</v>
          </cell>
        </row>
        <row r="104">
          <cell r="A104" t="str">
            <v>TFHGV-FCLH2O</v>
          </cell>
          <cell r="B104" t="str">
            <v>VAR_fin</v>
          </cell>
          <cell r="C104" t="str">
            <v>TH2O</v>
          </cell>
          <cell r="D104">
            <v>2.519364930020699E-3</v>
          </cell>
          <cell r="E104">
            <v>9.2347470769531953E-4</v>
          </cell>
          <cell r="F104">
            <v>9.0931699028989183E-4</v>
          </cell>
          <cell r="G104">
            <v>1.4185258928461946E-4</v>
          </cell>
          <cell r="H104">
            <v>1.2366533599926957E-4</v>
          </cell>
          <cell r="I104">
            <v>1.1912087560128959E-4</v>
          </cell>
          <cell r="J104">
            <v>1.0932555907002152E-4</v>
          </cell>
          <cell r="K104">
            <v>1.0156229207330765E-4</v>
          </cell>
          <cell r="L104">
            <v>9.5101457056128929E-5</v>
          </cell>
          <cell r="M104">
            <v>8.7083503797178921E-5</v>
          </cell>
          <cell r="N104">
            <v>9.394823320075908E-5</v>
          </cell>
          <cell r="O104">
            <v>8.6241093614471606E-5</v>
          </cell>
        </row>
        <row r="105">
          <cell r="A105" t="str">
            <v>TFHGV-FCLH2O</v>
          </cell>
          <cell r="B105" t="str">
            <v>VAR_ncap</v>
          </cell>
          <cell r="C105" t="str">
            <v>-</v>
          </cell>
          <cell r="E105">
            <v>1.77427409079343E-7</v>
          </cell>
          <cell r="F105">
            <v>1.3295242905590701E-7</v>
          </cell>
          <cell r="G105">
            <v>1.7126073425159499E-7</v>
          </cell>
          <cell r="H105">
            <v>4.8335666725399102E-7</v>
          </cell>
          <cell r="I105">
            <v>2.5484232004697398E-7</v>
          </cell>
          <cell r="J105">
            <v>3.5388347962411099E-7</v>
          </cell>
          <cell r="K105">
            <v>2.2715354149380801E-7</v>
          </cell>
          <cell r="L105">
            <v>2.7838954841538098E-7</v>
          </cell>
          <cell r="M105">
            <v>3.4861824947492E-7</v>
          </cell>
          <cell r="N105">
            <v>2.2494463795480999E-7</v>
          </cell>
          <cell r="O105">
            <v>2.49648087792486E-7</v>
          </cell>
        </row>
        <row r="106">
          <cell r="A106" t="str">
            <v>TFHGV-FCLH2O</v>
          </cell>
          <cell r="B106" t="str">
            <v>VAR_cap</v>
          </cell>
          <cell r="C106" t="str">
            <v>-</v>
          </cell>
          <cell r="D106">
            <v>1.056792702077942E-5</v>
          </cell>
          <cell r="E106">
            <v>3.1897572207816418E-6</v>
          </cell>
          <cell r="F106">
            <v>3.3151528464267499E-6</v>
          </cell>
          <cell r="G106">
            <v>5.3750376326018367E-7</v>
          </cell>
          <cell r="H106">
            <v>5.2777048678894802E-7</v>
          </cell>
          <cell r="I106">
            <v>5.0722374928547091E-7</v>
          </cell>
          <cell r="J106">
            <v>4.8602202482852405E-7</v>
          </cell>
          <cell r="K106">
            <v>4.65976349785996E-7</v>
          </cell>
          <cell r="L106">
            <v>4.4459705782398901E-7</v>
          </cell>
          <cell r="M106">
            <v>4.2081426812315599E-7</v>
          </cell>
          <cell r="N106">
            <v>4.3660172146748603E-7</v>
          </cell>
          <cell r="O106">
            <v>4.01454863863806E-7</v>
          </cell>
        </row>
        <row r="107">
          <cell r="A107" t="str">
            <v>T-PHEV-STG_S4</v>
          </cell>
          <cell r="B107" t="str">
            <v>VAR_fout</v>
          </cell>
          <cell r="C107" t="str">
            <v>T-ELC-car-PlgSTGAUXout_S4</v>
          </cell>
          <cell r="E107">
            <v>6.2224906301992441E-4</v>
          </cell>
          <cell r="F107">
            <v>1.6971197854604486E-3</v>
          </cell>
          <cell r="G107">
            <v>3.180566591801126E-3</v>
          </cell>
          <cell r="H107">
            <v>0.67190404716651841</v>
          </cell>
          <cell r="I107">
            <v>1.3589207593222743</v>
          </cell>
          <cell r="J107">
            <v>1.7984248641283453</v>
          </cell>
          <cell r="K107">
            <v>2.0115464416032238</v>
          </cell>
          <cell r="L107">
            <v>2.0732195807984009</v>
          </cell>
          <cell r="M107">
            <v>2.418456360770266</v>
          </cell>
          <cell r="N107">
            <v>2.7884616827539723</v>
          </cell>
          <cell r="O107">
            <v>3.0932196241529564</v>
          </cell>
        </row>
        <row r="108">
          <cell r="A108" t="str">
            <v>T-PHEV-STG_S4</v>
          </cell>
          <cell r="B108" t="str">
            <v>VAR_fout</v>
          </cell>
          <cell r="C108" t="str">
            <v>T-ELC-car-PlgSTGOut_S4</v>
          </cell>
          <cell r="E108">
            <v>6.222490630199242E-4</v>
          </cell>
          <cell r="F108">
            <v>1.6971197854604486E-3</v>
          </cell>
          <cell r="G108">
            <v>3.180566591801126E-3</v>
          </cell>
          <cell r="H108">
            <v>0.67190404716651841</v>
          </cell>
          <cell r="I108">
            <v>1.3589207593222743</v>
          </cell>
          <cell r="J108">
            <v>1.7984248641283453</v>
          </cell>
          <cell r="K108">
            <v>2.0115464416032234</v>
          </cell>
          <cell r="L108">
            <v>2.0732195807984004</v>
          </cell>
          <cell r="M108">
            <v>2.4184563607702656</v>
          </cell>
          <cell r="N108">
            <v>2.7884616827539723</v>
          </cell>
          <cell r="O108">
            <v>3.0932196241529564</v>
          </cell>
        </row>
        <row r="109">
          <cell r="A109" t="str">
            <v>T-PHEV-STG_S4</v>
          </cell>
          <cell r="B109" t="str">
            <v>VAR_fin</v>
          </cell>
          <cell r="C109" t="str">
            <v>T-ELC-car-PlgSTGAUXin_S4</v>
          </cell>
          <cell r="E109">
            <v>6.2536347350325037E-4</v>
          </cell>
          <cell r="F109">
            <v>1.7100991838737447E-3</v>
          </cell>
          <cell r="G109">
            <v>3.1896114758998744E-3</v>
          </cell>
          <cell r="H109">
            <v>0.67197708807766154</v>
          </cell>
          <cell r="I109">
            <v>1.3590611755910247</v>
          </cell>
          <cell r="J109">
            <v>1.7986160677691079</v>
          </cell>
          <cell r="K109">
            <v>2.0117680251790468</v>
          </cell>
          <cell r="L109">
            <v>2.073437655616527</v>
          </cell>
          <cell r="M109">
            <v>2.4187175173128934</v>
          </cell>
          <cell r="N109">
            <v>2.7887511889442318</v>
          </cell>
          <cell r="O109">
            <v>3.0935543075330196</v>
          </cell>
        </row>
        <row r="110">
          <cell r="A110" t="str">
            <v>T-PHEV-STG_S4</v>
          </cell>
          <cell r="B110" t="str">
            <v>VAR_fin</v>
          </cell>
          <cell r="C110" t="str">
            <v>T-ELC-car-PlgSTGin_S4</v>
          </cell>
          <cell r="E110">
            <v>6.2536347350325037E-4</v>
          </cell>
          <cell r="F110">
            <v>1.7100991838737447E-3</v>
          </cell>
          <cell r="G110">
            <v>3.1896114758998744E-3</v>
          </cell>
          <cell r="H110">
            <v>0.67197708807766154</v>
          </cell>
          <cell r="I110">
            <v>1.3590611755910247</v>
          </cell>
          <cell r="J110">
            <v>1.7986160677691079</v>
          </cell>
          <cell r="K110">
            <v>2.0117680251790468</v>
          </cell>
          <cell r="L110">
            <v>2.073437655616527</v>
          </cell>
          <cell r="M110">
            <v>2.4187175173128934</v>
          </cell>
          <cell r="N110">
            <v>2.7887511889442318</v>
          </cell>
          <cell r="O110">
            <v>3.0935543075330196</v>
          </cell>
        </row>
        <row r="111">
          <cell r="A111" t="str">
            <v>T-PHEV-STG_S4</v>
          </cell>
          <cell r="B111" t="str">
            <v>VAR_ncap</v>
          </cell>
          <cell r="C111" t="str">
            <v>-</v>
          </cell>
          <cell r="E111">
            <v>2.3668628396008501E-2</v>
          </cell>
          <cell r="F111">
            <v>3.11064606357189E-2</v>
          </cell>
          <cell r="G111">
            <v>3.2764701292478299E-2</v>
          </cell>
          <cell r="H111">
            <v>12.129228375286001</v>
          </cell>
          <cell r="I111">
            <v>20.069787238727699</v>
          </cell>
          <cell r="J111">
            <v>13.268516608250099</v>
          </cell>
          <cell r="K111">
            <v>10.6681625635572</v>
          </cell>
          <cell r="L111">
            <v>19.1614114375047</v>
          </cell>
          <cell r="M111">
            <v>20.748364287058202</v>
          </cell>
          <cell r="N111">
            <v>23.544227039602202</v>
          </cell>
          <cell r="O111">
            <v>20.199180977013899</v>
          </cell>
        </row>
        <row r="112">
          <cell r="A112" t="str">
            <v>T-PHEV-STG_S4</v>
          </cell>
          <cell r="B112" t="str">
            <v>VAR_cap</v>
          </cell>
          <cell r="C112" t="str">
            <v>-</v>
          </cell>
          <cell r="E112">
            <v>2.3668628396008501E-2</v>
          </cell>
          <cell r="F112">
            <v>5.4770584212257514E-2</v>
          </cell>
          <cell r="G112">
            <v>8.7520222665217862E-2</v>
          </cell>
          <cell r="H112">
            <v>12.205157852781213</v>
          </cell>
          <cell r="I112">
            <v>29.32394397330517</v>
          </cell>
          <cell r="J112">
            <v>42.160651468566421</v>
          </cell>
          <cell r="K112">
            <v>42.849106541900888</v>
          </cell>
          <cell r="L112">
            <v>41.981559823437848</v>
          </cell>
          <cell r="M112">
            <v>46.031513258854993</v>
          </cell>
          <cell r="N112">
            <v>55.66420545375864</v>
          </cell>
          <cell r="O112">
            <v>64.491568410762426</v>
          </cell>
        </row>
        <row r="113">
          <cell r="A113" t="str">
            <v>TFLGV-ICEGSLExt</v>
          </cell>
          <cell r="B113" t="str">
            <v>VAR_fout</v>
          </cell>
          <cell r="C113" t="str">
            <v>CO2_T</v>
          </cell>
          <cell r="D113">
            <v>53.328718566280401</v>
          </cell>
          <cell r="E113">
            <v>99.972565371459893</v>
          </cell>
          <cell r="F113">
            <v>42.050781046136002</v>
          </cell>
          <cell r="G113">
            <v>20.016644356621899</v>
          </cell>
        </row>
        <row r="114">
          <cell r="A114" t="str">
            <v>TFLGV-ICEGSLExt</v>
          </cell>
          <cell r="B114" t="str">
            <v>VAR_fout</v>
          </cell>
          <cell r="C114" t="str">
            <v>TFLGV</v>
          </cell>
          <cell r="D114">
            <v>0.20058481497603869</v>
          </cell>
          <cell r="E114">
            <v>0.37953045640054317</v>
          </cell>
          <cell r="F114">
            <v>0.16185047456374693</v>
          </cell>
          <cell r="G114">
            <v>7.7042644814101433E-2</v>
          </cell>
        </row>
        <row r="115">
          <cell r="A115" t="str">
            <v>TFLGV-ICEGSLExt</v>
          </cell>
          <cell r="B115" t="str">
            <v>VAR_fin</v>
          </cell>
          <cell r="C115" t="str">
            <v>TGSL</v>
          </cell>
          <cell r="D115">
            <v>0.72261136268672554</v>
          </cell>
          <cell r="E115">
            <v>1.3546418072013535</v>
          </cell>
          <cell r="F115">
            <v>0.56979378111295265</v>
          </cell>
          <cell r="G115">
            <v>0.27122824331465983</v>
          </cell>
        </row>
        <row r="116">
          <cell r="A116" t="str">
            <v>TFLGV-ICEGSLExt</v>
          </cell>
          <cell r="B116" t="str">
            <v>VAR_cap</v>
          </cell>
          <cell r="C116" t="str">
            <v>-</v>
          </cell>
          <cell r="D116">
            <v>3.982981520839049E-2</v>
          </cell>
          <cell r="E116">
            <v>3.9825053668781897E-2</v>
          </cell>
          <cell r="F116">
            <v>3.0634655826724172E-2</v>
          </cell>
          <cell r="G116">
            <v>1.5317333333333299E-2</v>
          </cell>
        </row>
        <row r="117">
          <cell r="A117" t="str">
            <v>TFRLFELCEXT</v>
          </cell>
          <cell r="B117" t="str">
            <v>VAR_fout</v>
          </cell>
          <cell r="C117" t="str">
            <v>TFRLF</v>
          </cell>
          <cell r="D117">
            <v>2.5094614817100697E-2</v>
          </cell>
          <cell r="E117">
            <v>2.7685576919672335E-2</v>
          </cell>
          <cell r="F117">
            <v>2.9169063213674341E-2</v>
          </cell>
          <cell r="G117">
            <v>3.1641673707225502E-2</v>
          </cell>
          <cell r="H117">
            <v>3.3095725599905042E-2</v>
          </cell>
          <cell r="I117">
            <v>3.387588766719294E-2</v>
          </cell>
          <cell r="J117">
            <v>3.5146837823479063E-2</v>
          </cell>
          <cell r="K117">
            <v>3.6417025741594708E-2</v>
          </cell>
          <cell r="L117">
            <v>3.6995458869704095E-2</v>
          </cell>
          <cell r="M117">
            <v>3.7867816937734881E-2</v>
          </cell>
          <cell r="N117">
            <v>3.8117152549943516E-2</v>
          </cell>
          <cell r="O117">
            <v>3.8604280419568461E-2</v>
          </cell>
        </row>
        <row r="118">
          <cell r="A118" t="str">
            <v>TFRLFELCEXT</v>
          </cell>
          <cell r="B118" t="str">
            <v>VAR_fin</v>
          </cell>
          <cell r="C118" t="str">
            <v>TELC</v>
          </cell>
          <cell r="D118">
            <v>1.5023088130753199</v>
          </cell>
          <cell r="E118">
            <v>1.6574187930215014</v>
          </cell>
          <cell r="F118">
            <v>1.7462288644172526</v>
          </cell>
          <cell r="G118">
            <v>1.8942536323938914</v>
          </cell>
          <cell r="H118">
            <v>1.9813015902510784</v>
          </cell>
          <cell r="I118">
            <v>2.028006604767381</v>
          </cell>
          <cell r="J118">
            <v>2.1040930334567318</v>
          </cell>
          <cell r="K118">
            <v>2.1801338301597211</v>
          </cell>
          <cell r="L118">
            <v>2.2147621833927489</v>
          </cell>
          <cell r="M118">
            <v>2.2669865838592225</v>
          </cell>
          <cell r="N118">
            <v>2.2819132559904562</v>
          </cell>
          <cell r="O118">
            <v>2.3110755482577798</v>
          </cell>
        </row>
        <row r="119">
          <cell r="A119" t="str">
            <v>TFRLFELCEXT</v>
          </cell>
          <cell r="B119" t="str">
            <v>VAR_ncap</v>
          </cell>
          <cell r="C119" t="str">
            <v>-</v>
          </cell>
          <cell r="D119">
            <v>1.35098981006021E-7</v>
          </cell>
          <cell r="E119">
            <v>2.3910542607291001E-4</v>
          </cell>
          <cell r="F119">
            <v>1.36949793004709E-4</v>
          </cell>
          <cell r="G119">
            <v>2.2823945729959699E-4</v>
          </cell>
          <cell r="H119">
            <v>1.34256257197451E-4</v>
          </cell>
          <cell r="I119">
            <v>7.2022510661643406E-5</v>
          </cell>
          <cell r="J119">
            <v>1.1732802080192201E-4</v>
          </cell>
          <cell r="K119">
            <v>1.7204420426829899E-3</v>
          </cell>
          <cell r="L119">
            <v>1.16274417929027E-3</v>
          </cell>
          <cell r="M119">
            <v>2.8914669824202897E-4</v>
          </cell>
          <cell r="N119">
            <v>1.4475393599083799E-4</v>
          </cell>
          <cell r="O119">
            <v>1.2957337336051499E-4</v>
          </cell>
        </row>
        <row r="120">
          <cell r="A120" t="str">
            <v>TFRLFELCEXT</v>
          </cell>
          <cell r="B120" t="str">
            <v>VAR_cap</v>
          </cell>
          <cell r="C120" t="str">
            <v>-</v>
          </cell>
          <cell r="D120">
            <v>2.316799586664186E-3</v>
          </cell>
          <cell r="E120">
            <v>2.5559050127370959E-3</v>
          </cell>
          <cell r="F120">
            <v>2.6928548057418059E-3</v>
          </cell>
          <cell r="G120">
            <v>2.921094263041402E-3</v>
          </cell>
          <cell r="H120">
            <v>3.0553505202388529E-3</v>
          </cell>
          <cell r="I120">
            <v>3.1273730309004958E-3</v>
          </cell>
          <cell r="J120">
            <v>3.244701051702418E-3</v>
          </cell>
          <cell r="K120">
            <v>3.362013785819737E-3</v>
          </cell>
          <cell r="L120">
            <v>3.4153676281203399E-3</v>
          </cell>
          <cell r="M120">
            <v>3.4959397088763001E-3</v>
          </cell>
          <cell r="N120">
            <v>3.5189419922883802E-3</v>
          </cell>
          <cell r="O120">
            <v>3.5639882503685598E-3</v>
          </cell>
        </row>
        <row r="121">
          <cell r="A121" t="str">
            <v>TFLGV-ICEDSLExt</v>
          </cell>
          <cell r="B121" t="str">
            <v>VAR_fout</v>
          </cell>
          <cell r="C121" t="str">
            <v>CO2_T</v>
          </cell>
          <cell r="D121">
            <v>812.44484431433102</v>
          </cell>
          <cell r="E121">
            <v>579.71560948673505</v>
          </cell>
          <cell r="F121">
            <v>415.409292851006</v>
          </cell>
          <cell r="G121">
            <v>199.79034807306499</v>
          </cell>
        </row>
        <row r="122">
          <cell r="A122" t="str">
            <v>TFLGV-ICEDSLExt</v>
          </cell>
          <cell r="B122" t="str">
            <v>VAR_fout</v>
          </cell>
          <cell r="C122" t="str">
            <v>TFLGV</v>
          </cell>
          <cell r="D122">
            <v>2.8711184122426268</v>
          </cell>
          <cell r="E122">
            <v>2.1190658872794423</v>
          </cell>
          <cell r="F122">
            <v>1.5941328924124587</v>
          </cell>
          <cell r="G122">
            <v>0.76669533140184376</v>
          </cell>
        </row>
        <row r="123">
          <cell r="A123" t="str">
            <v>TFLGV-ICEDSLExt</v>
          </cell>
          <cell r="B123" t="str">
            <v>VAR_fin</v>
          </cell>
          <cell r="C123" t="str">
            <v>TDSL</v>
          </cell>
          <cell r="D123">
            <v>11.083831436757585</v>
          </cell>
          <cell r="E123">
            <v>7.9088077692596785</v>
          </cell>
          <cell r="F123">
            <v>5.6672481971487878</v>
          </cell>
          <cell r="G123">
            <v>2.7256527704374518</v>
          </cell>
        </row>
        <row r="124">
          <cell r="A124" t="str">
            <v>TFLGV-ICEDSLExt</v>
          </cell>
          <cell r="B124" t="str">
            <v>VAR_cap</v>
          </cell>
          <cell r="C124" t="str">
            <v>-</v>
          </cell>
          <cell r="D124">
            <v>0.22867004565285465</v>
          </cell>
          <cell r="E124">
            <v>0.1984605570513969</v>
          </cell>
          <cell r="F124">
            <v>0.15266197427635958</v>
          </cell>
          <cell r="G124">
            <v>7.6330999999999996E-2</v>
          </cell>
        </row>
        <row r="125">
          <cell r="A125" t="str">
            <v>T_C-ICE-NGA-S1</v>
          </cell>
          <cell r="B125" t="str">
            <v>VAR_fout</v>
          </cell>
          <cell r="C125" t="str">
            <v>CO2_T</v>
          </cell>
          <cell r="D125">
            <v>0.20226028507816232</v>
          </cell>
          <cell r="E125">
            <v>0.12034171646988343</v>
          </cell>
          <cell r="F125">
            <v>0.12095933201043614</v>
          </cell>
          <cell r="G125">
            <v>8.2240016852059578E-3</v>
          </cell>
          <cell r="H125">
            <v>4.4928068126245833E-3</v>
          </cell>
          <cell r="I125">
            <v>3.4959602310361024E-3</v>
          </cell>
          <cell r="J125">
            <v>3.3179395604985302E-3</v>
          </cell>
          <cell r="K125">
            <v>3.3398957732030049E-3</v>
          </cell>
          <cell r="L125">
            <v>2.8076013739986301E-3</v>
          </cell>
          <cell r="M125">
            <v>3.001283763311794E-3</v>
          </cell>
          <cell r="N125">
            <v>2.9036176585753347E-3</v>
          </cell>
          <cell r="O125">
            <v>3.1190135198415703E-3</v>
          </cell>
        </row>
        <row r="126">
          <cell r="A126" t="str">
            <v>T_C-ICE-NGA-S1</v>
          </cell>
          <cell r="B126" t="str">
            <v>VAR_fout</v>
          </cell>
          <cell r="C126" t="str">
            <v>TPCAR</v>
          </cell>
          <cell r="D126">
            <v>2.2071400124503192E-3</v>
          </cell>
          <cell r="E126">
            <v>1.35199110934063E-3</v>
          </cell>
          <cell r="F126">
            <v>1.355729458352402E-3</v>
          </cell>
          <cell r="G126">
            <v>9.0906984608473651E-5</v>
          </cell>
          <cell r="H126">
            <v>4.8278241691743571E-5</v>
          </cell>
          <cell r="I126">
            <v>3.9049388472531783E-5</v>
          </cell>
          <cell r="J126">
            <v>3.9103963951199869E-5</v>
          </cell>
          <cell r="K126">
            <v>4.3390037194697317E-5</v>
          </cell>
          <cell r="L126">
            <v>3.9490037797593129E-5</v>
          </cell>
          <cell r="M126">
            <v>4.542371628158022E-5</v>
          </cell>
          <cell r="N126">
            <v>4.6209342624086259E-5</v>
          </cell>
          <cell r="O126">
            <v>5.0825563476914192E-5</v>
          </cell>
        </row>
        <row r="127">
          <cell r="A127" t="str">
            <v>T_C-ICE-NGA-S1</v>
          </cell>
          <cell r="B127" t="str">
            <v>VAR_fin</v>
          </cell>
          <cell r="C127" t="str">
            <v>TNGA</v>
          </cell>
          <cell r="D127">
            <v>3.5861752673433112E-3</v>
          </cell>
          <cell r="E127">
            <v>2.1337183771255935E-3</v>
          </cell>
          <cell r="F127">
            <v>2.1446690072772366E-3</v>
          </cell>
          <cell r="G127">
            <v>1.4581563271641798E-4</v>
          </cell>
          <cell r="H127">
            <v>7.9659695259300982E-5</v>
          </cell>
          <cell r="I127">
            <v>6.1985110479363461E-5</v>
          </cell>
          <cell r="J127">
            <v>5.8828715611676151E-5</v>
          </cell>
          <cell r="K127">
            <v>5.9218010163173886E-5</v>
          </cell>
          <cell r="L127">
            <v>4.9780166205649532E-5</v>
          </cell>
          <cell r="M127">
            <v>5.3214251122549508E-5</v>
          </cell>
          <cell r="N127">
            <v>5.1482582598853545E-5</v>
          </cell>
          <cell r="O127">
            <v>5.5301658153219307E-5</v>
          </cell>
        </row>
        <row r="128">
          <cell r="A128" t="str">
            <v>T_C-ICE-NGA-S1</v>
          </cell>
          <cell r="B128" t="str">
            <v>VAR_ncap</v>
          </cell>
          <cell r="C128" t="str">
            <v>-</v>
          </cell>
          <cell r="E128">
            <v>2.78945648241943E-6</v>
          </cell>
          <cell r="F128">
            <v>2.6989938178065501E-6</v>
          </cell>
          <cell r="G128">
            <v>6.2227727065062896E-7</v>
          </cell>
          <cell r="H128">
            <v>3.1770741857620801E-6</v>
          </cell>
          <cell r="I128">
            <v>2.3449365016272901E-6</v>
          </cell>
          <cell r="J128">
            <v>1.8841309871792101E-6</v>
          </cell>
          <cell r="K128">
            <v>2.5459738702169202E-6</v>
          </cell>
          <cell r="L128">
            <v>2.1479929027473599E-6</v>
          </cell>
          <cell r="M128">
            <v>2.0634039604809499E-6</v>
          </cell>
          <cell r="N128">
            <v>2.2803674087472399E-6</v>
          </cell>
          <cell r="O128">
            <v>2.13081982163595E-6</v>
          </cell>
        </row>
        <row r="129">
          <cell r="A129" t="str">
            <v>T_C-ICE-NGA-S1</v>
          </cell>
          <cell r="B129" t="str">
            <v>VAR_cap</v>
          </cell>
          <cell r="C129" t="str">
            <v>-</v>
          </cell>
          <cell r="D129">
            <v>2.5562629945771975E-4</v>
          </cell>
          <cell r="E129">
            <v>1.9575148915846935E-4</v>
          </cell>
          <cell r="F129">
            <v>1.9791812203125934E-4</v>
          </cell>
          <cell r="G129">
            <v>1.2794665138733099E-5</v>
          </cell>
          <cell r="H129">
            <v>6.3908627156393299E-6</v>
          </cell>
          <cell r="I129">
            <v>5.2131162665457489E-6</v>
          </cell>
          <cell r="J129">
            <v>5.0283512257197302E-6</v>
          </cell>
          <cell r="K129">
            <v>5.3972321142680876E-6</v>
          </cell>
          <cell r="L129">
            <v>5.2666299220713731E-6</v>
          </cell>
          <cell r="M129">
            <v>5.6622425491456819E-6</v>
          </cell>
          <cell r="N129">
            <v>6.0067895090611632E-6</v>
          </cell>
          <cell r="O129">
            <v>6.4481330315067258E-6</v>
          </cell>
        </row>
        <row r="130">
          <cell r="A130" t="str">
            <v>D-T-ELC-car</v>
          </cell>
          <cell r="B130" t="str">
            <v>VAR_fout</v>
          </cell>
          <cell r="C130" t="str">
            <v>T-ELC-car</v>
          </cell>
          <cell r="D130">
            <v>0.73769782319723531</v>
          </cell>
          <cell r="E130">
            <v>1.5816027804604245</v>
          </cell>
          <cell r="F130">
            <v>4.2393100978574267</v>
          </cell>
          <cell r="G130">
            <v>14.142636908652008</v>
          </cell>
          <cell r="H130">
            <v>23.39265168995664</v>
          </cell>
          <cell r="I130">
            <v>24.655823821902796</v>
          </cell>
          <cell r="J130">
            <v>24.675205790210228</v>
          </cell>
          <cell r="K130">
            <v>24.821757316105426</v>
          </cell>
          <cell r="L130">
            <v>25.066728572973318</v>
          </cell>
          <cell r="M130">
            <v>24.749215772228911</v>
          </cell>
          <cell r="N130">
            <v>24.727483205852174</v>
          </cell>
          <cell r="O130">
            <v>24.504455492667581</v>
          </cell>
        </row>
        <row r="131">
          <cell r="A131" t="str">
            <v>D-T-ELC-car</v>
          </cell>
          <cell r="B131" t="str">
            <v>VAR_fin</v>
          </cell>
          <cell r="C131" t="str">
            <v>TELC</v>
          </cell>
          <cell r="D131">
            <v>0.73769782319723531</v>
          </cell>
          <cell r="E131">
            <v>1.5816027804604245</v>
          </cell>
          <cell r="F131">
            <v>4.2393100978574267</v>
          </cell>
          <cell r="G131">
            <v>14.142636908652008</v>
          </cell>
          <cell r="H131">
            <v>23.39265168995664</v>
          </cell>
          <cell r="I131">
            <v>24.655823821902796</v>
          </cell>
          <cell r="J131">
            <v>24.675205790210228</v>
          </cell>
          <cell r="K131">
            <v>24.821757316105426</v>
          </cell>
          <cell r="L131">
            <v>25.066728572973318</v>
          </cell>
          <cell r="M131">
            <v>24.749215772228911</v>
          </cell>
          <cell r="N131">
            <v>24.727483205852174</v>
          </cell>
          <cell r="O131">
            <v>24.504455492667581</v>
          </cell>
        </row>
        <row r="132">
          <cell r="A132" t="str">
            <v>D-T-ELC-car</v>
          </cell>
          <cell r="B132" t="str">
            <v>VAR_ncap</v>
          </cell>
          <cell r="C132" t="str">
            <v>-</v>
          </cell>
          <cell r="D132">
            <v>3.7947434274735397E-7</v>
          </cell>
          <cell r="E132">
            <v>3.2885808806332402E-7</v>
          </cell>
          <cell r="F132">
            <v>0.981007928870545</v>
          </cell>
          <cell r="G132">
            <v>5.9886956910215901</v>
          </cell>
          <cell r="H132">
            <v>11.0045407606463</v>
          </cell>
          <cell r="I132">
            <v>5.0281070343691798</v>
          </cell>
          <cell r="J132">
            <v>6.2014392992820904</v>
          </cell>
          <cell r="K132">
            <v>12.0777304298507</v>
          </cell>
          <cell r="L132">
            <v>7.1386627733980399</v>
          </cell>
          <cell r="M132">
            <v>7.5204869647458699</v>
          </cell>
          <cell r="N132">
            <v>13.935901465178301</v>
          </cell>
          <cell r="O132">
            <v>8.5824240842220405</v>
          </cell>
        </row>
        <row r="133">
          <cell r="A133" t="str">
            <v>D-T-ELC-car</v>
          </cell>
          <cell r="B133" t="str">
            <v>VAR_cap</v>
          </cell>
          <cell r="C133" t="str">
            <v>-</v>
          </cell>
          <cell r="D133">
            <v>1.2762583365323927</v>
          </cell>
          <cell r="E133">
            <v>1.2762586653904806</v>
          </cell>
          <cell r="F133">
            <v>2.2572665942610257</v>
          </cell>
          <cell r="G133">
            <v>8.2459622852826087</v>
          </cell>
          <cell r="H133">
            <v>18.305222386336908</v>
          </cell>
          <cell r="I133">
            <v>21.088021600083</v>
          </cell>
          <cell r="J133">
            <v>22.2340870942975</v>
          </cell>
          <cell r="K133">
            <v>23.307276763501999</v>
          </cell>
          <cell r="L133">
            <v>25.3687592951627</v>
          </cell>
          <cell r="M133">
            <v>26.736880167994599</v>
          </cell>
          <cell r="N133">
            <v>28.471228215768299</v>
          </cell>
          <cell r="O133">
            <v>30.038812514146201</v>
          </cell>
        </row>
        <row r="134">
          <cell r="A134" t="str">
            <v>T_C-ICE-NGA-S2</v>
          </cell>
          <cell r="B134" t="str">
            <v>VAR_fout</v>
          </cell>
          <cell r="C134" t="str">
            <v>CO2_T</v>
          </cell>
          <cell r="D134">
            <v>2.660382295154037</v>
          </cell>
          <cell r="E134">
            <v>1.8471660848455336</v>
          </cell>
          <cell r="F134">
            <v>2.5172959356103601</v>
          </cell>
          <cell r="G134">
            <v>7.693873842421141E-3</v>
          </cell>
          <cell r="H134">
            <v>8.1703815011712616E-3</v>
          </cell>
          <cell r="I134">
            <v>8.3618903386963265E-3</v>
          </cell>
          <cell r="J134">
            <v>7.9694578546819807E-3</v>
          </cell>
          <cell r="K134">
            <v>7.398559864016661E-3</v>
          </cell>
          <cell r="L134">
            <v>6.3529430666629284E-3</v>
          </cell>
          <cell r="M134">
            <v>6.4200566554682998E-3</v>
          </cell>
          <cell r="N134">
            <v>6.203257650246193E-3</v>
          </cell>
          <cell r="O134">
            <v>6.4374976552916095E-3</v>
          </cell>
        </row>
        <row r="135">
          <cell r="A135" t="str">
            <v>T_C-ICE-NGA-S2</v>
          </cell>
          <cell r="B135" t="str">
            <v>VAR_fout</v>
          </cell>
          <cell r="C135" t="str">
            <v>TPCAR</v>
          </cell>
          <cell r="D135">
            <v>3.1280529195676039E-2</v>
          </cell>
          <cell r="E135">
            <v>2.1981903758006623E-2</v>
          </cell>
          <cell r="F135">
            <v>2.9957255970007365E-2</v>
          </cell>
          <cell r="G135">
            <v>7.3199634154260057E-5</v>
          </cell>
          <cell r="H135">
            <v>7.0028355336624397E-5</v>
          </cell>
          <cell r="I135">
            <v>7.4573243850967473E-5</v>
          </cell>
          <cell r="J135">
            <v>7.5115828259281447E-5</v>
          </cell>
          <cell r="K135">
            <v>7.7013812171554229E-5</v>
          </cell>
          <cell r="L135">
            <v>7.1656748183396835E-5</v>
          </cell>
          <cell r="M135">
            <v>7.8104072829074473E-5</v>
          </cell>
          <cell r="N135">
            <v>7.9302998902117808E-5</v>
          </cell>
          <cell r="O135">
            <v>8.4407499796839555E-5</v>
          </cell>
        </row>
        <row r="136">
          <cell r="A136" t="str">
            <v>T_C-ICE-NGA-S2</v>
          </cell>
          <cell r="B136" t="str">
            <v>VAR_fin</v>
          </cell>
          <cell r="C136" t="str">
            <v>TNGA</v>
          </cell>
          <cell r="D136">
            <v>4.7169898850248831E-2</v>
          </cell>
          <cell r="E136">
            <v>3.2751171717119325E-2</v>
          </cell>
          <cell r="F136">
            <v>4.463290665975822E-2</v>
          </cell>
          <cell r="G136">
            <v>1.3641620287980734E-4</v>
          </cell>
          <cell r="H136">
            <v>1.4486492023353309E-4</v>
          </cell>
          <cell r="I136">
            <v>1.4826046699816173E-4</v>
          </cell>
          <cell r="J136">
            <v>1.4130244423195E-4</v>
          </cell>
          <cell r="K136">
            <v>1.3118013943291942E-4</v>
          </cell>
          <cell r="L136">
            <v>1.1264083451530037E-4</v>
          </cell>
          <cell r="M136">
            <v>1.1383079176362232E-4</v>
          </cell>
          <cell r="N136">
            <v>1.0998683777032257E-4</v>
          </cell>
          <cell r="O136">
            <v>1.1414002934914201E-4</v>
          </cell>
        </row>
        <row r="137">
          <cell r="A137" t="str">
            <v>T_C-ICE-NGA-S2</v>
          </cell>
          <cell r="B137" t="str">
            <v>VAR_ncap</v>
          </cell>
          <cell r="C137" t="str">
            <v>-</v>
          </cell>
          <cell r="E137">
            <v>1.6991392156578001E-6</v>
          </cell>
          <cell r="F137">
            <v>2.9518176718219702E-6</v>
          </cell>
          <cell r="G137">
            <v>7.4253246669437603E-7</v>
          </cell>
          <cell r="H137">
            <v>3.7089477922416499E-6</v>
          </cell>
          <cell r="I137">
            <v>2.6244597575754001E-6</v>
          </cell>
          <cell r="J137">
            <v>2.2210433298306E-6</v>
          </cell>
          <cell r="K137">
            <v>2.8304981460864902E-6</v>
          </cell>
          <cell r="L137">
            <v>2.4463663983026701E-6</v>
          </cell>
          <cell r="M137">
            <v>2.3386403170628202E-6</v>
          </cell>
          <cell r="N137">
            <v>2.5584514519405199E-6</v>
          </cell>
          <cell r="O137">
            <v>2.13490182965501E-6</v>
          </cell>
        </row>
        <row r="138">
          <cell r="A138" t="str">
            <v>T_C-ICE-NGA-S2</v>
          </cell>
          <cell r="B138" t="str">
            <v>VAR_cap</v>
          </cell>
          <cell r="C138" t="str">
            <v>-</v>
          </cell>
          <cell r="D138">
            <v>2.387895410380439E-3</v>
          </cell>
          <cell r="E138">
            <v>2.304234507399461E-3</v>
          </cell>
          <cell r="F138">
            <v>2.2778611520365161E-3</v>
          </cell>
          <cell r="G138">
            <v>5.4404112842759526E-6</v>
          </cell>
          <cell r="H138">
            <v>5.7312203962122836E-6</v>
          </cell>
          <cell r="I138">
            <v>6.2214795864358594E-6</v>
          </cell>
          <cell r="J138">
            <v>6.1606026049837191E-6</v>
          </cell>
          <cell r="K138">
            <v>6.1750968696269E-6</v>
          </cell>
          <cell r="L138">
            <v>6.2573900153433824E-6</v>
          </cell>
          <cell r="M138">
            <v>6.4865819793664822E-6</v>
          </cell>
          <cell r="N138">
            <v>6.7899131201641204E-6</v>
          </cell>
          <cell r="O138">
            <v>7.0095322040669943E-6</v>
          </cell>
        </row>
        <row r="139">
          <cell r="A139" t="str">
            <v>TFLGV-ICEDSL</v>
          </cell>
          <cell r="B139" t="str">
            <v>VAR_fout</v>
          </cell>
          <cell r="C139" t="str">
            <v>CO2_T</v>
          </cell>
          <cell r="D139">
            <v>325.86531500841312</v>
          </cell>
          <cell r="E139">
            <v>384.71111388951948</v>
          </cell>
          <cell r="F139">
            <v>384.66005963497821</v>
          </cell>
          <cell r="G139">
            <v>153.89078764159794</v>
          </cell>
          <cell r="H139">
            <v>19.866112532911842</v>
          </cell>
          <cell r="I139">
            <v>19.714741288161122</v>
          </cell>
          <cell r="J139">
            <v>10.779462649488911</v>
          </cell>
          <cell r="K139">
            <v>0.93162499386741304</v>
          </cell>
          <cell r="L139">
            <v>0.82962190535361602</v>
          </cell>
          <cell r="M139">
            <v>0.68818515879017994</v>
          </cell>
          <cell r="N139">
            <v>0.56148428086756552</v>
          </cell>
          <cell r="O139">
            <v>0.80789870609799297</v>
          </cell>
        </row>
        <row r="140">
          <cell r="A140" t="str">
            <v>TFLGV-ICEDSL</v>
          </cell>
          <cell r="B140" t="str">
            <v>VAR_fout</v>
          </cell>
          <cell r="C140" t="str">
            <v>TFLGV</v>
          </cell>
          <cell r="D140">
            <v>1.5209175128010395</v>
          </cell>
          <cell r="E140">
            <v>1.7955696526605098</v>
          </cell>
          <cell r="F140">
            <v>1.7953313661468591</v>
          </cell>
          <cell r="G140">
            <v>0.71825746160437243</v>
          </cell>
          <cell r="H140">
            <v>9.272149281000247E-2</v>
          </cell>
          <cell r="I140">
            <v>9.201499485986056E-2</v>
          </cell>
          <cell r="J140">
            <v>5.0311195353114367E-2</v>
          </cell>
          <cell r="K140">
            <v>4.348191425342483E-3</v>
          </cell>
          <cell r="L140">
            <v>3.8721104294978615E-3</v>
          </cell>
          <cell r="M140">
            <v>3.2119799556658184E-3</v>
          </cell>
          <cell r="N140">
            <v>2.6206264877006932E-3</v>
          </cell>
          <cell r="O140">
            <v>3.7707213197636976E-3</v>
          </cell>
        </row>
        <row r="141">
          <cell r="A141" t="str">
            <v>TFLGV-ICEDSL</v>
          </cell>
          <cell r="B141" t="str">
            <v>VAR_fin</v>
          </cell>
          <cell r="C141" t="str">
            <v>TDSL</v>
          </cell>
          <cell r="D141">
            <v>4.4456386767859852</v>
          </cell>
          <cell r="E141">
            <v>5.248446301357709</v>
          </cell>
          <cell r="F141">
            <v>5.2477497903816985</v>
          </cell>
          <cell r="G141">
            <v>2.0994650428594439</v>
          </cell>
          <cell r="H141">
            <v>0.27102472759770557</v>
          </cell>
          <cell r="I141">
            <v>0.26895963558200675</v>
          </cell>
          <cell r="J141">
            <v>0.14705951772836173</v>
          </cell>
          <cell r="K141">
            <v>1.2709754350169361E-2</v>
          </cell>
          <cell r="L141">
            <v>1.1318170605097086E-2</v>
          </cell>
          <cell r="M141">
            <v>9.3886106246954971E-3</v>
          </cell>
          <cell r="N141">
            <v>7.6600856871427737E-3</v>
          </cell>
          <cell r="O141">
            <v>1.1021810451541512E-2</v>
          </cell>
        </row>
        <row r="142">
          <cell r="A142" t="str">
            <v>TFLGV-ICEDSL</v>
          </cell>
          <cell r="B142" t="str">
            <v>VAR_ncap</v>
          </cell>
          <cell r="C142" t="str">
            <v>-</v>
          </cell>
          <cell r="E142">
            <v>1.33192637815356E-5</v>
          </cell>
          <cell r="F142">
            <v>9.0954314264243098E-5</v>
          </cell>
          <cell r="G142">
            <v>8.5840215962680605E-5</v>
          </cell>
          <cell r="H142">
            <v>9.0588416684791607E-3</v>
          </cell>
          <cell r="I142">
            <v>3.7568445671640899E-5</v>
          </cell>
          <cell r="J142">
            <v>2.2651876338842299E-4</v>
          </cell>
          <cell r="K142">
            <v>1.51299088424119E-4</v>
          </cell>
          <cell r="L142">
            <v>8.5738248742686901E-5</v>
          </cell>
          <cell r="M142">
            <v>1.04410365310771E-4</v>
          </cell>
          <cell r="N142">
            <v>1.00242245044995E-4</v>
          </cell>
          <cell r="O142">
            <v>1.3867187883330801E-4</v>
          </cell>
        </row>
        <row r="143">
          <cell r="A143" t="str">
            <v>TFLGV-ICEDSL</v>
          </cell>
          <cell r="B143" t="str">
            <v>VAR_cap</v>
          </cell>
          <cell r="C143" t="str">
            <v>-</v>
          </cell>
          <cell r="D143">
            <v>0.10616883906055571</v>
          </cell>
          <cell r="E143">
            <v>0.12516919564585388</v>
          </cell>
          <cell r="F143">
            <v>0.12526015707412552</v>
          </cell>
          <cell r="G143">
            <v>7.1031183076380178E-2</v>
          </cell>
          <cell r="H143">
            <v>9.1912740848970904E-3</v>
          </cell>
          <cell r="I143">
            <v>9.1144072516002126E-3</v>
          </cell>
          <cell r="J143">
            <v>4.9611679037465271E-3</v>
          </cell>
          <cell r="K143">
            <v>3.9062713343529401E-4</v>
          </cell>
          <cell r="L143">
            <v>3.3890284361288336E-4</v>
          </cell>
          <cell r="M143">
            <v>2.6762424559069681E-4</v>
          </cell>
          <cell r="N143">
            <v>2.198156323749197E-4</v>
          </cell>
          <cell r="O143">
            <v>3.0930388354436086E-4</v>
          </cell>
        </row>
        <row r="144">
          <cell r="A144" t="str">
            <v>T_C-ICE-NGA-S3</v>
          </cell>
          <cell r="B144" t="str">
            <v>VAR_fout</v>
          </cell>
          <cell r="C144" t="str">
            <v>CO2_T</v>
          </cell>
          <cell r="D144">
            <v>0.24376544320607779</v>
          </cell>
          <cell r="E144">
            <v>0.20421910855559816</v>
          </cell>
          <cell r="F144">
            <v>0.27436895566866487</v>
          </cell>
          <cell r="G144">
            <v>3.0043582667026135E-2</v>
          </cell>
          <cell r="H144">
            <v>1.3609754778316108E-2</v>
          </cell>
          <cell r="I144">
            <v>1.1450085536091481E-2</v>
          </cell>
          <cell r="J144">
            <v>1.1435814518206511E-2</v>
          </cell>
          <cell r="K144">
            <v>1.0497238736395909E-2</v>
          </cell>
          <cell r="L144">
            <v>9.2304593364721035E-3</v>
          </cell>
          <cell r="M144">
            <v>8.8932619113633697E-3</v>
          </cell>
          <cell r="N144">
            <v>8.3181092367915765E-3</v>
          </cell>
          <cell r="O144">
            <v>8.2004396653089506E-3</v>
          </cell>
        </row>
        <row r="145">
          <cell r="A145" t="str">
            <v>T_C-ICE-NGA-S3</v>
          </cell>
          <cell r="B145" t="str">
            <v>VAR_fout</v>
          </cell>
          <cell r="C145" t="str">
            <v>TPCAR</v>
          </cell>
          <cell r="D145">
            <v>2.0230696405789442E-3</v>
          </cell>
          <cell r="E145">
            <v>1.7158687000454682E-3</v>
          </cell>
          <cell r="F145">
            <v>2.2978699039028056E-3</v>
          </cell>
          <cell r="G145">
            <v>2.587890381383326E-4</v>
          </cell>
          <cell r="H145">
            <v>1.149931119357004E-4</v>
          </cell>
          <cell r="I145">
            <v>9.8103693401140128E-5</v>
          </cell>
          <cell r="J145">
            <v>1.0335951644848647E-4</v>
          </cell>
          <cell r="K145">
            <v>1.0529947037938018E-4</v>
          </cell>
          <cell r="L145">
            <v>9.9991365304265067E-5</v>
          </cell>
          <cell r="M145">
            <v>1.0381063724980426E-4</v>
          </cell>
          <cell r="N145">
            <v>1.0208950932762796E-4</v>
          </cell>
          <cell r="O145">
            <v>1.0348397478823942E-4</v>
          </cell>
        </row>
        <row r="146">
          <cell r="A146" t="str">
            <v>T_C-ICE-NGA-S3</v>
          </cell>
          <cell r="B146" t="str">
            <v>VAR_fin</v>
          </cell>
          <cell r="C146" t="str">
            <v>TNGA</v>
          </cell>
          <cell r="D146">
            <v>4.3220823263488885E-3</v>
          </cell>
          <cell r="E146">
            <v>3.6209061800637939E-3</v>
          </cell>
          <cell r="F146">
            <v>4.8646977955436946E-3</v>
          </cell>
          <cell r="G146">
            <v>5.3268763594017899E-4</v>
          </cell>
          <cell r="H146">
            <v>2.4130770883539171E-4</v>
          </cell>
          <cell r="I146">
            <v>2.0301570099452972E-4</v>
          </cell>
          <cell r="J146">
            <v>2.0276266876252688E-4</v>
          </cell>
          <cell r="K146">
            <v>1.8612125419141664E-4</v>
          </cell>
          <cell r="L146">
            <v>1.6366062653319351E-4</v>
          </cell>
          <cell r="M146">
            <v>1.5768194878303834E-4</v>
          </cell>
          <cell r="N146">
            <v>1.4748420632609182E-4</v>
          </cell>
          <cell r="O146">
            <v>1.453978664061868E-4</v>
          </cell>
        </row>
        <row r="147">
          <cell r="A147" t="str">
            <v>T_C-ICE-NGA-S3</v>
          </cell>
          <cell r="B147" t="str">
            <v>VAR_ncap</v>
          </cell>
          <cell r="C147" t="str">
            <v>-</v>
          </cell>
          <cell r="E147">
            <v>2.0782725311059101E-6</v>
          </cell>
          <cell r="F147">
            <v>2.4471590620120101E-6</v>
          </cell>
          <cell r="G147">
            <v>7.9362337880367503E-7</v>
          </cell>
          <cell r="H147">
            <v>4.4391670899902096E-6</v>
          </cell>
          <cell r="I147">
            <v>2.9401763741477402E-6</v>
          </cell>
          <cell r="J147">
            <v>2.6690511404226599E-6</v>
          </cell>
          <cell r="K147">
            <v>3.5141610412592401E-6</v>
          </cell>
          <cell r="L147">
            <v>2.9713378079283001E-6</v>
          </cell>
          <cell r="M147">
            <v>2.6135484702568698E-6</v>
          </cell>
          <cell r="N147">
            <v>2.88773369880164E-6</v>
          </cell>
          <cell r="O147">
            <v>2.23911737479453E-6</v>
          </cell>
        </row>
        <row r="148">
          <cell r="A148" t="str">
            <v>T_C-ICE-NGA-S3</v>
          </cell>
          <cell r="B148" t="str">
            <v>VAR_cap</v>
          </cell>
          <cell r="C148" t="str">
            <v>-</v>
          </cell>
          <cell r="D148">
            <v>1.5071010559557059E-4</v>
          </cell>
          <cell r="E148">
            <v>1.5936036144450523E-4</v>
          </cell>
          <cell r="F148">
            <v>1.6118144583800089E-4</v>
          </cell>
          <cell r="G148">
            <v>1.6549537304534354E-5</v>
          </cell>
          <cell r="H148">
            <v>8.2424472058279706E-6</v>
          </cell>
          <cell r="I148">
            <v>7.2134966025993002E-6</v>
          </cell>
          <cell r="J148">
            <v>7.4935740064140285E-6</v>
          </cell>
          <cell r="K148">
            <v>7.4135597574366854E-6</v>
          </cell>
          <cell r="L148">
            <v>7.6518630063846116E-6</v>
          </cell>
          <cell r="M148">
            <v>7.7162636971278004E-6</v>
          </cell>
          <cell r="N148">
            <v>7.8127877193199946E-6</v>
          </cell>
          <cell r="O148">
            <v>7.7168918305623333E-6</v>
          </cell>
        </row>
        <row r="149">
          <cell r="A149" t="str">
            <v>T_C-ICE-NGA-S4</v>
          </cell>
          <cell r="B149" t="str">
            <v>VAR_fout</v>
          </cell>
          <cell r="C149" t="str">
            <v>CO2_T</v>
          </cell>
          <cell r="D149">
            <v>2.7205125767707798</v>
          </cell>
          <cell r="E149">
            <v>2.6565861672736619</v>
          </cell>
          <cell r="F149">
            <v>2.4830051231120098</v>
          </cell>
          <cell r="G149">
            <v>4.4147441073152539E-3</v>
          </cell>
          <cell r="H149">
            <v>9.7009083125838662E-3</v>
          </cell>
          <cell r="I149">
            <v>1.1440036367881171E-2</v>
          </cell>
          <cell r="J149">
            <v>1.103362440724487E-2</v>
          </cell>
          <cell r="K149">
            <v>1.015895589037695E-2</v>
          </cell>
          <cell r="L149">
            <v>9.1209418269617495E-3</v>
          </cell>
          <cell r="M149">
            <v>8.4607071724591004E-3</v>
          </cell>
          <cell r="N149">
            <v>7.2935312717224759E-3</v>
          </cell>
          <cell r="O149">
            <v>7.1287909465364094E-3</v>
          </cell>
        </row>
        <row r="150">
          <cell r="A150" t="str">
            <v>T_C-ICE-NGA-S4</v>
          </cell>
          <cell r="B150" t="str">
            <v>VAR_fout</v>
          </cell>
          <cell r="C150" t="str">
            <v>TPCAR</v>
          </cell>
          <cell r="D150">
            <v>3.2930398907888708E-2</v>
          </cell>
          <cell r="E150">
            <v>3.2137866184488502E-2</v>
          </cell>
          <cell r="F150">
            <v>2.9992285333503087E-2</v>
          </cell>
          <cell r="G150">
            <v>4.0650411976233122E-5</v>
          </cell>
          <cell r="H150">
            <v>8.1337901034598913E-5</v>
          </cell>
          <cell r="I150">
            <v>9.8790291877802304E-5</v>
          </cell>
          <cell r="J150">
            <v>1.0046862839248623E-4</v>
          </cell>
          <cell r="K150">
            <v>1.0239837346967964E-4</v>
          </cell>
          <cell r="L150">
            <v>9.8994029300336444E-5</v>
          </cell>
          <cell r="M150">
            <v>9.838321247722731E-5</v>
          </cell>
          <cell r="N150">
            <v>8.9116685893368786E-5</v>
          </cell>
          <cell r="O150">
            <v>8.9677665219361219E-5</v>
          </cell>
        </row>
        <row r="151">
          <cell r="A151" t="str">
            <v>T_C-ICE-NGA-S4</v>
          </cell>
          <cell r="B151" t="str">
            <v>VAR_fin</v>
          </cell>
          <cell r="C151" t="str">
            <v>TNGA</v>
          </cell>
          <cell r="D151">
            <v>4.8236038595226564E-2</v>
          </cell>
          <cell r="E151">
            <v>4.7102591618327291E-2</v>
          </cell>
          <cell r="F151">
            <v>4.4024913530354835E-2</v>
          </cell>
          <cell r="G151">
            <v>7.8275604739632142E-5</v>
          </cell>
          <cell r="H151">
            <v>1.7200192043588397E-4</v>
          </cell>
          <cell r="I151">
            <v>2.0283752425321257E-4</v>
          </cell>
          <cell r="J151">
            <v>1.9563163842632766E-4</v>
          </cell>
          <cell r="K151">
            <v>1.8012333138966199E-4</v>
          </cell>
          <cell r="L151">
            <v>1.6171882671917994E-4</v>
          </cell>
          <cell r="M151">
            <v>1.5001253851877836E-4</v>
          </cell>
          <cell r="N151">
            <v>1.2931793034968948E-4</v>
          </cell>
          <cell r="O151">
            <v>1.2639700259816335E-4</v>
          </cell>
        </row>
        <row r="152">
          <cell r="A152" t="str">
            <v>T_C-ICE-NGA-S4</v>
          </cell>
          <cell r="B152" t="str">
            <v>VAR_ncap</v>
          </cell>
          <cell r="C152" t="str">
            <v>-</v>
          </cell>
          <cell r="E152">
            <v>2.0941462325963201E-6</v>
          </cell>
          <cell r="F152">
            <v>7.0155252821685401E-6</v>
          </cell>
          <cell r="G152">
            <v>8.5990157380262905E-7</v>
          </cell>
          <cell r="H152">
            <v>5.3440892559614602E-6</v>
          </cell>
          <cell r="I152">
            <v>3.4641230892787401E-6</v>
          </cell>
          <cell r="J152">
            <v>3.09351129725054E-6</v>
          </cell>
          <cell r="K152">
            <v>4.1331491324795098E-6</v>
          </cell>
          <cell r="L152">
            <v>3.3394149010190302E-6</v>
          </cell>
          <cell r="M152">
            <v>2.6500549022505502E-6</v>
          </cell>
          <cell r="N152">
            <v>2.8353794292961301E-6</v>
          </cell>
          <cell r="O152">
            <v>2.4353741715715198E-6</v>
          </cell>
        </row>
        <row r="153">
          <cell r="A153" t="str">
            <v>T_C-ICE-NGA-S4</v>
          </cell>
          <cell r="B153" t="str">
            <v>VAR_cap</v>
          </cell>
          <cell r="C153" t="str">
            <v>-</v>
          </cell>
          <cell r="D153">
            <v>2.6074482428115001E-3</v>
          </cell>
          <cell r="E153">
            <v>2.5355931371225664E-3</v>
          </cell>
          <cell r="F153">
            <v>2.3664302487094255E-3</v>
          </cell>
          <cell r="G153">
            <v>3.2925894051926297E-6</v>
          </cell>
          <cell r="H153">
            <v>7.0174228467927949E-6</v>
          </cell>
          <cell r="I153">
            <v>8.512751318036352E-6</v>
          </cell>
          <cell r="J153">
            <v>8.6114972192800475E-6</v>
          </cell>
          <cell r="K153">
            <v>8.6824052262476184E-6</v>
          </cell>
          <cell r="L153">
            <v>8.8192003926943171E-6</v>
          </cell>
          <cell r="M153">
            <v>8.4690135240122101E-6</v>
          </cell>
          <cell r="N153">
            <v>8.0969939907030129E-6</v>
          </cell>
          <cell r="O153">
            <v>7.8965764373537827E-6</v>
          </cell>
        </row>
        <row r="154">
          <cell r="A154" t="str">
            <v>T_C-MHY-GSL-S1</v>
          </cell>
          <cell r="B154" t="str">
            <v>VAR_fout</v>
          </cell>
          <cell r="C154" t="str">
            <v>CO2_T</v>
          </cell>
          <cell r="E154">
            <v>3.9018543897438598E-2</v>
          </cell>
          <cell r="F154">
            <v>15.765541300983427</v>
          </cell>
          <cell r="G154">
            <v>14.706793267333014</v>
          </cell>
          <cell r="H154">
            <v>10.601476911267827</v>
          </cell>
          <cell r="I154">
            <v>2.0652518550875318</v>
          </cell>
          <cell r="J154">
            <v>7.7831168145885102E-2</v>
          </cell>
          <cell r="K154">
            <v>5.7961590911651997E-2</v>
          </cell>
          <cell r="L154">
            <v>4.2583323072777776E-2</v>
          </cell>
          <cell r="M154">
            <v>6.4649752134046196E-2</v>
          </cell>
          <cell r="N154">
            <v>0.15716017730291995</v>
          </cell>
          <cell r="O154">
            <v>0.20904818190888047</v>
          </cell>
        </row>
        <row r="155">
          <cell r="A155" t="str">
            <v>T_C-MHY-GSL-S1</v>
          </cell>
          <cell r="B155" t="str">
            <v>VAR_fout</v>
          </cell>
          <cell r="C155" t="str">
            <v>TPCAR</v>
          </cell>
          <cell r="E155">
            <v>2.7406893618509779E-4</v>
          </cell>
          <cell r="F155">
            <v>0.11802336980021408</v>
          </cell>
          <cell r="G155">
            <v>0.11075540456986399</v>
          </cell>
          <cell r="H155">
            <v>7.9976113352642195E-2</v>
          </cell>
          <cell r="I155">
            <v>1.5948704491751588E-2</v>
          </cell>
          <cell r="J155">
            <v>7.8608627693502577E-4</v>
          </cell>
          <cell r="K155">
            <v>6.4839113838586571E-4</v>
          </cell>
          <cell r="L155">
            <v>5.1378426291123476E-4</v>
          </cell>
          <cell r="M155">
            <v>8.0975148427985151E-4</v>
          </cell>
          <cell r="N155">
            <v>1.9684636466487694E-3</v>
          </cell>
          <cell r="O155">
            <v>2.6183716100834703E-3</v>
          </cell>
        </row>
        <row r="156">
          <cell r="A156" t="str">
            <v>T_C-MHY-GSL-S1</v>
          </cell>
          <cell r="B156" t="str">
            <v>VAR_fin</v>
          </cell>
          <cell r="C156" t="str">
            <v>TGSL</v>
          </cell>
          <cell r="E156">
            <v>5.287065568758616E-4</v>
          </cell>
          <cell r="F156">
            <v>0.21362522088053429</v>
          </cell>
          <cell r="G156">
            <v>0.19927904156277754</v>
          </cell>
          <cell r="H156">
            <v>0.14365144866216567</v>
          </cell>
          <cell r="I156">
            <v>2.7984442480860801E-2</v>
          </cell>
          <cell r="J156">
            <v>1.0546228746054894E-3</v>
          </cell>
          <cell r="K156">
            <v>7.8538741072699053E-4</v>
          </cell>
          <cell r="L156">
            <v>5.7700979773411517E-4</v>
          </cell>
          <cell r="M156">
            <v>8.7601290154534371E-4</v>
          </cell>
          <cell r="N156">
            <v>2.1295416978715422E-3</v>
          </cell>
          <cell r="O156">
            <v>2.8326311911772368E-3</v>
          </cell>
        </row>
        <row r="157">
          <cell r="A157" t="str">
            <v>T_C-MHY-GSL-S1</v>
          </cell>
          <cell r="B157" t="str">
            <v>VAR_ncap</v>
          </cell>
          <cell r="C157" t="str">
            <v>-</v>
          </cell>
          <cell r="E157">
            <v>3.2148127477321801E-5</v>
          </cell>
          <cell r="F157">
            <v>1.8144082744399399E-2</v>
          </cell>
          <cell r="G157">
            <v>1.1241701675450599E-3</v>
          </cell>
          <cell r="H157">
            <v>5.7632138416894198E-5</v>
          </cell>
          <cell r="I157">
            <v>6.2751611015156097E-5</v>
          </cell>
          <cell r="J157">
            <v>3.0145745703202099E-5</v>
          </cell>
          <cell r="K157">
            <v>3.2287543985415603E-5</v>
          </cell>
          <cell r="L157">
            <v>2.6042339036750499E-5</v>
          </cell>
          <cell r="M157">
            <v>7.1460401064220595E-5</v>
          </cell>
          <cell r="N157">
            <v>2.01613771429719E-4</v>
          </cell>
          <cell r="O157">
            <v>1.19701836168793E-4</v>
          </cell>
        </row>
        <row r="158">
          <cell r="A158" t="str">
            <v>T_C-MHY-GSL-S1</v>
          </cell>
          <cell r="B158" t="str">
            <v>VAR_cap</v>
          </cell>
          <cell r="C158" t="str">
            <v>-</v>
          </cell>
          <cell r="E158">
            <v>3.1720134604485803E-5</v>
          </cell>
          <cell r="F158">
            <v>1.7932432348448699E-2</v>
          </cell>
          <cell r="G158">
            <v>1.6828857832850101E-2</v>
          </cell>
          <cell r="H158">
            <v>1.21482427705485E-2</v>
          </cell>
          <cell r="I158">
            <v>2.4173304516928399E-3</v>
          </cell>
          <cell r="J158">
            <v>1.15640187810356E-4</v>
          </cell>
          <cell r="K158">
            <v>9.4061560173914205E-5</v>
          </cell>
          <cell r="L158">
            <v>7.4772709876413506E-5</v>
          </cell>
          <cell r="M158">
            <v>1.17459347645414E-4</v>
          </cell>
          <cell r="N158">
            <v>2.9355603634162301E-4</v>
          </cell>
          <cell r="O158">
            <v>3.92776008662732E-4</v>
          </cell>
        </row>
        <row r="159">
          <cell r="A159" t="str">
            <v>T_TRLY_ELC</v>
          </cell>
          <cell r="B159" t="str">
            <v>VAR_fout</v>
          </cell>
          <cell r="C159" t="str">
            <v>TPTRLY</v>
          </cell>
          <cell r="D159">
            <v>2.7120999999999972E-2</v>
          </cell>
          <cell r="E159">
            <v>2.7782165745480814E-2</v>
          </cell>
          <cell r="F159">
            <v>2.8773914363701983E-2</v>
          </cell>
          <cell r="G159">
            <v>3.042682872740389E-2</v>
          </cell>
          <cell r="H159">
            <v>3.1023641718362919E-2</v>
          </cell>
          <cell r="I159">
            <v>3.1892522889951397E-2</v>
          </cell>
          <cell r="J159">
            <v>3.2426583620297177E-2</v>
          </cell>
          <cell r="K159">
            <v>3.2960644350642984E-2</v>
          </cell>
          <cell r="L159">
            <v>3.5939564798539693E-2</v>
          </cell>
          <cell r="M159">
            <v>3.8019840657423198E-2</v>
          </cell>
          <cell r="N159">
            <v>4.0091477970173192E-2</v>
          </cell>
          <cell r="O159">
            <v>4.2130119148439206E-2</v>
          </cell>
        </row>
        <row r="160">
          <cell r="A160" t="str">
            <v>T_TRLY_ELC</v>
          </cell>
          <cell r="B160" t="str">
            <v>VAR_fin</v>
          </cell>
          <cell r="C160" t="str">
            <v>TELC</v>
          </cell>
          <cell r="D160">
            <v>0.2816422643485601</v>
          </cell>
          <cell r="E160">
            <v>0.30668648626079364</v>
          </cell>
          <cell r="F160">
            <v>0.35078787907941233</v>
          </cell>
          <cell r="G160">
            <v>0.44905706465165934</v>
          </cell>
          <cell r="H160">
            <v>0.45786518239100965</v>
          </cell>
          <cell r="I160">
            <v>0.4706886426319784</v>
          </cell>
          <cell r="J160">
            <v>0.47857062553803131</v>
          </cell>
          <cell r="K160">
            <v>0.48645260844408511</v>
          </cell>
          <cell r="L160">
            <v>0.5304172714770905</v>
          </cell>
          <cell r="M160">
            <v>0.5611192082193377</v>
          </cell>
          <cell r="N160">
            <v>0.59169365220825365</v>
          </cell>
          <cell r="O160">
            <v>0.62178111980442863</v>
          </cell>
        </row>
        <row r="161">
          <cell r="A161" t="str">
            <v>T_C-MHY-GSL-S2</v>
          </cell>
          <cell r="B161" t="str">
            <v>VAR_fout</v>
          </cell>
          <cell r="C161" t="str">
            <v>CO2_T</v>
          </cell>
          <cell r="E161">
            <v>3.1372165457834097E-2</v>
          </cell>
          <cell r="F161">
            <v>0.38535464460784474</v>
          </cell>
          <cell r="G161">
            <v>0.48458288288230755</v>
          </cell>
          <cell r="H161">
            <v>0.43008551343012852</v>
          </cell>
          <cell r="I161">
            <v>0.24835139497725528</v>
          </cell>
          <cell r="J161">
            <v>0.13457776158982698</v>
          </cell>
          <cell r="K161">
            <v>0.10573499907469291</v>
          </cell>
          <cell r="L161">
            <v>8.3186564257795026E-2</v>
          </cell>
          <cell r="M161">
            <v>0.1126812177691587</v>
          </cell>
          <cell r="N161">
            <v>0.1746114188647046</v>
          </cell>
          <cell r="O161">
            <v>0.195662628445506</v>
          </cell>
        </row>
        <row r="162">
          <cell r="A162" t="str">
            <v>T_C-MHY-GSL-S2</v>
          </cell>
          <cell r="B162" t="str">
            <v>VAR_fout</v>
          </cell>
          <cell r="C162" t="str">
            <v>TPCAR</v>
          </cell>
          <cell r="E162">
            <v>1.7740879318078708E-4</v>
          </cell>
          <cell r="F162">
            <v>2.3191040949876651E-3</v>
          </cell>
          <cell r="G162">
            <v>3.0410821715834602E-3</v>
          </cell>
          <cell r="H162">
            <v>2.8042051491129014E-3</v>
          </cell>
          <cell r="I162">
            <v>1.7986582843289621E-3</v>
          </cell>
          <cell r="J162">
            <v>1.1212612505719481E-3</v>
          </cell>
          <cell r="K162">
            <v>9.892795350000753E-4</v>
          </cell>
          <cell r="L162">
            <v>8.3758182972382622E-4</v>
          </cell>
          <cell r="M162">
            <v>1.1766184114111288E-3</v>
          </cell>
          <cell r="N162">
            <v>1.8232941953087872E-3</v>
          </cell>
          <cell r="O162">
            <v>2.0431111378802461E-3</v>
          </cell>
        </row>
        <row r="163">
          <cell r="A163" t="str">
            <v>T_C-MHY-GSL-S2</v>
          </cell>
          <cell r="B163" t="str">
            <v>VAR_fin</v>
          </cell>
          <cell r="C163" t="str">
            <v>TGSL</v>
          </cell>
          <cell r="E163">
            <v>4.2509709292458126E-4</v>
          </cell>
          <cell r="F163">
            <v>5.2216076505128012E-3</v>
          </cell>
          <cell r="G163">
            <v>6.5661637246925142E-3</v>
          </cell>
          <cell r="H163">
            <v>5.8277169841480982E-3</v>
          </cell>
          <cell r="I163">
            <v>3.3651950538923481E-3</v>
          </cell>
          <cell r="J163">
            <v>1.8235469050112082E-3</v>
          </cell>
          <cell r="K163">
            <v>1.4327235646977353E-3</v>
          </cell>
          <cell r="L163">
            <v>1.1271892175852987E-3</v>
          </cell>
          <cell r="M163">
            <v>1.5268457692297899E-3</v>
          </cell>
          <cell r="N163">
            <v>2.3660083857006083E-3</v>
          </cell>
          <cell r="O163">
            <v>2.6512551279878845E-3</v>
          </cell>
        </row>
        <row r="164">
          <cell r="A164" t="str">
            <v>T_C-MHY-GSL-S2</v>
          </cell>
          <cell r="B164" t="str">
            <v>VAR_ncap</v>
          </cell>
          <cell r="C164" t="str">
            <v>-</v>
          </cell>
          <cell r="E164">
            <v>1.4891182607052401E-5</v>
          </cell>
          <cell r="F164">
            <v>1.9423890116289101E-4</v>
          </cell>
          <cell r="G164">
            <v>1.24436109844035E-4</v>
          </cell>
          <cell r="H164">
            <v>5.4048218030423998E-5</v>
          </cell>
          <cell r="I164">
            <v>5.29376882029235E-5</v>
          </cell>
          <cell r="J164">
            <v>3.2605703540133903E-5</v>
          </cell>
          <cell r="K164">
            <v>3.6221177437508301E-5</v>
          </cell>
          <cell r="L164">
            <v>2.9548249656406299E-5</v>
          </cell>
          <cell r="M164">
            <v>6.2151601348841404E-5</v>
          </cell>
          <cell r="N164">
            <v>9.6596908711703305E-5</v>
          </cell>
          <cell r="O164">
            <v>5.0570964780514402E-5</v>
          </cell>
        </row>
        <row r="165">
          <cell r="A165" t="str">
            <v>T_C-MHY-GSL-S2</v>
          </cell>
          <cell r="B165" t="str">
            <v>VAR_cap</v>
          </cell>
          <cell r="C165" t="str">
            <v>-</v>
          </cell>
          <cell r="E165">
            <v>1.4692934045657599E-5</v>
          </cell>
          <cell r="F165">
            <v>2.0550489921770501E-4</v>
          </cell>
          <cell r="G165">
            <v>2.9759476395754798E-4</v>
          </cell>
          <cell r="H165">
            <v>2.7295695338898601E-4</v>
          </cell>
          <cell r="I165">
            <v>1.7412104970678099E-4</v>
          </cell>
          <cell r="J165">
            <v>1.07797599928351E-4</v>
          </cell>
          <cell r="K165">
            <v>9.4218303469934401E-5</v>
          </cell>
          <cell r="L165">
            <v>8.2300319817969099E-5</v>
          </cell>
          <cell r="M165">
            <v>1.14087797987046E-4</v>
          </cell>
          <cell r="N165">
            <v>1.81953235109618E-4</v>
          </cell>
          <cell r="O165">
            <v>2.0931947484105899E-4</v>
          </cell>
        </row>
        <row r="166">
          <cell r="A166" t="str">
            <v>T_C-MHY-DSL-S1</v>
          </cell>
          <cell r="B166" t="str">
            <v>VAR_fout</v>
          </cell>
          <cell r="C166" t="str">
            <v>CO2_T</v>
          </cell>
          <cell r="E166">
            <v>4.01656846005429E-2</v>
          </cell>
          <cell r="F166">
            <v>61.425680520156092</v>
          </cell>
          <cell r="G166">
            <v>157.29849922096321</v>
          </cell>
          <cell r="H166">
            <v>141.53954200692286</v>
          </cell>
          <cell r="I166">
            <v>84.701285864452672</v>
          </cell>
          <cell r="J166">
            <v>22.29063749418119</v>
          </cell>
          <cell r="K166">
            <v>7.5495009298959976</v>
          </cell>
          <cell r="L166">
            <v>1.0025508680346831</v>
          </cell>
          <cell r="M166">
            <v>7.8031181492853999E-2</v>
          </cell>
          <cell r="N166">
            <v>8.7940775857975245E-2</v>
          </cell>
          <cell r="O166">
            <v>9.2428898947471499E-2</v>
          </cell>
        </row>
        <row r="167">
          <cell r="A167" t="str">
            <v>T_C-MHY-DSL-S1</v>
          </cell>
          <cell r="B167" t="str">
            <v>VAR_fout</v>
          </cell>
          <cell r="C167" t="str">
            <v>TPCAR</v>
          </cell>
          <cell r="E167">
            <v>3.079746046115882E-4</v>
          </cell>
          <cell r="F167">
            <v>0.49646457235864738</v>
          </cell>
          <cell r="G167">
            <v>1.342806942631863</v>
          </cell>
          <cell r="H167">
            <v>1.2312305499370872</v>
          </cell>
          <cell r="I167">
            <v>0.77388700622849949</v>
          </cell>
          <cell r="J167">
            <v>0.22326901114543876</v>
          </cell>
          <cell r="K167">
            <v>7.912978942642844E-2</v>
          </cell>
          <cell r="L167">
            <v>1.0633167151741205E-2</v>
          </cell>
          <cell r="M167">
            <v>9.809479966065562E-4</v>
          </cell>
          <cell r="N167">
            <v>1.105523795071681E-3</v>
          </cell>
          <cell r="O167">
            <v>1.1619450265452588E-3</v>
          </cell>
        </row>
        <row r="168">
          <cell r="A168" t="str">
            <v>T_C-MHY-DSL-S1</v>
          </cell>
          <cell r="B168" t="str">
            <v>VAR_fin</v>
          </cell>
          <cell r="C168" t="str">
            <v>TDSL</v>
          </cell>
          <cell r="E168">
            <v>5.4796295498694188E-4</v>
          </cell>
          <cell r="F168">
            <v>0.83800382701440768</v>
          </cell>
          <cell r="G168">
            <v>2.1459549689080961</v>
          </cell>
          <cell r="H168">
            <v>1.9309623739007227</v>
          </cell>
          <cell r="I168">
            <v>1.1555427812340069</v>
          </cell>
          <cell r="J168">
            <v>0.30410146649633246</v>
          </cell>
          <cell r="K168">
            <v>0.10299455566024546</v>
          </cell>
          <cell r="L168">
            <v>1.3677365184647801E-2</v>
          </cell>
          <cell r="M168">
            <v>1.0645454501071493E-3</v>
          </cell>
          <cell r="N168">
            <v>1.1997377333966609E-3</v>
          </cell>
          <cell r="O168">
            <v>1.2609672434852851E-3</v>
          </cell>
        </row>
        <row r="169">
          <cell r="A169" t="str">
            <v>T_C-MHY-DSL-S1</v>
          </cell>
          <cell r="B169" t="str">
            <v>VAR_ncap</v>
          </cell>
          <cell r="C169" t="str">
            <v>-</v>
          </cell>
          <cell r="E169">
            <v>3.5412103350760098E-5</v>
          </cell>
          <cell r="F169">
            <v>7.6430602088652794E-2</v>
          </cell>
          <cell r="G169">
            <v>0.14527894415398801</v>
          </cell>
          <cell r="H169">
            <v>2.8168352604641799E-2</v>
          </cell>
          <cell r="I169">
            <v>2.0146505054176599E-2</v>
          </cell>
          <cell r="J169">
            <v>1.10916452518057E-4</v>
          </cell>
          <cell r="K169">
            <v>5.5435604350597798E-5</v>
          </cell>
          <cell r="L169">
            <v>4.4010863094718498E-5</v>
          </cell>
          <cell r="M169">
            <v>6.3711584973141203E-5</v>
          </cell>
          <cell r="N169">
            <v>6.3230773166913999E-5</v>
          </cell>
          <cell r="O169">
            <v>4.1608685150337397E-5</v>
          </cell>
        </row>
        <row r="170">
          <cell r="A170" t="str">
            <v>T_C-MHY-DSL-S1</v>
          </cell>
          <cell r="B170" t="str">
            <v>VAR_cap</v>
          </cell>
          <cell r="C170" t="str">
            <v>-</v>
          </cell>
          <cell r="E170">
            <v>3.4940656674528401E-5</v>
          </cell>
          <cell r="F170">
            <v>7.5446010647818501E-2</v>
          </cell>
          <cell r="G170">
            <v>0.20407020482857599</v>
          </cell>
          <cell r="H170">
            <v>0.187109097710939</v>
          </cell>
          <cell r="I170">
            <v>0.11760141923909601</v>
          </cell>
          <cell r="J170">
            <v>3.3926021260900698E-2</v>
          </cell>
          <cell r="K170">
            <v>1.2019224480567499E-2</v>
          </cell>
          <cell r="L170">
            <v>1.6105862132687701E-3</v>
          </cell>
          <cell r="M170">
            <v>1.41986639872402E-4</v>
          </cell>
          <cell r="N170">
            <v>1.6162883401384801E-4</v>
          </cell>
          <cell r="O170">
            <v>1.6855104329039299E-4</v>
          </cell>
        </row>
        <row r="171">
          <cell r="A171" t="str">
            <v>T_C-MHY-GSL-S3</v>
          </cell>
          <cell r="B171" t="str">
            <v>VAR_fout</v>
          </cell>
          <cell r="C171" t="str">
            <v>CO2_T</v>
          </cell>
          <cell r="E171">
            <v>4.9579220912980101E-2</v>
          </cell>
          <cell r="F171">
            <v>0.28108748712998832</v>
          </cell>
          <cell r="G171">
            <v>0.39803901873803482</v>
          </cell>
          <cell r="H171">
            <v>0.35498758906910449</v>
          </cell>
          <cell r="I171">
            <v>0.23790130266065981</v>
          </cell>
          <cell r="J171">
            <v>0.1767613340622593</v>
          </cell>
          <cell r="K171">
            <v>0.1653421545928164</v>
          </cell>
          <cell r="L171">
            <v>0.13893099420757257</v>
          </cell>
          <cell r="M171">
            <v>0.1856466674569707</v>
          </cell>
          <cell r="N171">
            <v>0.27355222479651692</v>
          </cell>
          <cell r="O171">
            <v>0.2704455334564877</v>
          </cell>
        </row>
        <row r="172">
          <cell r="A172" t="str">
            <v>T_C-MHY-GSL-S3</v>
          </cell>
          <cell r="B172" t="str">
            <v>VAR_fout</v>
          </cell>
          <cell r="C172" t="str">
            <v>TPCAR</v>
          </cell>
          <cell r="E172">
            <v>2.6064018798464957E-4</v>
          </cell>
          <cell r="F172">
            <v>1.5645202063911919E-3</v>
          </cell>
          <cell r="G172">
            <v>2.3187324145500401E-3</v>
          </cell>
          <cell r="H172">
            <v>2.1765699895015594E-3</v>
          </cell>
          <cell r="I172">
            <v>1.6496253905733237E-3</v>
          </cell>
          <cell r="J172">
            <v>1.3969718576827789E-3</v>
          </cell>
          <cell r="K172">
            <v>1.4695394517822483E-3</v>
          </cell>
          <cell r="L172">
            <v>1.3154886656459727E-3</v>
          </cell>
          <cell r="M172">
            <v>1.8124078678038024E-3</v>
          </cell>
          <cell r="N172">
            <v>2.6706011546981136E-3</v>
          </cell>
          <cell r="O172">
            <v>2.6402715403579411E-3</v>
          </cell>
        </row>
        <row r="173">
          <cell r="A173" t="str">
            <v>T_C-MHY-GSL-S3</v>
          </cell>
          <cell r="B173" t="str">
            <v>VAR_fin</v>
          </cell>
          <cell r="C173" t="str">
            <v>TGSL</v>
          </cell>
          <cell r="E173">
            <v>6.7180516142249477E-4</v>
          </cell>
          <cell r="F173">
            <v>3.8087735383467271E-3</v>
          </cell>
          <cell r="G173">
            <v>5.3934826387267692E-3</v>
          </cell>
          <cell r="H173">
            <v>4.8101299331856926E-3</v>
          </cell>
          <cell r="I173">
            <v>3.223594887000805E-3</v>
          </cell>
          <cell r="J173">
            <v>2.395140027943892E-3</v>
          </cell>
          <cell r="K173">
            <v>2.2404085988186493E-3</v>
          </cell>
          <cell r="L173">
            <v>1.8825337968505764E-3</v>
          </cell>
          <cell r="M173">
            <v>2.5155374994169444E-3</v>
          </cell>
          <cell r="N173">
            <v>3.7066697126899389E-3</v>
          </cell>
          <cell r="O173">
            <v>3.6645736240716446E-3</v>
          </cell>
        </row>
        <row r="174">
          <cell r="A174" t="str">
            <v>T_C-MHY-GSL-S3</v>
          </cell>
          <cell r="B174" t="str">
            <v>VAR_ncap</v>
          </cell>
          <cell r="C174" t="str">
            <v>-</v>
          </cell>
          <cell r="E174">
            <v>1.9029492096380999E-5</v>
          </cell>
          <cell r="F174">
            <v>9.5783077331381601E-5</v>
          </cell>
          <cell r="G174">
            <v>7.0911076866993699E-5</v>
          </cell>
          <cell r="H174">
            <v>4.2352228224332299E-5</v>
          </cell>
          <cell r="I174">
            <v>5.0092140316647598E-5</v>
          </cell>
          <cell r="J174">
            <v>4.13313014157488E-5</v>
          </cell>
          <cell r="K174">
            <v>5.2177286605002201E-5</v>
          </cell>
          <cell r="L174">
            <v>4.4152407330720403E-5</v>
          </cell>
          <cell r="M174">
            <v>7.9951948905568305E-5</v>
          </cell>
          <cell r="N174">
            <v>1.2266929328243301E-4</v>
          </cell>
          <cell r="O174">
            <v>4.8996393232828701E-5</v>
          </cell>
        </row>
        <row r="175">
          <cell r="A175" t="str">
            <v>T_C-MHY-GSL-S3</v>
          </cell>
          <cell r="B175" t="str">
            <v>VAR_cap</v>
          </cell>
          <cell r="C175" t="str">
            <v>-</v>
          </cell>
          <cell r="E175">
            <v>1.8776149596209401E-5</v>
          </cell>
          <cell r="F175">
            <v>1.12209330300058E-4</v>
          </cell>
          <cell r="G175">
            <v>1.64531202276489E-4</v>
          </cell>
          <cell r="H175">
            <v>1.60346757052748E-4</v>
          </cell>
          <cell r="I175">
            <v>1.2712657611336299E-4</v>
          </cell>
          <cell r="J175">
            <v>1.0661868630160301E-4</v>
          </cell>
          <cell r="K175">
            <v>1.1558686814890501E-4</v>
          </cell>
          <cell r="L175">
            <v>1.15222236674392E-4</v>
          </cell>
          <cell r="M175">
            <v>1.5635461447767999E-4</v>
          </cell>
          <cell r="N175">
            <v>2.3713239266374601E-4</v>
          </cell>
          <cell r="O175">
            <v>2.5161763542082998E-4</v>
          </cell>
        </row>
        <row r="176">
          <cell r="A176" t="str">
            <v>T_C-MHY-DSL-S2</v>
          </cell>
          <cell r="B176" t="str">
            <v>VAR_fout</v>
          </cell>
          <cell r="C176" t="str">
            <v>CO2_T</v>
          </cell>
          <cell r="E176">
            <v>3.0144196066149299E-2</v>
          </cell>
          <cell r="F176">
            <v>0.23293340101046861</v>
          </cell>
          <cell r="G176">
            <v>0.45380656703616395</v>
          </cell>
          <cell r="H176">
            <v>1.1827695211133216</v>
          </cell>
          <cell r="I176">
            <v>1.2588507759960321</v>
          </cell>
          <cell r="J176">
            <v>0.73247206631998618</v>
          </cell>
          <cell r="K176">
            <v>0.32553002775050782</v>
          </cell>
          <cell r="L176">
            <v>0.1999918936860435</v>
          </cell>
          <cell r="M176">
            <v>0.24205218016090899</v>
          </cell>
          <cell r="N176">
            <v>0.33712428489879487</v>
          </cell>
          <cell r="O176">
            <v>0.45944650966902401</v>
          </cell>
        </row>
        <row r="177">
          <cell r="A177" t="str">
            <v>T_C-MHY-DSL-S2</v>
          </cell>
          <cell r="B177" t="str">
            <v>VAR_fout</v>
          </cell>
          <cell r="C177" t="str">
            <v>TPCAR</v>
          </cell>
          <cell r="E177">
            <v>1.8592407887557669E-4</v>
          </cell>
          <cell r="F177">
            <v>1.5098434325678978E-3</v>
          </cell>
          <cell r="G177">
            <v>3.0996931558890575E-3</v>
          </cell>
          <cell r="H177">
            <v>8.9691765892539986E-3</v>
          </cell>
          <cell r="I177">
            <v>1.0023493538705143E-2</v>
          </cell>
          <cell r="J177">
            <v>6.0805679354679308E-3</v>
          </cell>
          <cell r="K177">
            <v>3.0197064350970513E-3</v>
          </cell>
          <cell r="L177">
            <v>2.0028932063647863E-3</v>
          </cell>
          <cell r="M177">
            <v>2.5354062202513502E-3</v>
          </cell>
          <cell r="N177">
            <v>3.5312510234858673E-3</v>
          </cell>
          <cell r="O177">
            <v>4.8125306605924243E-3</v>
          </cell>
        </row>
        <row r="178">
          <cell r="A178" t="str">
            <v>T_C-MHY-DSL-S2</v>
          </cell>
          <cell r="B178" t="str">
            <v>VAR_fin</v>
          </cell>
          <cell r="C178" t="str">
            <v>TDSL</v>
          </cell>
          <cell r="E178">
            <v>4.1124414824214551E-4</v>
          </cell>
          <cell r="F178">
            <v>3.1778090178781458E-3</v>
          </cell>
          <cell r="G178">
            <v>6.1910854984469918E-3</v>
          </cell>
          <cell r="H178">
            <v>1.6136009837835211E-2</v>
          </cell>
          <cell r="I178">
            <v>1.7173953287803988E-2</v>
          </cell>
          <cell r="J178">
            <v>9.9927976305591425E-3</v>
          </cell>
          <cell r="K178">
            <v>4.4410644986426599E-3</v>
          </cell>
          <cell r="L178">
            <v>2.7284023695231031E-3</v>
          </cell>
          <cell r="M178">
            <v>3.3022125533548278E-3</v>
          </cell>
          <cell r="N178">
            <v>4.5992399031213613E-3</v>
          </cell>
          <cell r="O178">
            <v>6.2680287812963689E-3</v>
          </cell>
        </row>
        <row r="179">
          <cell r="A179" t="str">
            <v>T_C-MHY-DSL-S2</v>
          </cell>
          <cell r="B179" t="str">
            <v>VAR_ncap</v>
          </cell>
          <cell r="C179" t="str">
            <v>-</v>
          </cell>
          <cell r="E179">
            <v>1.5151347149145199E-5</v>
          </cell>
          <cell r="F179">
            <v>1.1515969294869999E-4</v>
          </cell>
          <cell r="G179">
            <v>1.49550105107849E-4</v>
          </cell>
          <cell r="H179">
            <v>5.4197890973386802E-4</v>
          </cell>
          <cell r="I179">
            <v>2.35527351561589E-4</v>
          </cell>
          <cell r="J179">
            <v>9.6893322210991106E-5</v>
          </cell>
          <cell r="K179">
            <v>7.5597967289489895E-5</v>
          </cell>
          <cell r="L179">
            <v>6.3398538953966707E-5</v>
          </cell>
          <cell r="M179">
            <v>1.3704781533952501E-4</v>
          </cell>
          <cell r="N179">
            <v>1.6828746336704201E-4</v>
          </cell>
          <cell r="O179">
            <v>1.7566033614986501E-4</v>
          </cell>
        </row>
        <row r="180">
          <cell r="A180" t="str">
            <v>T_C-MHY-DSL-S2</v>
          </cell>
          <cell r="B180" t="str">
            <v>VAR_cap</v>
          </cell>
          <cell r="C180" t="str">
            <v>-</v>
          </cell>
          <cell r="E180">
            <v>1.4949634977937899E-5</v>
          </cell>
          <cell r="F180">
            <v>1.2772049214608699E-4</v>
          </cell>
          <cell r="G180">
            <v>2.5300377601962699E-4</v>
          </cell>
          <cell r="H180">
            <v>7.2108575667259697E-4</v>
          </cell>
          <cell r="I180">
            <v>7.7952013352367803E-4</v>
          </cell>
          <cell r="J180">
            <v>6.1991064163902305E-4</v>
          </cell>
          <cell r="K180">
            <v>2.9446186697308402E-4</v>
          </cell>
          <cell r="L180">
            <v>1.9803190827860301E-4</v>
          </cell>
          <cell r="M180">
            <v>2.47172700683772E-4</v>
          </cell>
          <cell r="N180">
            <v>3.5494638751080098E-4</v>
          </cell>
          <cell r="O180">
            <v>4.8099561485643298E-4</v>
          </cell>
        </row>
        <row r="181">
          <cell r="A181" t="str">
            <v>T_C-MHY-GSL-S4</v>
          </cell>
          <cell r="B181" t="str">
            <v>VAR_fout</v>
          </cell>
          <cell r="C181" t="str">
            <v>CO2_T</v>
          </cell>
          <cell r="E181">
            <v>6.5309518854229795E-2</v>
          </cell>
          <cell r="F181">
            <v>73.619111205793828</v>
          </cell>
          <cell r="G181">
            <v>294.91746909151288</v>
          </cell>
          <cell r="H181">
            <v>270.78273926422764</v>
          </cell>
          <cell r="I181">
            <v>280.49947696460777</v>
          </cell>
          <cell r="J181">
            <v>266.06721712151557</v>
          </cell>
          <cell r="K181">
            <v>255.32779360425491</v>
          </cell>
          <cell r="L181">
            <v>243.23033032814129</v>
          </cell>
          <cell r="M181">
            <v>234.89943121615062</v>
          </cell>
          <cell r="N181">
            <v>228.64731627767821</v>
          </cell>
          <cell r="O181">
            <v>225.4426335041621</v>
          </cell>
        </row>
        <row r="182">
          <cell r="A182" t="str">
            <v>T_C-MHY-GSL-S4</v>
          </cell>
          <cell r="B182" t="str">
            <v>VAR_fout</v>
          </cell>
          <cell r="C182" t="str">
            <v>TPCAR</v>
          </cell>
          <cell r="E182">
            <v>3.4807370679767937E-4</v>
          </cell>
          <cell r="F182">
            <v>0.4189015012060241</v>
          </cell>
          <cell r="G182">
            <v>1.816630154471643</v>
          </cell>
          <cell r="H182">
            <v>1.7463971568346663</v>
          </cell>
          <cell r="I182">
            <v>1.9989001609488155</v>
          </cell>
          <cell r="J182">
            <v>2.1650042935466876</v>
          </cell>
          <cell r="K182">
            <v>2.2295004474099529</v>
          </cell>
          <cell r="L182">
            <v>2.2651904199614865</v>
          </cell>
          <cell r="M182">
            <v>2.2689430053775759</v>
          </cell>
          <cell r="N182">
            <v>2.2085525123694842</v>
          </cell>
          <cell r="O182">
            <v>2.1775978075165279</v>
          </cell>
        </row>
        <row r="183">
          <cell r="A183" t="str">
            <v>T_C-MHY-GSL-S4</v>
          </cell>
          <cell r="B183" t="str">
            <v>VAR_fin</v>
          </cell>
          <cell r="C183" t="str">
            <v>TGSL</v>
          </cell>
          <cell r="E183">
            <v>8.8495283000311425E-4</v>
          </cell>
          <cell r="F183">
            <v>0.99754893232783148</v>
          </cell>
          <cell r="G183">
            <v>3.9961716679066743</v>
          </cell>
          <cell r="H183">
            <v>3.6691428084583642</v>
          </cell>
          <cell r="I183">
            <v>3.8008059209296454</v>
          </cell>
          <cell r="J183">
            <v>3.6052468444649848</v>
          </cell>
          <cell r="K183">
            <v>3.4597262005996638</v>
          </cell>
          <cell r="L183">
            <v>3.2958039339856535</v>
          </cell>
          <cell r="M183">
            <v>3.182919122170067</v>
          </cell>
          <cell r="N183">
            <v>3.0982021175837176</v>
          </cell>
          <cell r="O183">
            <v>3.0547782317637151</v>
          </cell>
        </row>
        <row r="184">
          <cell r="A184" t="str">
            <v>T_C-MHY-GSL-S4</v>
          </cell>
          <cell r="B184" t="str">
            <v>VAR_ncap</v>
          </cell>
          <cell r="C184" t="str">
            <v>-</v>
          </cell>
          <cell r="E184">
            <v>2.88625636040919E-5</v>
          </cell>
          <cell r="F184">
            <v>3.3418657180470601E-2</v>
          </cell>
          <cell r="G184">
            <v>0.12031951861524599</v>
          </cell>
          <cell r="H184">
            <v>4.9264790237105699E-2</v>
          </cell>
          <cell r="I184">
            <v>0.10312183324441</v>
          </cell>
          <cell r="J184">
            <v>0.13267584083276901</v>
          </cell>
          <cell r="K184">
            <v>7.9980875469672502E-2</v>
          </cell>
          <cell r="L184">
            <v>0.106708170025719</v>
          </cell>
          <cell r="M184">
            <v>9.9026685873755502E-2</v>
          </cell>
          <cell r="N184">
            <v>6.9821426276539006E-2</v>
          </cell>
          <cell r="O184">
            <v>7.6090731085566299E-2</v>
          </cell>
        </row>
        <row r="185">
          <cell r="A185" t="str">
            <v>T_C-MHY-GSL-S4</v>
          </cell>
          <cell r="B185" t="str">
            <v>VAR_cap</v>
          </cell>
          <cell r="C185" t="str">
            <v>-</v>
          </cell>
          <cell r="E185">
            <v>2.8478311938950799E-5</v>
          </cell>
          <cell r="F185">
            <v>3.3000597804837099E-2</v>
          </cell>
          <cell r="G185">
            <v>0.14308987037073101</v>
          </cell>
          <cell r="H185">
            <v>0.161876837430982</v>
          </cell>
          <cell r="I185">
            <v>0.20083141793317899</v>
          </cell>
          <cell r="J185">
            <v>0.241690720820604</v>
          </cell>
          <cell r="K185">
            <v>0.25070715685154599</v>
          </cell>
          <cell r="L185">
            <v>0.25475847801936002</v>
          </cell>
          <cell r="M185">
            <v>0.25517023393659499</v>
          </cell>
          <cell r="N185">
            <v>0.24840498289858501</v>
          </cell>
          <cell r="O185">
            <v>0.24493884323586099</v>
          </cell>
        </row>
        <row r="186">
          <cell r="A186" t="str">
            <v>T_C-MHY-DSL-S3</v>
          </cell>
          <cell r="B186" t="str">
            <v>VAR_fout</v>
          </cell>
          <cell r="C186" t="str">
            <v>CO2_T</v>
          </cell>
          <cell r="E186">
            <v>4.5735006837225298E-2</v>
          </cell>
          <cell r="F186">
            <v>0.19833402600424818</v>
          </cell>
          <cell r="G186">
            <v>0.36800820379381638</v>
          </cell>
          <cell r="H186">
            <v>5.0581618836233764</v>
          </cell>
          <cell r="I186">
            <v>78.023821929154494</v>
          </cell>
          <cell r="J186">
            <v>150.50425672837005</v>
          </cell>
          <cell r="K186">
            <v>164.9784502367597</v>
          </cell>
          <cell r="L186">
            <v>164.93521503609495</v>
          </cell>
          <cell r="M186">
            <v>161.01506832054548</v>
          </cell>
          <cell r="N186">
            <v>157.07582556925439</v>
          </cell>
          <cell r="O186">
            <v>154.78253319387571</v>
          </cell>
        </row>
        <row r="187">
          <cell r="A187" t="str">
            <v>T_C-MHY-DSL-S3</v>
          </cell>
          <cell r="B187" t="str">
            <v>VAR_fout</v>
          </cell>
          <cell r="C187" t="str">
            <v>TPCAR</v>
          </cell>
          <cell r="E187">
            <v>2.6223161129816533E-4</v>
          </cell>
          <cell r="F187">
            <v>1.1895786946025694E-3</v>
          </cell>
          <cell r="G187">
            <v>2.3291716610324945E-3</v>
          </cell>
          <cell r="H187">
            <v>3.6767679140542416E-2</v>
          </cell>
          <cell r="I187">
            <v>0.62209096039954803</v>
          </cell>
          <cell r="J187">
            <v>1.2801776025317007</v>
          </cell>
          <cell r="K187">
            <v>1.4695304089534627</v>
          </cell>
          <cell r="L187">
            <v>1.5628835378751091</v>
          </cell>
          <cell r="M187">
            <v>1.5769176832310108</v>
          </cell>
          <cell r="N187">
            <v>1.5383383029416839</v>
          </cell>
          <cell r="O187">
            <v>1.5158787074685789</v>
          </cell>
        </row>
        <row r="188">
          <cell r="A188" t="str">
            <v>T_C-MHY-DSL-S3</v>
          </cell>
          <cell r="B188" t="str">
            <v>VAR_fin</v>
          </cell>
          <cell r="C188" t="str">
            <v>TDSL</v>
          </cell>
          <cell r="E188">
            <v>6.2394279450511984E-4</v>
          </cell>
          <cell r="F188">
            <v>2.7057848022407714E-3</v>
          </cell>
          <cell r="G188">
            <v>5.0205757679920356E-3</v>
          </cell>
          <cell r="H188">
            <v>6.900630127726301E-2</v>
          </cell>
          <cell r="I188">
            <v>1.0644450467824629</v>
          </cell>
          <cell r="J188">
            <v>2.0532640754211475</v>
          </cell>
          <cell r="K188">
            <v>2.2507291983186879</v>
          </cell>
          <cell r="L188">
            <v>2.2501393592918819</v>
          </cell>
          <cell r="M188">
            <v>2.1966585036909354</v>
          </cell>
          <cell r="N188">
            <v>2.1429171291849172</v>
          </cell>
          <cell r="O188">
            <v>2.1116307393434601</v>
          </cell>
        </row>
        <row r="189">
          <cell r="A189" t="str">
            <v>T_C-MHY-DSL-S3</v>
          </cell>
          <cell r="B189" t="str">
            <v>VAR_ncap</v>
          </cell>
          <cell r="C189" t="str">
            <v>-</v>
          </cell>
          <cell r="E189">
            <v>1.89689739097429E-5</v>
          </cell>
          <cell r="F189">
            <v>6.9209209938897803E-5</v>
          </cell>
          <cell r="G189">
            <v>9.4814084522484895E-5</v>
          </cell>
          <cell r="H189">
            <v>2.4684848371866199E-3</v>
          </cell>
          <cell r="I189">
            <v>4.1853665505548497E-2</v>
          </cell>
          <cell r="J189">
            <v>5.4671895958906098E-2</v>
          </cell>
          <cell r="K189">
            <v>3.1062804597031101E-2</v>
          </cell>
          <cell r="L189">
            <v>4.8176719882167998E-2</v>
          </cell>
          <cell r="M189">
            <v>4.11080749562346E-2</v>
          </cell>
          <cell r="N189">
            <v>2.93431522339536E-2</v>
          </cell>
          <cell r="O189">
            <v>3.86920449773537E-2</v>
          </cell>
        </row>
        <row r="190">
          <cell r="A190" t="str">
            <v>T_C-MHY-DSL-S3</v>
          </cell>
          <cell r="B190" t="str">
            <v>VAR_cap</v>
          </cell>
          <cell r="C190" t="str">
            <v>-</v>
          </cell>
          <cell r="E190">
            <v>1.8716437097323402E-5</v>
          </cell>
          <cell r="F190">
            <v>8.5932950180517997E-5</v>
          </cell>
          <cell r="G190">
            <v>1.6409800398578699E-4</v>
          </cell>
          <cell r="H190">
            <v>2.5367920248983802E-3</v>
          </cell>
          <cell r="I190">
            <v>4.2782182390712097E-2</v>
          </cell>
          <cell r="J190">
            <v>8.8041458413932697E-2</v>
          </cell>
          <cell r="K190">
            <v>0.10106236255541599</v>
          </cell>
          <cell r="L190">
            <v>0.107493835282336</v>
          </cell>
          <cell r="M190">
            <v>0.108484403233909</v>
          </cell>
          <cell r="N190">
            <v>0.105948331211293</v>
          </cell>
          <cell r="O190">
            <v>0.10914327216754199</v>
          </cell>
        </row>
        <row r="191">
          <cell r="A191" t="str">
            <v>T_B_c-HYBDSL-S1</v>
          </cell>
          <cell r="B191" t="str">
            <v>VAR_fout</v>
          </cell>
          <cell r="C191" t="str">
            <v>CO2_T</v>
          </cell>
          <cell r="E191">
            <v>0.112817282148456</v>
          </cell>
          <cell r="F191">
            <v>0.14208043485793789</v>
          </cell>
          <cell r="G191">
            <v>7.2293116655526402E-2</v>
          </cell>
          <cell r="H191">
            <v>0.43587068911120896</v>
          </cell>
          <cell r="I191">
            <v>0.5135120823488758</v>
          </cell>
          <cell r="J191">
            <v>0.73402433561230196</v>
          </cell>
          <cell r="K191">
            <v>1.0913482223089779</v>
          </cell>
          <cell r="L191">
            <v>1.579394790067542</v>
          </cell>
          <cell r="M191">
            <v>2.385713414267403</v>
          </cell>
          <cell r="N191">
            <v>2.468047917599316</v>
          </cell>
          <cell r="O191">
            <v>3.9046721378820539</v>
          </cell>
        </row>
        <row r="192">
          <cell r="A192" t="str">
            <v>T_B_c-HYBDSL-S1</v>
          </cell>
          <cell r="B192" t="str">
            <v>VAR_fout</v>
          </cell>
          <cell r="C192" t="str">
            <v>TPBSc</v>
          </cell>
          <cell r="E192">
            <v>2.501276113340396E-4</v>
          </cell>
          <cell r="F192">
            <v>3.1847235052880204E-4</v>
          </cell>
          <cell r="G192">
            <v>1.7233391156756846E-4</v>
          </cell>
          <cell r="H192">
            <v>1.1472880596636679E-3</v>
          </cell>
          <cell r="I192">
            <v>1.3781551214607629E-3</v>
          </cell>
          <cell r="J192">
            <v>2.0817389745977286E-3</v>
          </cell>
          <cell r="K192">
            <v>3.2872802919994316E-3</v>
          </cell>
          <cell r="L192">
            <v>4.8231517593750883E-3</v>
          </cell>
          <cell r="M192">
            <v>7.3209462068870414E-3</v>
          </cell>
          <cell r="N192">
            <v>7.5736029033112605E-3</v>
          </cell>
          <cell r="O192">
            <v>1.1982115918035894E-2</v>
          </cell>
        </row>
        <row r="193">
          <cell r="A193" t="str">
            <v>T_B_c-HYBDSL-S1</v>
          </cell>
          <cell r="B193" t="str">
            <v>VAR_fin</v>
          </cell>
          <cell r="C193" t="str">
            <v>TDSL</v>
          </cell>
          <cell r="E193">
            <v>1.5391170825164481E-3</v>
          </cell>
          <cell r="F193">
            <v>1.9383415396717239E-3</v>
          </cell>
          <cell r="G193">
            <v>9.8626352872477948E-4</v>
          </cell>
          <cell r="H193">
            <v>5.9463941215717455E-3</v>
          </cell>
          <cell r="I193">
            <v>7.0056218601483736E-3</v>
          </cell>
          <cell r="J193">
            <v>1.0013974564970022E-2</v>
          </cell>
          <cell r="K193">
            <v>1.4888788844597248E-2</v>
          </cell>
          <cell r="L193">
            <v>2.1546995771726352E-2</v>
          </cell>
          <cell r="M193">
            <v>3.2547249853579832E-2</v>
          </cell>
          <cell r="N193">
            <v>3.3670503650741049E-2</v>
          </cell>
          <cell r="O193">
            <v>5.3269742672333781E-2</v>
          </cell>
        </row>
        <row r="194">
          <cell r="A194" t="str">
            <v>T_B_c-HYBDSL-S1</v>
          </cell>
          <cell r="B194" t="str">
            <v>VAR_ncap</v>
          </cell>
          <cell r="C194" t="str">
            <v>-</v>
          </cell>
          <cell r="E194">
            <v>5.5651774801828398E-6</v>
          </cell>
          <cell r="F194">
            <v>1.6957209166213101E-6</v>
          </cell>
          <cell r="G194">
            <v>1.8146369521945501E-6</v>
          </cell>
          <cell r="H194">
            <v>2.2796794658911299E-5</v>
          </cell>
          <cell r="I194">
            <v>7.4434088352158796E-6</v>
          </cell>
          <cell r="J194">
            <v>2.8128592981712299E-5</v>
          </cell>
          <cell r="K194">
            <v>5.40061587039984E-5</v>
          </cell>
          <cell r="L194">
            <v>5.7137055382053299E-5</v>
          </cell>
          <cell r="M194">
            <v>1.10901036856005E-4</v>
          </cell>
          <cell r="N194">
            <v>8.3070222399628704E-5</v>
          </cell>
          <cell r="O194">
            <v>1.4161512907424499E-4</v>
          </cell>
        </row>
        <row r="195">
          <cell r="A195" t="str">
            <v>T_B_c-HYBDSL-S1</v>
          </cell>
          <cell r="B195" t="str">
            <v>VAR_cap</v>
          </cell>
          <cell r="C195" t="str">
            <v>-</v>
          </cell>
          <cell r="E195">
            <v>5.5651774801828398E-6</v>
          </cell>
          <cell r="F195">
            <v>7.2441612103284359E-6</v>
          </cell>
          <cell r="G195">
            <v>4.1991624873047696E-6</v>
          </cell>
          <cell r="H195">
            <v>2.5463071920964362E-5</v>
          </cell>
          <cell r="I195">
            <v>3.0621271697426598E-5</v>
          </cell>
          <cell r="J195">
            <v>4.7370035923183287E-5</v>
          </cell>
          <cell r="K195">
            <v>8.4671721909557459E-5</v>
          </cell>
          <cell r="L195">
            <v>1.2379066040524693E-4</v>
          </cell>
          <cell r="M195">
            <v>1.9567779001488324E-4</v>
          </cell>
          <cell r="N195">
            <v>2.0408452461380668E-4</v>
          </cell>
          <cell r="O195">
            <v>2.9948406864751766E-4</v>
          </cell>
        </row>
        <row r="196">
          <cell r="A196" t="str">
            <v>T_C-MHY-DSL-S4</v>
          </cell>
          <cell r="B196" t="str">
            <v>VAR_fout</v>
          </cell>
          <cell r="C196" t="str">
            <v>CO2_T</v>
          </cell>
          <cell r="E196">
            <v>2.8729913777275601E-2</v>
          </cell>
          <cell r="F196">
            <v>7.8335281652762601E-2</v>
          </cell>
          <cell r="G196">
            <v>0.1168219882000353</v>
          </cell>
          <cell r="H196">
            <v>0.18346429150803906</v>
          </cell>
          <cell r="I196">
            <v>0.36185140477046912</v>
          </cell>
          <cell r="J196">
            <v>0.4847450134692714</v>
          </cell>
          <cell r="K196">
            <v>0.75361402222208196</v>
          </cell>
          <cell r="L196">
            <v>0.80866781364459583</v>
          </cell>
          <cell r="M196">
            <v>0.6308444108028779</v>
          </cell>
          <cell r="N196">
            <v>0.3222598397086659</v>
          </cell>
          <cell r="O196">
            <v>0.33376210674138218</v>
          </cell>
        </row>
        <row r="197">
          <cell r="A197" t="str">
            <v>T_C-MHY-DSL-S4</v>
          </cell>
          <cell r="B197" t="str">
            <v>VAR_fout</v>
          </cell>
          <cell r="C197" t="str">
            <v>TPCAR</v>
          </cell>
          <cell r="E197">
            <v>1.5655805603688401E-4</v>
          </cell>
          <cell r="F197">
            <v>4.4326692688540973E-4</v>
          </cell>
          <cell r="G197">
            <v>6.9185592794037938E-4</v>
          </cell>
          <cell r="H197">
            <v>1.1959532858908874E-3</v>
          </cell>
          <cell r="I197">
            <v>2.63482674874308E-3</v>
          </cell>
          <cell r="J197">
            <v>3.8086782778838789E-3</v>
          </cell>
          <cell r="K197">
            <v>6.5351514905403855E-3</v>
          </cell>
          <cell r="L197">
            <v>7.2935112597488612E-3</v>
          </cell>
          <cell r="M197">
            <v>5.7904281918820738E-3</v>
          </cell>
          <cell r="N197">
            <v>2.9579757369738182E-3</v>
          </cell>
          <cell r="O197">
            <v>3.0635533566788645E-3</v>
          </cell>
        </row>
        <row r="198">
          <cell r="A198" t="str">
            <v>T_C-MHY-DSL-S4</v>
          </cell>
          <cell r="B198" t="str">
            <v>VAR_fin</v>
          </cell>
          <cell r="C198" t="str">
            <v>TDSL</v>
          </cell>
          <cell r="E198">
            <v>3.9194971046760738E-4</v>
          </cell>
          <cell r="F198">
            <v>1.0686941562450566E-3</v>
          </cell>
          <cell r="G198">
            <v>1.5937515443388149E-3</v>
          </cell>
          <cell r="H198">
            <v>2.5029234857849841E-3</v>
          </cell>
          <cell r="I198">
            <v>4.9365812383419996E-3</v>
          </cell>
          <cell r="J198">
            <v>6.613165258789514E-3</v>
          </cell>
          <cell r="K198">
            <v>1.0281228133998383E-2</v>
          </cell>
          <cell r="L198">
            <v>1.1032303051085907E-2</v>
          </cell>
          <cell r="M198">
            <v>8.6063357544731104E-3</v>
          </cell>
          <cell r="N198">
            <v>4.3964507463665065E-3</v>
          </cell>
          <cell r="O198">
            <v>4.5533711697323676E-3</v>
          </cell>
        </row>
        <row r="199">
          <cell r="A199" t="str">
            <v>T_C-MHY-DSL-S4</v>
          </cell>
          <cell r="B199" t="str">
            <v>VAR_ncap</v>
          </cell>
          <cell r="C199" t="str">
            <v>-</v>
          </cell>
          <cell r="E199">
            <v>1.32102355694062E-5</v>
          </cell>
          <cell r="F199">
            <v>2.6917707661892101E-5</v>
          </cell>
          <cell r="G199">
            <v>2.7779646389486102E-5</v>
          </cell>
          <cell r="H199">
            <v>6.2329115090652495E-5</v>
          </cell>
          <cell r="I199">
            <v>1.49911941359265E-4</v>
          </cell>
          <cell r="J199">
            <v>1.6614296104382499E-4</v>
          </cell>
          <cell r="K199">
            <v>3.1801916355756398E-4</v>
          </cell>
          <cell r="L199">
            <v>2.1936946084722799E-4</v>
          </cell>
          <cell r="M199">
            <v>8.0403043343145393E-5</v>
          </cell>
          <cell r="N199">
            <v>5.3342778666212697E-5</v>
          </cell>
          <cell r="O199">
            <v>1.72628522906874E-4</v>
          </cell>
        </row>
        <row r="200">
          <cell r="A200" t="str">
            <v>T_C-MHY-DSL-S4</v>
          </cell>
          <cell r="B200" t="str">
            <v>VAR_cap</v>
          </cell>
          <cell r="C200" t="str">
            <v>-</v>
          </cell>
          <cell r="E200">
            <v>1.30343657096087E-5</v>
          </cell>
          <cell r="F200">
            <v>3.88476439477555E-5</v>
          </cell>
          <cell r="G200">
            <v>5.9553961451091E-5</v>
          </cell>
          <cell r="H200">
            <v>1.02501065297263E-4</v>
          </cell>
          <cell r="I200">
            <v>2.14903400300582E-4</v>
          </cell>
          <cell r="J200">
            <v>3.19958195401563E-4</v>
          </cell>
          <cell r="K200">
            <v>5.4115401376635998E-4</v>
          </cell>
          <cell r="L200">
            <v>5.9525404835031098E-4</v>
          </cell>
          <cell r="M200">
            <v>4.9633696389647295E-4</v>
          </cell>
          <cell r="N200">
            <v>3.1011979594966802E-4</v>
          </cell>
          <cell r="O200">
            <v>3.0637434491623201E-4</v>
          </cell>
        </row>
        <row r="201">
          <cell r="A201" t="str">
            <v>T_B_c-HYBDSL-S2</v>
          </cell>
          <cell r="B201" t="str">
            <v>VAR_fout</v>
          </cell>
          <cell r="C201" t="str">
            <v>CO2_T</v>
          </cell>
          <cell r="E201">
            <v>2.97168676538575E-2</v>
          </cell>
          <cell r="F201">
            <v>4.1552478804245849</v>
          </cell>
          <cell r="G201">
            <v>16.89320902598984</v>
          </cell>
          <cell r="H201">
            <v>16.194321756879159</v>
          </cell>
          <cell r="I201">
            <v>14.87166734844226</v>
          </cell>
          <cell r="J201">
            <v>14.362162481615844</v>
          </cell>
          <cell r="K201">
            <v>13.45352318759203</v>
          </cell>
          <cell r="L201">
            <v>14.19269617530513</v>
          </cell>
          <cell r="M201">
            <v>15.12038966969058</v>
          </cell>
          <cell r="N201">
            <v>17.12221103272687</v>
          </cell>
          <cell r="O201">
            <v>18.287319537515739</v>
          </cell>
        </row>
        <row r="202">
          <cell r="A202" t="str">
            <v>T_B_c-HYBDSL-S2</v>
          </cell>
          <cell r="B202" t="str">
            <v>VAR_fout</v>
          </cell>
          <cell r="C202" t="str">
            <v>TPBSc</v>
          </cell>
          <cell r="E202">
            <v>4.722830599968962E-5</v>
          </cell>
          <cell r="F202">
            <v>6.9337206944981734E-3</v>
          </cell>
          <cell r="G202">
            <v>2.9894832233356167E-2</v>
          </cell>
          <cell r="H202">
            <v>2.9043375912304364E-2</v>
          </cell>
          <cell r="I202">
            <v>2.9093684657699872E-2</v>
          </cell>
          <cell r="J202">
            <v>2.8948702286495893E-2</v>
          </cell>
          <cell r="K202">
            <v>2.8576695337142993E-2</v>
          </cell>
          <cell r="L202">
            <v>3.1090474820673203E-2</v>
          </cell>
          <cell r="M202">
            <v>3.3256377126457196E-2</v>
          </cell>
          <cell r="N202">
            <v>3.7659261420000464E-2</v>
          </cell>
          <cell r="O202">
            <v>4.0221846688961525E-2</v>
          </cell>
        </row>
        <row r="203">
          <cell r="A203" t="str">
            <v>T_B_c-HYBDSL-S2</v>
          </cell>
          <cell r="B203" t="str">
            <v>VAR_fin</v>
          </cell>
          <cell r="C203" t="str">
            <v>TDSL</v>
          </cell>
          <cell r="E203">
            <v>4.0541429268564101E-4</v>
          </cell>
          <cell r="F203">
            <v>5.6688238477825198E-2</v>
          </cell>
          <cell r="G203">
            <v>0.23046669885388579</v>
          </cell>
          <cell r="H203">
            <v>0.22093208399562181</v>
          </cell>
          <cell r="I203">
            <v>0.20288768551762951</v>
          </cell>
          <cell r="J203">
            <v>0.19593673235492257</v>
          </cell>
          <cell r="K203">
            <v>0.18354056190439352</v>
          </cell>
          <cell r="L203">
            <v>0.19362477728929231</v>
          </cell>
          <cell r="M203">
            <v>0.20628089590300938</v>
          </cell>
          <cell r="N203">
            <v>0.23359087357062602</v>
          </cell>
          <cell r="O203">
            <v>0.24948594184878209</v>
          </cell>
        </row>
        <row r="204">
          <cell r="A204" t="str">
            <v>T_B_c-HYBDSL-S2</v>
          </cell>
          <cell r="B204" t="str">
            <v>VAR_ncap</v>
          </cell>
          <cell r="C204" t="str">
            <v>-</v>
          </cell>
          <cell r="E204">
            <v>1.0978376272621901E-6</v>
          </cell>
          <cell r="F204">
            <v>1.4970390773336699E-4</v>
          </cell>
          <cell r="G204">
            <v>4.9905217127466301E-4</v>
          </cell>
          <cell r="H204">
            <v>5.5737304009037201E-5</v>
          </cell>
          <cell r="I204">
            <v>4.71853340756697E-4</v>
          </cell>
          <cell r="J204">
            <v>1.2860280265456899E-4</v>
          </cell>
          <cell r="K204">
            <v>3.31955957894788E-4</v>
          </cell>
          <cell r="L204">
            <v>2.8617094022778602E-4</v>
          </cell>
          <cell r="M204">
            <v>2.6719712369611802E-4</v>
          </cell>
          <cell r="N204">
            <v>5.0102510929038197E-4</v>
          </cell>
          <cell r="O204">
            <v>1.9382927667749899E-4</v>
          </cell>
        </row>
        <row r="205">
          <cell r="A205" t="str">
            <v>T_B_c-HYBDSL-S2</v>
          </cell>
          <cell r="B205" t="str">
            <v>VAR_cap</v>
          </cell>
          <cell r="C205" t="str">
            <v>-</v>
          </cell>
          <cell r="E205">
            <v>1.0978376272621901E-6</v>
          </cell>
          <cell r="F205">
            <v>1.5080174536062901E-4</v>
          </cell>
          <cell r="G205">
            <v>6.4970845816843498E-4</v>
          </cell>
          <cell r="H205">
            <v>6.3131118038663105E-4</v>
          </cell>
          <cell r="I205">
            <v>6.323758294883798E-4</v>
          </cell>
          <cell r="J205">
            <v>6.2935654843038799E-4</v>
          </cell>
          <cell r="K205">
            <v>6.2173661012518812E-4</v>
          </cell>
          <cell r="L205">
            <v>6.7597380950175205E-4</v>
          </cell>
          <cell r="M205">
            <v>7.2343671997518813E-4</v>
          </cell>
          <cell r="N205">
            <v>8.1890594276918074E-4</v>
          </cell>
          <cell r="O205">
            <v>8.7516646474721958E-4</v>
          </cell>
        </row>
        <row r="206">
          <cell r="A206" t="str">
            <v>T_C-BATELCEXT</v>
          </cell>
          <cell r="B206" t="str">
            <v>VAR_fout</v>
          </cell>
          <cell r="C206" t="str">
            <v>TPCAR</v>
          </cell>
          <cell r="D206">
            <v>0.41619297680607514</v>
          </cell>
          <cell r="E206">
            <v>0.3606576712528759</v>
          </cell>
          <cell r="F206">
            <v>0.27744622597835356</v>
          </cell>
          <cell r="G206">
            <v>0.13873218422055045</v>
          </cell>
        </row>
        <row r="207">
          <cell r="A207" t="str">
            <v>T_C-BATELCEXT</v>
          </cell>
          <cell r="B207" t="str">
            <v>VAR_fin</v>
          </cell>
          <cell r="C207" t="str">
            <v>T-ELC-car</v>
          </cell>
          <cell r="D207">
            <v>0.46788911163275271</v>
          </cell>
          <cell r="E207">
            <v>0.37688428482172259</v>
          </cell>
          <cell r="F207">
            <v>0.26221285662697097</v>
          </cell>
          <cell r="G207">
            <v>0.11309576410136138</v>
          </cell>
        </row>
        <row r="208">
          <cell r="A208" t="str">
            <v>T_C-BATELCEXT</v>
          </cell>
          <cell r="B208" t="str">
            <v>VAR_cap</v>
          </cell>
          <cell r="C208" t="str">
            <v>-</v>
          </cell>
          <cell r="D208">
            <v>4.2039732208172448E-2</v>
          </cell>
          <cell r="E208">
            <v>3.6429673668249479E-2</v>
          </cell>
          <cell r="F208">
            <v>2.8024628404711725E-2</v>
          </cell>
          <cell r="G208">
            <v>1.4013315743268332E-2</v>
          </cell>
        </row>
        <row r="209">
          <cell r="A209" t="str">
            <v>D-TDSL</v>
          </cell>
          <cell r="B209" t="str">
            <v>VAR_fout</v>
          </cell>
          <cell r="C209" t="str">
            <v>CO2</v>
          </cell>
          <cell r="D209">
            <v>8688.1669738496894</v>
          </cell>
          <cell r="E209">
            <v>8219.9353845453206</v>
          </cell>
          <cell r="F209">
            <v>7097.2835810768202</v>
          </cell>
          <cell r="G209">
            <v>5244.3561930552496</v>
          </cell>
          <cell r="H209">
            <v>3630.8323730511302</v>
          </cell>
          <cell r="I209">
            <v>3336.0360131113498</v>
          </cell>
          <cell r="J209">
            <v>3072.8451759289101</v>
          </cell>
          <cell r="K209">
            <v>2962.51131973786</v>
          </cell>
          <cell r="L209">
            <v>2919.0109724805602</v>
          </cell>
          <cell r="M209">
            <v>2434.7583088207002</v>
          </cell>
          <cell r="N209">
            <v>2160.9977735821599</v>
          </cell>
          <cell r="O209">
            <v>2183.9476663608398</v>
          </cell>
        </row>
        <row r="210">
          <cell r="A210" t="str">
            <v>D-TDSL</v>
          </cell>
          <cell r="B210" t="str">
            <v>VAR_fout</v>
          </cell>
          <cell r="C210" t="str">
            <v>TDSL</v>
          </cell>
          <cell r="D210">
            <v>116.78696810493781</v>
          </cell>
          <cell r="E210">
            <v>110.49296525595909</v>
          </cell>
          <cell r="F210">
            <v>95.402198612171674</v>
          </cell>
          <cell r="G210">
            <v>70.49501480493447</v>
          </cell>
          <cell r="H210">
            <v>48.805911053757107</v>
          </cell>
          <cell r="I210">
            <v>44.843237087042993</v>
          </cell>
          <cell r="J210">
            <v>41.305406840449912</v>
          </cell>
          <cell r="K210">
            <v>39.822291174894261</v>
          </cell>
          <cell r="L210">
            <v>39.237556364550208</v>
          </cell>
          <cell r="M210">
            <v>32.728197076705435</v>
          </cell>
          <cell r="N210">
            <v>29.048288185275865</v>
          </cell>
          <cell r="O210">
            <v>29.356782301931609</v>
          </cell>
        </row>
        <row r="211">
          <cell r="A211" t="str">
            <v>D-TDSL</v>
          </cell>
          <cell r="B211" t="str">
            <v>VAR_fin</v>
          </cell>
          <cell r="C211" t="str">
            <v>DSL</v>
          </cell>
          <cell r="D211">
            <v>118.5288809529289</v>
          </cell>
          <cell r="E211">
            <v>112.14100115341488</v>
          </cell>
          <cell r="F211">
            <v>96.825151174308772</v>
          </cell>
          <cell r="G211">
            <v>71.54646920948494</v>
          </cell>
          <cell r="H211">
            <v>49.533865935213193</v>
          </cell>
          <cell r="I211">
            <v>45.512087491287112</v>
          </cell>
          <cell r="J211">
            <v>41.921489439685004</v>
          </cell>
          <cell r="K211">
            <v>40.41625265672387</v>
          </cell>
          <cell r="L211">
            <v>39.822796350348717</v>
          </cell>
          <cell r="M211">
            <v>33.216348005739462</v>
          </cell>
          <cell r="N211">
            <v>29.481552163467459</v>
          </cell>
          <cell r="O211">
            <v>29.794647562903716</v>
          </cell>
        </row>
        <row r="212">
          <cell r="A212" t="str">
            <v>T_B_c-HYBDSL-S3</v>
          </cell>
          <cell r="B212" t="str">
            <v>VAR_fout</v>
          </cell>
          <cell r="C212" t="str">
            <v>CO2_T</v>
          </cell>
          <cell r="E212">
            <v>1.9529404928972701E-2</v>
          </cell>
          <cell r="F212">
            <v>0.2655184491672733</v>
          </cell>
          <cell r="G212">
            <v>10.040915432956051</v>
          </cell>
          <cell r="H212">
            <v>9.7736416169660298</v>
          </cell>
          <cell r="I212">
            <v>8.8932424377063395</v>
          </cell>
          <cell r="J212">
            <v>8.5399489203658607</v>
          </cell>
          <cell r="K212">
            <v>7.8130661911370005</v>
          </cell>
          <cell r="L212">
            <v>7.8562096651438873</v>
          </cell>
          <cell r="M212">
            <v>7.7610862362079196</v>
          </cell>
          <cell r="N212">
            <v>7.2923810008266194</v>
          </cell>
          <cell r="O212">
            <v>5.2055290132568093</v>
          </cell>
        </row>
        <row r="213">
          <cell r="A213" t="str">
            <v>T_B_c-HYBDSL-S3</v>
          </cell>
          <cell r="B213" t="str">
            <v>VAR_fout</v>
          </cell>
          <cell r="C213" t="str">
            <v>TPBSc</v>
          </cell>
          <cell r="E213">
            <v>2.0844463413091252E-5</v>
          </cell>
          <cell r="F213">
            <v>2.9669888299917662E-4</v>
          </cell>
          <cell r="G213">
            <v>1.2142153688188278E-2</v>
          </cell>
          <cell r="H213">
            <v>1.2001140418346884E-2</v>
          </cell>
          <cell r="I213">
            <v>1.1819965110748716E-2</v>
          </cell>
          <cell r="J213">
            <v>1.1651210540556655E-2</v>
          </cell>
          <cell r="K213">
            <v>1.1404813896896316E-2</v>
          </cell>
          <cell r="L213">
            <v>1.1617959756420273E-2</v>
          </cell>
          <cell r="M213">
            <v>1.1503949656057824E-2</v>
          </cell>
          <cell r="N213">
            <v>1.0809206514794664E-2</v>
          </cell>
          <cell r="O213">
            <v>7.7159487575690364E-3</v>
          </cell>
        </row>
        <row r="214">
          <cell r="A214" t="str">
            <v>T_B_c-HYBDSL-S3</v>
          </cell>
          <cell r="B214" t="str">
            <v>VAR_fin</v>
          </cell>
          <cell r="C214" t="str">
            <v>TDSL</v>
          </cell>
          <cell r="E214">
            <v>2.6643117229157887E-4</v>
          </cell>
          <cell r="F214">
            <v>3.6223526489396018E-3</v>
          </cell>
          <cell r="G214">
            <v>0.13698383946734052</v>
          </cell>
          <cell r="H214">
            <v>0.13333753911277019</v>
          </cell>
          <cell r="I214">
            <v>0.1213266362579309</v>
          </cell>
          <cell r="J214">
            <v>0.11650680655342251</v>
          </cell>
          <cell r="K214">
            <v>0.10659026181633015</v>
          </cell>
          <cell r="L214">
            <v>0.10717884945626034</v>
          </cell>
          <cell r="M214">
            <v>0.10588112191279569</v>
          </cell>
          <cell r="N214">
            <v>9.9486780365983712E-2</v>
          </cell>
          <cell r="O214">
            <v>7.1016766892998712E-2</v>
          </cell>
        </row>
        <row r="215">
          <cell r="A215" t="str">
            <v>T_B_c-HYBDSL-S3</v>
          </cell>
          <cell r="B215" t="str">
            <v>VAR_ncap</v>
          </cell>
          <cell r="C215" t="str">
            <v>-</v>
          </cell>
          <cell r="E215">
            <v>4.9131130234857098E-7</v>
          </cell>
          <cell r="F215">
            <v>6.0356154160340798E-6</v>
          </cell>
          <cell r="G215">
            <v>2.5757828042097399E-4</v>
          </cell>
          <cell r="H215">
            <v>6.5311286521006098E-5</v>
          </cell>
          <cell r="I215">
            <v>1.9160381676261901E-4</v>
          </cell>
          <cell r="J215">
            <v>8.0157057788204599E-5</v>
          </cell>
          <cell r="K215">
            <v>1.67877376040794E-4</v>
          </cell>
          <cell r="L215">
            <v>7.2442334141859806E-5</v>
          </cell>
          <cell r="M215">
            <v>1.95192429787555E-4</v>
          </cell>
          <cell r="N215">
            <v>3.9881513843274503E-5</v>
          </cell>
          <cell r="O215">
            <v>1.2811568849506301E-4</v>
          </cell>
        </row>
        <row r="216">
          <cell r="A216" t="str">
            <v>T_B_c-HYBDSL-S3</v>
          </cell>
          <cell r="B216" t="str">
            <v>VAR_cap</v>
          </cell>
          <cell r="C216" t="str">
            <v>-</v>
          </cell>
          <cell r="E216">
            <v>4.9131130234857098E-7</v>
          </cell>
          <cell r="F216">
            <v>6.5269267183826504E-6</v>
          </cell>
          <cell r="G216">
            <v>2.6390499471048501E-4</v>
          </cell>
          <cell r="H216">
            <v>2.6085117753920912E-4</v>
          </cell>
          <cell r="I216">
            <v>2.5691510328362501E-4</v>
          </cell>
          <cell r="J216">
            <v>2.5333336351043303E-4</v>
          </cell>
          <cell r="K216">
            <v>2.4803443382899801E-4</v>
          </cell>
          <cell r="L216">
            <v>2.52636168984493E-4</v>
          </cell>
          <cell r="M216">
            <v>2.5018935489530601E-4</v>
          </cell>
          <cell r="N216">
            <v>2.35073943630829E-4</v>
          </cell>
          <cell r="O216">
            <v>1.67997202338337E-4</v>
          </cell>
        </row>
        <row r="217">
          <cell r="A217" t="str">
            <v>T-Bat-Car-STG_S1</v>
          </cell>
          <cell r="B217" t="str">
            <v>VAR_fout</v>
          </cell>
          <cell r="C217" t="str">
            <v>T-ELC-car-BatSTGAUXout_S1</v>
          </cell>
          <cell r="D217">
            <v>7.6929913245893109E-3</v>
          </cell>
          <cell r="E217">
            <v>1.7788449888215589E-2</v>
          </cell>
          <cell r="F217">
            <v>1.3090116578515214E-2</v>
          </cell>
          <cell r="G217">
            <v>4.1651746464402145E-2</v>
          </cell>
          <cell r="H217">
            <v>3.3800005770093899E-2</v>
          </cell>
          <cell r="I217">
            <v>0.31308808034154023</v>
          </cell>
          <cell r="J217">
            <v>0.51986707533887466</v>
          </cell>
          <cell r="K217">
            <v>1.2004078448271682</v>
          </cell>
          <cell r="L217">
            <v>1.33212564428917</v>
          </cell>
          <cell r="M217">
            <v>1.4015185100529948</v>
          </cell>
          <cell r="N217">
            <v>1.4925076019680512</v>
          </cell>
          <cell r="O217">
            <v>1.470992735173235</v>
          </cell>
        </row>
        <row r="218">
          <cell r="A218" t="str">
            <v>T-Bat-Car-STG_S1</v>
          </cell>
          <cell r="B218" t="str">
            <v>VAR_fout</v>
          </cell>
          <cell r="C218" t="str">
            <v>T-ELC-car-BatSTGOut_S1</v>
          </cell>
          <cell r="D218">
            <v>7.6929913245893109E-3</v>
          </cell>
          <cell r="E218">
            <v>1.7788449888215586E-2</v>
          </cell>
          <cell r="F218">
            <v>1.3090116578515212E-2</v>
          </cell>
          <cell r="G218">
            <v>4.1651746464402138E-2</v>
          </cell>
          <cell r="H218">
            <v>3.3800005770093892E-2</v>
          </cell>
          <cell r="I218">
            <v>0.31308808034154006</v>
          </cell>
          <cell r="J218">
            <v>0.51986707533887444</v>
          </cell>
          <cell r="K218">
            <v>1.2004078448271678</v>
          </cell>
          <cell r="L218">
            <v>1.33212564428917</v>
          </cell>
          <cell r="M218">
            <v>1.4015185100529945</v>
          </cell>
          <cell r="N218">
            <v>1.492507601968051</v>
          </cell>
          <cell r="O218">
            <v>1.4709927351732346</v>
          </cell>
        </row>
        <row r="219">
          <cell r="A219" t="str">
            <v>T-Bat-Car-STG_S1</v>
          </cell>
          <cell r="B219" t="str">
            <v>VAR_fin</v>
          </cell>
          <cell r="C219" t="str">
            <v>T-ELC-car-BatSTGAUXin_S1</v>
          </cell>
          <cell r="D219">
            <v>7.6978665153727317E-3</v>
          </cell>
          <cell r="E219">
            <v>1.7813648497587441E-2</v>
          </cell>
          <cell r="F219">
            <v>1.3154368637250138E-2</v>
          </cell>
          <cell r="G219">
            <v>4.1707106294012322E-2</v>
          </cell>
          <cell r="H219">
            <v>3.3861361528373483E-2</v>
          </cell>
          <cell r="I219">
            <v>0.31316797570175203</v>
          </cell>
          <cell r="J219">
            <v>0.51999510313270358</v>
          </cell>
          <cell r="K219">
            <v>1.2006126047500103</v>
          </cell>
          <cell r="L219">
            <v>1.3323062315133942</v>
          </cell>
          <cell r="M219">
            <v>1.4017401334195201</v>
          </cell>
          <cell r="N219">
            <v>1.4926960854624485</v>
          </cell>
          <cell r="O219">
            <v>1.4712159739245834</v>
          </cell>
        </row>
        <row r="220">
          <cell r="A220" t="str">
            <v>T-Bat-Car-STG_S1</v>
          </cell>
          <cell r="B220" t="str">
            <v>VAR_fin</v>
          </cell>
          <cell r="C220" t="str">
            <v>T-ELC-car-BatSTGin_S1</v>
          </cell>
          <cell r="D220">
            <v>7.6978665153727317E-3</v>
          </cell>
          <cell r="E220">
            <v>1.7813648497587441E-2</v>
          </cell>
          <cell r="F220">
            <v>1.3154368637250138E-2</v>
          </cell>
          <cell r="G220">
            <v>4.1707106294012322E-2</v>
          </cell>
          <cell r="H220">
            <v>3.3861361528373483E-2</v>
          </cell>
          <cell r="I220">
            <v>0.31316797570175203</v>
          </cell>
          <cell r="J220">
            <v>0.51999510313270358</v>
          </cell>
          <cell r="K220">
            <v>1.2006126047500103</v>
          </cell>
          <cell r="L220">
            <v>1.3323062315133942</v>
          </cell>
          <cell r="M220">
            <v>1.4017401334195201</v>
          </cell>
          <cell r="N220">
            <v>1.4926960854624485</v>
          </cell>
          <cell r="O220">
            <v>1.4712159739245834</v>
          </cell>
        </row>
        <row r="221">
          <cell r="A221" t="str">
            <v>T-Bat-Car-STG_S1</v>
          </cell>
          <cell r="B221" t="str">
            <v>VAR_ncap</v>
          </cell>
          <cell r="C221" t="str">
            <v>-</v>
          </cell>
          <cell r="D221">
            <v>4.8057707711081097E-3</v>
          </cell>
          <cell r="E221">
            <v>0.100575236398769</v>
          </cell>
          <cell r="F221">
            <v>2.2208458632482699E-2</v>
          </cell>
          <cell r="G221">
            <v>2.15813662351605E-2</v>
          </cell>
          <cell r="H221">
            <v>2.7497249943462799E-2</v>
          </cell>
          <cell r="I221">
            <v>2.7912984486170198</v>
          </cell>
          <cell r="J221">
            <v>6.0252629238957898</v>
          </cell>
          <cell r="K221">
            <v>11.1902431409041</v>
          </cell>
          <cell r="L221">
            <v>6.0819844508505003</v>
          </cell>
          <cell r="M221">
            <v>6.0366620801195401</v>
          </cell>
          <cell r="N221">
            <v>8.4798879599447403</v>
          </cell>
          <cell r="O221">
            <v>3.0997295381546</v>
          </cell>
        </row>
        <row r="222">
          <cell r="A222" t="str">
            <v>T-Bat-Car-STG_S1</v>
          </cell>
          <cell r="B222" t="str">
            <v>VAR_cap</v>
          </cell>
          <cell r="C222" t="str">
            <v>-</v>
          </cell>
          <cell r="D222">
            <v>4.8057707711081097E-3</v>
          </cell>
          <cell r="E222">
            <v>0.10390139032448223</v>
          </cell>
          <cell r="F222">
            <v>0.11976268448114334</v>
          </cell>
          <cell r="G222">
            <v>0.11808133951692659</v>
          </cell>
          <cell r="H222">
            <v>8.3637222802427788E-2</v>
          </cell>
          <cell r="I222">
            <v>2.7424779366041996</v>
          </cell>
          <cell r="J222">
            <v>8.0681739084529323</v>
          </cell>
          <cell r="K222">
            <v>17.720281766826492</v>
          </cell>
          <cell r="L222">
            <v>19.203600020949352</v>
          </cell>
          <cell r="M222">
            <v>19.012604833539577</v>
          </cell>
          <cell r="N222">
            <v>19.583942977805393</v>
          </cell>
          <cell r="O222">
            <v>17.616173958485994</v>
          </cell>
        </row>
        <row r="223">
          <cell r="A223" t="str">
            <v>T_B_c-HYBDSL-S4</v>
          </cell>
          <cell r="B223" t="str">
            <v>VAR_fout</v>
          </cell>
          <cell r="C223" t="str">
            <v>CO2_T</v>
          </cell>
          <cell r="E223">
            <v>3.2967224473764299E-3</v>
          </cell>
          <cell r="F223">
            <v>5.9411220249857297E-3</v>
          </cell>
          <cell r="G223">
            <v>4.5944305667610982E-3</v>
          </cell>
          <cell r="H223">
            <v>4.3470256376170703E-3</v>
          </cell>
          <cell r="I223">
            <v>7.5462151158573803E-3</v>
          </cell>
          <cell r="J223">
            <v>6.6216164522504605E-3</v>
          </cell>
          <cell r="K223">
            <v>9.2224572536484493E-3</v>
          </cell>
          <cell r="L223">
            <v>1.005102116040852E-2</v>
          </cell>
          <cell r="M223">
            <v>8.8903652049003995E-3</v>
          </cell>
          <cell r="N223">
            <v>1.371612466115792E-2</v>
          </cell>
          <cell r="O223">
            <v>1.7231948990454111E-2</v>
          </cell>
        </row>
        <row r="224">
          <cell r="A224" t="str">
            <v>T_B_c-HYBDSL-S4</v>
          </cell>
          <cell r="B224" t="str">
            <v>VAR_fout</v>
          </cell>
          <cell r="C224" t="str">
            <v>TPBSc</v>
          </cell>
          <cell r="E224">
            <v>2.3725355500767917E-6</v>
          </cell>
          <cell r="F224">
            <v>4.3666167841433889E-6</v>
          </cell>
          <cell r="G224">
            <v>3.5966350939948149E-6</v>
          </cell>
          <cell r="H224">
            <v>3.7448022194969502E-6</v>
          </cell>
          <cell r="I224">
            <v>6.723786188543808E-6</v>
          </cell>
          <cell r="J224">
            <v>6.2522617649036123E-6</v>
          </cell>
          <cell r="K224">
            <v>9.0921628947807588E-6</v>
          </cell>
          <cell r="L224">
            <v>1.0069587839869643E-5</v>
          </cell>
          <cell r="M224">
            <v>8.9067878706591698E-6</v>
          </cell>
          <cell r="N224">
            <v>1.3741461677762338E-5</v>
          </cell>
          <cell r="O224">
            <v>1.7263780589282693E-5</v>
          </cell>
        </row>
        <row r="225">
          <cell r="A225" t="str">
            <v>T_B_c-HYBDSL-S4</v>
          </cell>
          <cell r="B225" t="str">
            <v>VAR_fin</v>
          </cell>
          <cell r="C225" t="str">
            <v>TDSL</v>
          </cell>
          <cell r="E225">
            <v>4.4975749623143604E-5</v>
          </cell>
          <cell r="F225">
            <v>8.1052142223543363E-5</v>
          </cell>
          <cell r="G225">
            <v>6.2679816736167793E-5</v>
          </cell>
          <cell r="H225">
            <v>5.9304578957940962E-5</v>
          </cell>
          <cell r="I225">
            <v>1.0294972872929581E-4</v>
          </cell>
          <cell r="J225">
            <v>9.0335831545026746E-5</v>
          </cell>
          <cell r="K225">
            <v>1.2581797071825983E-4</v>
          </cell>
          <cell r="L225">
            <v>1.3712170750898378E-4</v>
          </cell>
          <cell r="M225">
            <v>1.2128738342292497E-4</v>
          </cell>
          <cell r="N225">
            <v>1.8712311952466472E-4</v>
          </cell>
          <cell r="O225">
            <v>2.3508798077017838E-4</v>
          </cell>
        </row>
        <row r="226">
          <cell r="A226" t="str">
            <v>T_B_c-HYBDSL-S4</v>
          </cell>
          <cell r="B226" t="str">
            <v>VAR_ncap</v>
          </cell>
          <cell r="C226" t="str">
            <v>-</v>
          </cell>
          <cell r="E226">
            <v>7.6243163248699897E-8</v>
          </cell>
          <cell r="F226">
            <v>6.3514821912054805E-8</v>
          </cell>
          <cell r="G226">
            <v>6.4387105254310303E-8</v>
          </cell>
          <cell r="H226">
            <v>9.3856317076162994E-8</v>
          </cell>
          <cell r="I226">
            <v>1.03664274018921E-7</v>
          </cell>
          <cell r="J226">
            <v>1.2164721224761399E-7</v>
          </cell>
          <cell r="K226">
            <v>1.4911890405536599E-7</v>
          </cell>
          <cell r="L226">
            <v>1.4852299054952401E-7</v>
          </cell>
          <cell r="M226">
            <v>1.91545064312848E-7</v>
          </cell>
          <cell r="N226">
            <v>2.0488556668593701E-7</v>
          </cell>
          <cell r="O226">
            <v>2.78016500695585E-7</v>
          </cell>
        </row>
        <row r="227">
          <cell r="A227" t="str">
            <v>T_B_c-HYBDSL-S4</v>
          </cell>
          <cell r="B227" t="str">
            <v>VAR_cap</v>
          </cell>
          <cell r="C227" t="str">
            <v>-</v>
          </cell>
          <cell r="E227">
            <v>7.6243163248699897E-8</v>
          </cell>
          <cell r="F227">
            <v>1.3975798516075499E-7</v>
          </cell>
          <cell r="G227">
            <v>1.34005106804969E-7</v>
          </cell>
          <cell r="H227">
            <v>1.10554115819348E-7</v>
          </cell>
          <cell r="I227">
            <v>1.7966472153774901E-7</v>
          </cell>
          <cell r="J227">
            <v>1.75398278224438E-7</v>
          </cell>
          <cell r="K227">
            <v>2.3121408657349201E-7</v>
          </cell>
          <cell r="L227">
            <v>2.5763280889439499E-7</v>
          </cell>
          <cell r="M227">
            <v>2.30062202102108E-7</v>
          </cell>
          <cell r="N227">
            <v>3.3570822329374599E-7</v>
          </cell>
          <cell r="O227">
            <v>4.1628615506443502E-7</v>
          </cell>
        </row>
        <row r="228">
          <cell r="A228" t="str">
            <v>TFHGV-ICEDSLExt</v>
          </cell>
          <cell r="B228" t="str">
            <v>VAR_fout</v>
          </cell>
          <cell r="C228" t="str">
            <v>CO2_T</v>
          </cell>
          <cell r="D228">
            <v>1410.11394993671</v>
          </cell>
          <cell r="E228">
            <v>865.277228044808</v>
          </cell>
          <cell r="F228">
            <v>842.01089535088499</v>
          </cell>
          <cell r="G228">
            <v>362.57365185250501</v>
          </cell>
        </row>
        <row r="229">
          <cell r="A229" t="str">
            <v>TFHGV-ICEDSLExt</v>
          </cell>
          <cell r="B229" t="str">
            <v>VAR_fout</v>
          </cell>
          <cell r="C229" t="str">
            <v>TFHGV</v>
          </cell>
          <cell r="D229">
            <v>1.5765893840878258</v>
          </cell>
          <cell r="E229">
            <v>0.99154172288931008</v>
          </cell>
          <cell r="F229">
            <v>1.0000749925192556</v>
          </cell>
          <cell r="G229">
            <v>0.43063675798751977</v>
          </cell>
        </row>
        <row r="230">
          <cell r="A230" t="str">
            <v>TFHGV-ICEDSLExt</v>
          </cell>
          <cell r="B230" t="str">
            <v>VAR_fin</v>
          </cell>
          <cell r="C230" t="str">
            <v>TDSL</v>
          </cell>
          <cell r="D230">
            <v>19.237570940473493</v>
          </cell>
          <cell r="E230">
            <v>11.804600655454419</v>
          </cell>
          <cell r="F230">
            <v>11.487188203968421</v>
          </cell>
          <cell r="G230">
            <v>4.9464345409618744</v>
          </cell>
        </row>
        <row r="231">
          <cell r="A231" t="str">
            <v>TFHGV-ICEDSLExt</v>
          </cell>
          <cell r="B231" t="str">
            <v>VAR_cap</v>
          </cell>
          <cell r="C231" t="str">
            <v>-</v>
          </cell>
          <cell r="D231">
            <v>2.9661985762444169E-2</v>
          </cell>
          <cell r="E231">
            <v>1.9774652145620714E-2</v>
          </cell>
          <cell r="F231">
            <v>1.9774650915266683E-2</v>
          </cell>
          <cell r="G231">
            <v>9.8873333333333296E-3</v>
          </cell>
        </row>
        <row r="232">
          <cell r="A232" t="str">
            <v>TPSHPGSLEXT</v>
          </cell>
          <cell r="B232" t="str">
            <v>VAR_fout</v>
          </cell>
          <cell r="C232" t="str">
            <v>TPSHP</v>
          </cell>
          <cell r="D232">
            <v>1.5951113482171899</v>
          </cell>
          <cell r="E232">
            <v>0.72172101509612996</v>
          </cell>
          <cell r="F232">
            <v>1.44712135744773</v>
          </cell>
          <cell r="G232">
            <v>1.9058665751025401</v>
          </cell>
          <cell r="H232">
            <v>2.4386737971161199</v>
          </cell>
          <cell r="I232">
            <v>1.5054031371040599</v>
          </cell>
          <cell r="J232">
            <v>0.74513158913794098</v>
          </cell>
        </row>
        <row r="233">
          <cell r="A233" t="str">
            <v>TPSHPGSLEXT</v>
          </cell>
          <cell r="B233" t="str">
            <v>VAR_fout</v>
          </cell>
          <cell r="C233" t="str">
            <v>CO2_T</v>
          </cell>
          <cell r="D233">
            <v>129.873812963153</v>
          </cell>
          <cell r="E233">
            <v>58.762455819108702</v>
          </cell>
          <cell r="F233">
            <v>117.824482110424</v>
          </cell>
          <cell r="G233">
            <v>155.175473727423</v>
          </cell>
          <cell r="H233">
            <v>198.556586635027</v>
          </cell>
          <cell r="I233">
            <v>122.569779019449</v>
          </cell>
          <cell r="J233">
            <v>60.668542511968397</v>
          </cell>
        </row>
        <row r="234">
          <cell r="A234" t="str">
            <v>TPSHPGSLEXT</v>
          </cell>
          <cell r="B234" t="str">
            <v>VAR_fin</v>
          </cell>
          <cell r="C234" t="str">
            <v>TGSL</v>
          </cell>
          <cell r="D234">
            <v>1.759807763728358</v>
          </cell>
          <cell r="E234">
            <v>0.79623923874131508</v>
          </cell>
          <cell r="F234">
            <v>1.5965376979732213</v>
          </cell>
          <cell r="G234">
            <v>2.1026486954935382</v>
          </cell>
          <cell r="H234">
            <v>2.6904686535911595</v>
          </cell>
          <cell r="I234">
            <v>1.6608371140846758</v>
          </cell>
          <cell r="J234">
            <v>0.82206697170688892</v>
          </cell>
        </row>
        <row r="235">
          <cell r="A235" t="str">
            <v>TPSHPGSLEXT</v>
          </cell>
          <cell r="B235" t="str">
            <v>VAR_ncap</v>
          </cell>
          <cell r="C235" t="str">
            <v>-</v>
          </cell>
          <cell r="D235">
            <v>1.37881896922683E-6</v>
          </cell>
          <cell r="E235">
            <v>4.5699192085166701E-6</v>
          </cell>
          <cell r="F235">
            <v>3.9641792164064997E-6</v>
          </cell>
          <cell r="G235">
            <v>0.310812387687738</v>
          </cell>
          <cell r="H235">
            <v>0.53282367420432497</v>
          </cell>
          <cell r="I235">
            <v>3.9564679689535397E-5</v>
          </cell>
          <cell r="J235">
            <v>9.0106666085267892E-6</v>
          </cell>
          <cell r="K235">
            <v>4.4343252833572103E-6</v>
          </cell>
          <cell r="L235">
            <v>4.3040686227306802E-6</v>
          </cell>
          <cell r="M235">
            <v>7.8662015129365395E-6</v>
          </cell>
          <cell r="N235">
            <v>4.7094577383164398E-6</v>
          </cell>
          <cell r="O235">
            <v>1.4888266075638001E-5</v>
          </cell>
        </row>
        <row r="236">
          <cell r="A236" t="str">
            <v>TPSHPGSLEXT</v>
          </cell>
          <cell r="B236" t="str">
            <v>VAR_cap</v>
          </cell>
          <cell r="C236" t="str">
            <v>-</v>
          </cell>
          <cell r="D236">
            <v>1.5951127270361591</v>
          </cell>
          <cell r="E236">
            <v>1.5950470958721181</v>
          </cell>
          <cell r="F236">
            <v>1.5950443762584106</v>
          </cell>
          <cell r="G236">
            <v>1.9058537309061223</v>
          </cell>
          <cell r="H236">
            <v>2.4386703766968356</v>
          </cell>
          <cell r="I236">
            <v>1.5053986866611127</v>
          </cell>
          <cell r="J236">
            <v>0.74513029910854423</v>
          </cell>
          <cell r="K236">
            <v>2.3445782690978412E-5</v>
          </cell>
          <cell r="L236">
            <v>9.1016000339783076E-6</v>
          </cell>
          <cell r="M236">
            <v>8.6383539191468014E-6</v>
          </cell>
          <cell r="N236">
            <v>5.6608935328427005E-6</v>
          </cell>
          <cell r="O236">
            <v>2.0101373354936502E-5</v>
          </cell>
        </row>
        <row r="237">
          <cell r="A237" t="str">
            <v>T-Bat-Car-STG_S2</v>
          </cell>
          <cell r="B237" t="str">
            <v>VAR_fout</v>
          </cell>
          <cell r="C237" t="str">
            <v>T-ELC-car-BatSTGAUXout_S2</v>
          </cell>
          <cell r="D237">
            <v>6.6151629084194613E-2</v>
          </cell>
          <cell r="E237">
            <v>0.10314211924290918</v>
          </cell>
          <cell r="F237">
            <v>1.8805015881716931</v>
          </cell>
          <cell r="G237">
            <v>6.9555274865555683</v>
          </cell>
          <cell r="H237">
            <v>11.11503440952816</v>
          </cell>
          <cell r="I237">
            <v>11.446779361388669</v>
          </cell>
          <cell r="J237">
            <v>10.979834943812206</v>
          </cell>
          <cell r="K237">
            <v>10.492528009682639</v>
          </cell>
          <cell r="L237">
            <v>10.136092224797016</v>
          </cell>
          <cell r="M237">
            <v>9.5831368077288737</v>
          </cell>
          <cell r="N237">
            <v>8.9399527562761367</v>
          </cell>
          <cell r="O237">
            <v>8.7526762842158288</v>
          </cell>
        </row>
        <row r="238">
          <cell r="A238" t="str">
            <v>T-Bat-Car-STG_S2</v>
          </cell>
          <cell r="B238" t="str">
            <v>VAR_fout</v>
          </cell>
          <cell r="C238" t="str">
            <v>T-ELC-car-BatSTGOut_S2</v>
          </cell>
          <cell r="D238">
            <v>6.6151629084194613E-2</v>
          </cell>
          <cell r="E238">
            <v>0.10314211924290918</v>
          </cell>
          <cell r="F238">
            <v>1.8805015881716931</v>
          </cell>
          <cell r="G238">
            <v>6.9555274865555683</v>
          </cell>
          <cell r="H238">
            <v>11.115034409528157</v>
          </cell>
          <cell r="I238">
            <v>11.446779361388669</v>
          </cell>
          <cell r="J238">
            <v>10.979834943812206</v>
          </cell>
          <cell r="K238">
            <v>10.492528009682639</v>
          </cell>
          <cell r="L238">
            <v>10.136092224797013</v>
          </cell>
          <cell r="M238">
            <v>9.5831368077288737</v>
          </cell>
          <cell r="N238">
            <v>8.9399527562761349</v>
          </cell>
          <cell r="O238">
            <v>8.7526762842158288</v>
          </cell>
        </row>
        <row r="239">
          <cell r="A239" t="str">
            <v>T-Bat-Car-STG_S2</v>
          </cell>
          <cell r="B239" t="str">
            <v>VAR_fin</v>
          </cell>
          <cell r="C239" t="str">
            <v>T-ELC-car-BatSTGAUXin_S2</v>
          </cell>
          <cell r="D239">
            <v>6.6162037099367701E-2</v>
          </cell>
          <cell r="E239">
            <v>0.10317509860231786</v>
          </cell>
          <cell r="F239">
            <v>1.8807458841431393</v>
          </cell>
          <cell r="G239">
            <v>6.9562597491857172</v>
          </cell>
          <cell r="H239">
            <v>11.116204417556952</v>
          </cell>
          <cell r="I239">
            <v>11.447967071227042</v>
          </cell>
          <cell r="J239">
            <v>10.981008123201709</v>
          </cell>
          <cell r="K239">
            <v>10.493645993017735</v>
          </cell>
          <cell r="L239">
            <v>10.137159007226732</v>
          </cell>
          <cell r="M239">
            <v>9.5841771246659864</v>
          </cell>
          <cell r="N239">
            <v>8.9408896361597332</v>
          </cell>
          <cell r="O239">
            <v>8.7536352799679928</v>
          </cell>
        </row>
        <row r="240">
          <cell r="A240" t="str">
            <v>T-Bat-Car-STG_S2</v>
          </cell>
          <cell r="B240" t="str">
            <v>VAR_fin</v>
          </cell>
          <cell r="C240" t="str">
            <v>T-ELC-car-BatSTGin_S2</v>
          </cell>
          <cell r="D240">
            <v>6.6162037099367701E-2</v>
          </cell>
          <cell r="E240">
            <v>0.10317509860231786</v>
          </cell>
          <cell r="F240">
            <v>1.8807458841431393</v>
          </cell>
          <cell r="G240">
            <v>6.9562597491857172</v>
          </cell>
          <cell r="H240">
            <v>11.116204417556952</v>
          </cell>
          <cell r="I240">
            <v>11.447967071227042</v>
          </cell>
          <cell r="J240">
            <v>10.981008123201709</v>
          </cell>
          <cell r="K240">
            <v>10.493645993017735</v>
          </cell>
          <cell r="L240">
            <v>10.137159007226732</v>
          </cell>
          <cell r="M240">
            <v>9.5841771246659864</v>
          </cell>
          <cell r="N240">
            <v>8.9408896361597332</v>
          </cell>
          <cell r="O240">
            <v>8.7536352799679928</v>
          </cell>
        </row>
        <row r="241">
          <cell r="A241" t="str">
            <v>T-Bat-Car-STG_S2</v>
          </cell>
          <cell r="B241" t="str">
            <v>VAR_ncap</v>
          </cell>
          <cell r="C241" t="str">
            <v>-</v>
          </cell>
          <cell r="D241">
            <v>1.0242464041171601E-2</v>
          </cell>
          <cell r="E241">
            <v>2.7830906173581801E-2</v>
          </cell>
          <cell r="F241">
            <v>28.035235045952302</v>
          </cell>
          <cell r="G241">
            <v>82.142463899124493</v>
          </cell>
          <cell r="H241">
            <v>154.669334821863</v>
          </cell>
          <cell r="I241">
            <v>70.089824807629498</v>
          </cell>
          <cell r="J241">
            <v>90.401011275900899</v>
          </cell>
          <cell r="K241">
            <v>118.69732757020699</v>
          </cell>
          <cell r="L241">
            <v>73.884294057298703</v>
          </cell>
          <cell r="M241">
            <v>78.867477125200296</v>
          </cell>
          <cell r="N241">
            <v>78.976117605608906</v>
          </cell>
          <cell r="O241">
            <v>58.670808468115197</v>
          </cell>
        </row>
        <row r="242">
          <cell r="A242" t="str">
            <v>T-Bat-Car-STG_S2</v>
          </cell>
          <cell r="B242" t="str">
            <v>VAR_cap</v>
          </cell>
          <cell r="C242" t="str">
            <v>-</v>
          </cell>
          <cell r="D242">
            <v>1.0242464041171601E-2</v>
          </cell>
          <cell r="E242">
            <v>3.7406090646394198E-2</v>
          </cell>
          <cell r="F242">
            <v>27.697126021052402</v>
          </cell>
          <cell r="G242">
            <v>102.21061029116065</v>
          </cell>
          <cell r="H242">
            <v>231.59383257531684</v>
          </cell>
          <cell r="I242">
            <v>176.90835424628619</v>
          </cell>
          <cell r="J242">
            <v>192.3954713766696</v>
          </cell>
          <cell r="K242">
            <v>232.81135007950752</v>
          </cell>
          <cell r="L242">
            <v>224.63499204088359</v>
          </cell>
          <cell r="M242">
            <v>216.95897763960582</v>
          </cell>
          <cell r="N242">
            <v>207.18794430919471</v>
          </cell>
          <cell r="O242">
            <v>216.51425689629119</v>
          </cell>
        </row>
        <row r="243">
          <cell r="A243" t="str">
            <v>T_TW-ICEGSL-S1</v>
          </cell>
          <cell r="B243" t="str">
            <v>VAR_fout</v>
          </cell>
          <cell r="C243" t="str">
            <v>CO2_T</v>
          </cell>
          <cell r="D243">
            <v>3.2635986956425196</v>
          </cell>
          <cell r="E243">
            <v>36.568845624233617</v>
          </cell>
          <cell r="F243">
            <v>36.97506782771336</v>
          </cell>
          <cell r="G243">
            <v>45.771684497477942</v>
          </cell>
          <cell r="H243">
            <v>62.422913351285686</v>
          </cell>
          <cell r="I243">
            <v>65.860593657709146</v>
          </cell>
          <cell r="J243">
            <v>67.1078848958404</v>
          </cell>
          <cell r="K243">
            <v>64.711144040265893</v>
          </cell>
          <cell r="L243">
            <v>62.4054047634855</v>
          </cell>
          <cell r="M243">
            <v>60.420234766905899</v>
          </cell>
          <cell r="N243">
            <v>59.315205205026146</v>
          </cell>
          <cell r="O243">
            <v>57.680284268053406</v>
          </cell>
        </row>
        <row r="244">
          <cell r="A244" t="str">
            <v>T_TW-ICEGSL-S1</v>
          </cell>
          <cell r="B244" t="str">
            <v>VAR_fout</v>
          </cell>
          <cell r="C244" t="str">
            <v>TPTWL</v>
          </cell>
          <cell r="D244">
            <v>8.4370820290489729E-2</v>
          </cell>
          <cell r="E244">
            <v>0.95339467351729534</v>
          </cell>
          <cell r="F244">
            <v>0.96414728095236069</v>
          </cell>
          <cell r="G244">
            <v>1.2110753721031817</v>
          </cell>
          <cell r="H244">
            <v>1.7211371720999782</v>
          </cell>
          <cell r="I244">
            <v>1.8353373685480905</v>
          </cell>
          <cell r="J244">
            <v>1.9109077432712114</v>
          </cell>
          <cell r="K244">
            <v>1.8962188919444567</v>
          </cell>
          <cell r="L244">
            <v>1.8431875573631575</v>
          </cell>
          <cell r="M244">
            <v>1.7915488052080293</v>
          </cell>
          <cell r="N244">
            <v>1.7587830538179063</v>
          </cell>
          <cell r="O244">
            <v>1.7103052439824595</v>
          </cell>
        </row>
        <row r="245">
          <cell r="A245" t="str">
            <v>T_TW-ICEGSL-S1</v>
          </cell>
          <cell r="B245" t="str">
            <v>VAR_fin</v>
          </cell>
          <cell r="C245" t="str">
            <v>TGSL</v>
          </cell>
          <cell r="D245">
            <v>4.4222204548001659E-2</v>
          </cell>
          <cell r="E245">
            <v>0.49551281333649871</v>
          </cell>
          <cell r="F245">
            <v>0.50101717923730982</v>
          </cell>
          <cell r="G245">
            <v>0.62021252706609753</v>
          </cell>
          <cell r="H245">
            <v>0.84583893429926382</v>
          </cell>
          <cell r="I245">
            <v>0.89241996826164194</v>
          </cell>
          <cell r="J245">
            <v>0.90932093354797272</v>
          </cell>
          <cell r="K245">
            <v>0.87684477019330476</v>
          </cell>
          <cell r="L245">
            <v>0.84560169056213352</v>
          </cell>
          <cell r="M245">
            <v>0.81870236811525587</v>
          </cell>
          <cell r="N245">
            <v>0.80372906781878217</v>
          </cell>
          <cell r="O245">
            <v>0.78157566758879848</v>
          </cell>
        </row>
        <row r="246">
          <cell r="A246" t="str">
            <v>T_TW-ICEGSL-S1</v>
          </cell>
          <cell r="B246" t="str">
            <v>VAR_ncap</v>
          </cell>
          <cell r="C246" t="str">
            <v>-</v>
          </cell>
          <cell r="E246">
            <v>0.29517293382153098</v>
          </cell>
          <cell r="F246">
            <v>3.7917966909854898E-3</v>
          </cell>
          <cell r="G246">
            <v>0.16290834951805599</v>
          </cell>
          <cell r="H246">
            <v>0.51868151549838204</v>
          </cell>
          <cell r="I246">
            <v>0.18398680547416801</v>
          </cell>
          <cell r="J246">
            <v>0.33424340257008001</v>
          </cell>
          <cell r="K246">
            <v>0.39765230268809698</v>
          </cell>
          <cell r="L246">
            <v>0.242798795672444</v>
          </cell>
          <cell r="M246">
            <v>0.34056262073227</v>
          </cell>
          <cell r="N246">
            <v>0.404085318429175</v>
          </cell>
          <cell r="O246">
            <v>0.14769082073568299</v>
          </cell>
        </row>
        <row r="247">
          <cell r="A247" t="str">
            <v>T_TW-ICEGSL-S1</v>
          </cell>
          <cell r="B247" t="str">
            <v>VAR_cap</v>
          </cell>
          <cell r="C247" t="str">
            <v>-</v>
          </cell>
          <cell r="D247">
            <v>2.9121261594928973E-2</v>
          </cell>
          <cell r="E247">
            <v>0.32814546803628636</v>
          </cell>
          <cell r="F247">
            <v>0.33193642456430655</v>
          </cell>
          <cell r="G247">
            <v>0.4406118182724682</v>
          </cell>
          <cell r="H247">
            <v>0.68353225838145037</v>
          </cell>
          <cell r="I247">
            <v>0.73687823063553703</v>
          </cell>
          <cell r="J247">
            <v>0.78717184825608533</v>
          </cell>
          <cell r="K247">
            <v>0.79474445100113511</v>
          </cell>
          <cell r="L247">
            <v>0.79079696099113017</v>
          </cell>
          <cell r="M247">
            <v>0.78709504587083579</v>
          </cell>
          <cell r="N247">
            <v>0.78765244708924631</v>
          </cell>
          <cell r="O247">
            <v>0.78160621832748356</v>
          </cell>
        </row>
        <row r="248">
          <cell r="A248" t="str">
            <v>TPSHPDSLEXT</v>
          </cell>
          <cell r="B248" t="str">
            <v>VAR_fout</v>
          </cell>
          <cell r="C248" t="str">
            <v>TPSHP</v>
          </cell>
          <cell r="D248">
            <v>17.176521919007701</v>
          </cell>
          <cell r="E248">
            <v>17.176544029795298</v>
          </cell>
          <cell r="F248">
            <v>15.577811050541399</v>
          </cell>
          <cell r="G248">
            <v>14.245720805137699</v>
          </cell>
          <cell r="H248">
            <v>13.7127037120341</v>
          </cell>
          <cell r="I248">
            <v>13.1796862494606</v>
          </cell>
          <cell r="J248">
            <v>12.1138286687828</v>
          </cell>
          <cell r="K248">
            <v>12.113708213285101</v>
          </cell>
          <cell r="L248">
            <v>12.113437712433999</v>
          </cell>
          <cell r="M248">
            <v>5.6158984289109304</v>
          </cell>
          <cell r="N248">
            <v>2.0190584615639899</v>
          </cell>
          <cell r="O248">
            <v>2.0190391531099401</v>
          </cell>
        </row>
        <row r="249">
          <cell r="A249" t="str">
            <v>TPSHPDSLEXT</v>
          </cell>
          <cell r="B249" t="str">
            <v>VAR_fout</v>
          </cell>
          <cell r="C249" t="str">
            <v>CO2_T</v>
          </cell>
          <cell r="D249">
            <v>1273.9831592043399</v>
          </cell>
          <cell r="E249">
            <v>1273.98479916213</v>
          </cell>
          <cell r="F249">
            <v>1155.40672490252</v>
          </cell>
          <cell r="G249">
            <v>1056.6055504163901</v>
          </cell>
          <cell r="H249">
            <v>1017.07165622151</v>
          </cell>
          <cell r="I249">
            <v>977.53773462304298</v>
          </cell>
          <cell r="J249">
            <v>898.48304507083503</v>
          </cell>
          <cell r="K249">
            <v>898.47411088286697</v>
          </cell>
          <cell r="L249">
            <v>898.45404782641799</v>
          </cell>
          <cell r="M249">
            <v>416.53135925715799</v>
          </cell>
          <cell r="N249">
            <v>149.75362821474801</v>
          </cell>
          <cell r="O249">
            <v>149.752196106117</v>
          </cell>
        </row>
        <row r="250">
          <cell r="A250" t="str">
            <v>TPSHPDSLEXT</v>
          </cell>
          <cell r="B250" t="str">
            <v>VAR_fin</v>
          </cell>
          <cell r="C250" t="str">
            <v>TDSL</v>
          </cell>
          <cell r="D250">
            <v>17.38039780633471</v>
          </cell>
          <cell r="E250">
            <v>17.38042017956527</v>
          </cell>
          <cell r="F250">
            <v>15.762711117360395</v>
          </cell>
          <cell r="G250">
            <v>14.414809691901656</v>
          </cell>
          <cell r="H250">
            <v>13.875465978465314</v>
          </cell>
          <cell r="I250">
            <v>13.336121891173827</v>
          </cell>
          <cell r="J250">
            <v>12.257613166041416</v>
          </cell>
          <cell r="K250">
            <v>12.257491280803116</v>
          </cell>
          <cell r="L250">
            <v>12.257217569255346</v>
          </cell>
          <cell r="M250">
            <v>5.6825560608070722</v>
          </cell>
          <cell r="N250">
            <v>2.0430235772816854</v>
          </cell>
          <cell r="O250">
            <v>2.0430040396468896</v>
          </cell>
        </row>
        <row r="251">
          <cell r="A251" t="str">
            <v>TPSHPDSLEXT</v>
          </cell>
          <cell r="B251" t="str">
            <v>VAR_ncap</v>
          </cell>
          <cell r="C251" t="str">
            <v>-</v>
          </cell>
          <cell r="D251">
            <v>3.19229664988707E-6</v>
          </cell>
          <cell r="E251">
            <v>1.87681378100442E-5</v>
          </cell>
          <cell r="F251">
            <v>3.2197314026500601E-6</v>
          </cell>
          <cell r="G251">
            <v>6.2165148063765098E-6</v>
          </cell>
          <cell r="H251">
            <v>1.64828638472722E-5</v>
          </cell>
          <cell r="I251">
            <v>7.4906616083919397</v>
          </cell>
          <cell r="J251">
            <v>4.6231552994188299</v>
          </cell>
          <cell r="K251">
            <v>1.2561999066986899E-5</v>
          </cell>
          <cell r="L251">
            <v>0.99217648088703703</v>
          </cell>
          <cell r="M251">
            <v>5.87454164636353E-4</v>
          </cell>
          <cell r="N251">
            <v>1.0262980666047301</v>
          </cell>
          <cell r="O251">
            <v>3.2022574198037702E-5</v>
          </cell>
        </row>
        <row r="252">
          <cell r="A252" t="str">
            <v>TPSHPDSLEXT</v>
          </cell>
          <cell r="B252" t="str">
            <v>VAR_cap</v>
          </cell>
          <cell r="C252" t="str">
            <v>-</v>
          </cell>
          <cell r="D252">
            <v>17.17652511130435</v>
          </cell>
          <cell r="E252">
            <v>17.176540275448787</v>
          </cell>
          <cell r="F252">
            <v>15.577792905241225</v>
          </cell>
          <cell r="G252">
            <v>14.24569563138653</v>
          </cell>
          <cell r="H252">
            <v>13.712694278956219</v>
          </cell>
          <cell r="I252">
            <v>13.179673680468541</v>
          </cell>
          <cell r="J252">
            <v>12.113826053622027</v>
          </cell>
          <cell r="K252">
            <v>12.113749345404131</v>
          </cell>
          <cell r="L252">
            <v>12.113437408741174</v>
          </cell>
          <cell r="M252">
            <v>5.6158935867002651</v>
          </cell>
          <cell r="N252">
            <v>2.01905109804951</v>
          </cell>
          <cell r="O252">
            <v>2.0190400857130344</v>
          </cell>
        </row>
        <row r="253">
          <cell r="A253" t="str">
            <v>T-Bat-Car-STG_S3</v>
          </cell>
          <cell r="B253" t="str">
            <v>VAR_fout</v>
          </cell>
          <cell r="C253" t="str">
            <v>T-ELC-car-BatSTGAUXout_S3</v>
          </cell>
          <cell r="D253">
            <v>4.585716932401946E-2</v>
          </cell>
          <cell r="E253">
            <v>9.5036057198478685E-2</v>
          </cell>
          <cell r="F253">
            <v>0.10469013290399906</v>
          </cell>
          <cell r="G253">
            <v>2.1144874621484355</v>
          </cell>
          <cell r="H253">
            <v>5.5594778684013759</v>
          </cell>
          <cell r="I253">
            <v>7.6004247232821607</v>
          </cell>
          <cell r="J253">
            <v>7.649153819803181</v>
          </cell>
          <cell r="K253">
            <v>7.0768537144107784</v>
          </cell>
          <cell r="L253">
            <v>7.7462217904781703</v>
          </cell>
          <cell r="M253">
            <v>7.9089760811381211</v>
          </cell>
          <cell r="N253">
            <v>8.4177886723967337</v>
          </cell>
          <cell r="O253">
            <v>8.6024280867683416</v>
          </cell>
        </row>
        <row r="254">
          <cell r="A254" t="str">
            <v>T-Bat-Car-STG_S3</v>
          </cell>
          <cell r="B254" t="str">
            <v>VAR_fout</v>
          </cell>
          <cell r="C254" t="str">
            <v>T-ELC-car-BatSTGOut_S3</v>
          </cell>
          <cell r="D254">
            <v>4.5857169324019446E-2</v>
          </cell>
          <cell r="E254">
            <v>9.5036057198478671E-2</v>
          </cell>
          <cell r="F254">
            <v>0.10469013290399905</v>
          </cell>
          <cell r="G254">
            <v>2.1144874621484355</v>
          </cell>
          <cell r="H254">
            <v>5.559477868401375</v>
          </cell>
          <cell r="I254">
            <v>7.6004247232821607</v>
          </cell>
          <cell r="J254">
            <v>7.6491538198031792</v>
          </cell>
          <cell r="K254">
            <v>7.0768537144107784</v>
          </cell>
          <cell r="L254">
            <v>7.7462217904781703</v>
          </cell>
          <cell r="M254">
            <v>7.9089760811381202</v>
          </cell>
          <cell r="N254">
            <v>8.4177886723967337</v>
          </cell>
          <cell r="O254">
            <v>8.6024280867683416</v>
          </cell>
        </row>
        <row r="255">
          <cell r="A255" t="str">
            <v>T-Bat-Car-STG_S3</v>
          </cell>
          <cell r="B255" t="str">
            <v>VAR_fin</v>
          </cell>
          <cell r="C255" t="str">
            <v>T-ELC-car-BatSTGAUXin_S3</v>
          </cell>
          <cell r="D255">
            <v>4.5864756728359095E-2</v>
          </cell>
          <cell r="E255">
            <v>9.5064648495417028E-2</v>
          </cell>
          <cell r="F255">
            <v>0.10475672998088097</v>
          </cell>
          <cell r="G255">
            <v>2.1147355723603893</v>
          </cell>
          <cell r="H255">
            <v>5.5600847438320349</v>
          </cell>
          <cell r="I255">
            <v>7.601228070186643</v>
          </cell>
          <cell r="J255">
            <v>7.649993897680293</v>
          </cell>
          <cell r="K255">
            <v>7.0776300295305754</v>
          </cell>
          <cell r="L255">
            <v>7.7470495841353744</v>
          </cell>
          <cell r="M255">
            <v>7.9098487486752287</v>
          </cell>
          <cell r="N255">
            <v>8.4186733084147072</v>
          </cell>
          <cell r="O255">
            <v>8.603371922880255</v>
          </cell>
        </row>
        <row r="256">
          <cell r="A256" t="str">
            <v>T-Bat-Car-STG_S3</v>
          </cell>
          <cell r="B256" t="str">
            <v>VAR_fin</v>
          </cell>
          <cell r="C256" t="str">
            <v>T-ELC-car-BatSTGin_S3</v>
          </cell>
          <cell r="D256">
            <v>4.5864756728359095E-2</v>
          </cell>
          <cell r="E256">
            <v>9.5064648495417028E-2</v>
          </cell>
          <cell r="F256">
            <v>0.10475672998088097</v>
          </cell>
          <cell r="G256">
            <v>2.1147355723603893</v>
          </cell>
          <cell r="H256">
            <v>5.5600847438320349</v>
          </cell>
          <cell r="I256">
            <v>7.601228070186643</v>
          </cell>
          <cell r="J256">
            <v>7.649993897680293</v>
          </cell>
          <cell r="K256">
            <v>7.0776300295305754</v>
          </cell>
          <cell r="L256">
            <v>7.7470495841353744</v>
          </cell>
          <cell r="M256">
            <v>7.9098487486752287</v>
          </cell>
          <cell r="N256">
            <v>8.4186733084147072</v>
          </cell>
          <cell r="O256">
            <v>8.603371922880255</v>
          </cell>
        </row>
        <row r="257">
          <cell r="A257" t="str">
            <v>T-Bat-Car-STG_S3</v>
          </cell>
          <cell r="B257" t="str">
            <v>VAR_ncap</v>
          </cell>
          <cell r="C257" t="str">
            <v>-</v>
          </cell>
          <cell r="D257">
            <v>9.03463476337436E-3</v>
          </cell>
          <cell r="E257">
            <v>0.42524694256357898</v>
          </cell>
          <cell r="F257">
            <v>0.202407278627354</v>
          </cell>
          <cell r="G257">
            <v>28.58958026829</v>
          </cell>
          <cell r="H257">
            <v>58.9101448964431</v>
          </cell>
          <cell r="I257">
            <v>48.814347558151802</v>
          </cell>
          <cell r="J257">
            <v>40.114025774495701</v>
          </cell>
          <cell r="K257">
            <v>45.980743493419901</v>
          </cell>
          <cell r="L257">
            <v>60.401749824549299</v>
          </cell>
          <cell r="M257">
            <v>59.246729221732998</v>
          </cell>
          <cell r="N257">
            <v>91.102942147914703</v>
          </cell>
          <cell r="O257">
            <v>59.394613679559299</v>
          </cell>
        </row>
        <row r="258">
          <cell r="A258" t="str">
            <v>T-Bat-Car-STG_S3</v>
          </cell>
          <cell r="B258" t="str">
            <v>VAR_cap</v>
          </cell>
          <cell r="C258" t="str">
            <v>-</v>
          </cell>
          <cell r="D258">
            <v>9.03463476337436E-3</v>
          </cell>
          <cell r="E258">
            <v>0.42835710818387956</v>
          </cell>
          <cell r="F258">
            <v>0.60325676199587963</v>
          </cell>
          <cell r="G258">
            <v>27.605855623424898</v>
          </cell>
          <cell r="H258">
            <v>79.958735348269826</v>
          </cell>
          <cell r="I258">
            <v>111.20002444712155</v>
          </cell>
          <cell r="J258">
            <v>114.05560230680341</v>
          </cell>
          <cell r="K258">
            <v>107.57549712300464</v>
          </cell>
          <cell r="L258">
            <v>125.16251871889608</v>
          </cell>
          <cell r="M258">
            <v>147.08688204693979</v>
          </cell>
          <cell r="N258">
            <v>193.49006097323388</v>
          </cell>
          <cell r="O258">
            <v>209.74414041085817</v>
          </cell>
        </row>
        <row r="259">
          <cell r="A259" t="str">
            <v>T_TW-ICEGSL-S2</v>
          </cell>
          <cell r="B259" t="str">
            <v>VAR_fout</v>
          </cell>
          <cell r="C259" t="str">
            <v>CO2_T</v>
          </cell>
          <cell r="D259">
            <v>8.2761199420029801</v>
          </cell>
          <cell r="E259">
            <v>12.028772926295241</v>
          </cell>
          <cell r="F259">
            <v>11.341492935087397</v>
          </cell>
          <cell r="G259">
            <v>7.5407763453843826</v>
          </cell>
          <cell r="H259">
            <v>0.76271156174146326</v>
          </cell>
          <cell r="I259">
            <v>5.5116752790878298E-2</v>
          </cell>
          <cell r="J259">
            <v>6.6376642069091607E-2</v>
          </cell>
          <cell r="K259">
            <v>7.8355270011332495E-2</v>
          </cell>
          <cell r="L259">
            <v>7.8176310691214307E-2</v>
          </cell>
          <cell r="M259">
            <v>9.8837396657962498E-2</v>
          </cell>
          <cell r="N259">
            <v>9.3688041413453896E-2</v>
          </cell>
          <cell r="O259">
            <v>0.13593071598586651</v>
          </cell>
        </row>
        <row r="260">
          <cell r="A260" t="str">
            <v>T_TW-ICEGSL-S2</v>
          </cell>
          <cell r="B260" t="str">
            <v>VAR_fout</v>
          </cell>
          <cell r="C260" t="str">
            <v>TPTWL</v>
          </cell>
          <cell r="D260">
            <v>0.12366664944945829</v>
          </cell>
          <cell r="E260">
            <v>0.17999159135320852</v>
          </cell>
          <cell r="F260">
            <v>0.16971757502582663</v>
          </cell>
          <cell r="G260">
            <v>0.11287544056485693</v>
          </cell>
          <cell r="H260">
            <v>1.1483186854614E-2</v>
          </cell>
          <cell r="I260">
            <v>8.8446731627671576E-4</v>
          </cell>
          <cell r="J260">
            <v>1.0863246422847747E-3</v>
          </cell>
          <cell r="K260">
            <v>1.3095443519004618E-3</v>
          </cell>
          <cell r="L260">
            <v>1.3254911180232989E-3</v>
          </cell>
          <cell r="M260">
            <v>1.684223943509685E-3</v>
          </cell>
          <cell r="N260">
            <v>1.5964771220666721E-3</v>
          </cell>
          <cell r="O260">
            <v>2.3163071293153836E-3</v>
          </cell>
        </row>
        <row r="261">
          <cell r="A261" t="str">
            <v>T_TW-ICEGSL-S2</v>
          </cell>
          <cell r="B261" t="str">
            <v>VAR_fin</v>
          </cell>
          <cell r="C261" t="str">
            <v>TGSL</v>
          </cell>
          <cell r="D261">
            <v>0.11214254663960677</v>
          </cell>
          <cell r="E261">
            <v>0.16299150306633106</v>
          </cell>
          <cell r="F261">
            <v>0.15367876605809497</v>
          </cell>
          <cell r="G261">
            <v>0.10217854126537133</v>
          </cell>
          <cell r="H261">
            <v>1.0334845010046933E-2</v>
          </cell>
          <cell r="I261">
            <v>7.4683946871108883E-4</v>
          </cell>
          <cell r="J261">
            <v>8.9941249416113404E-4</v>
          </cell>
          <cell r="K261">
            <v>1.061724525898813E-3</v>
          </cell>
          <cell r="L261">
            <v>1.0592996028619822E-3</v>
          </cell>
          <cell r="M261">
            <v>1.3392601173165643E-3</v>
          </cell>
          <cell r="N261">
            <v>1.2694856560088587E-3</v>
          </cell>
          <cell r="O261">
            <v>1.8418796204046949E-3</v>
          </cell>
        </row>
        <row r="262">
          <cell r="A262" t="str">
            <v>T_TW-ICEGSL-S2</v>
          </cell>
          <cell r="B262" t="str">
            <v>VAR_ncap</v>
          </cell>
          <cell r="C262" t="str">
            <v>-</v>
          </cell>
          <cell r="E262">
            <v>8.5202404073907704E-5</v>
          </cell>
          <cell r="F262">
            <v>8.5491539710561302E-5</v>
          </cell>
          <cell r="G262">
            <v>1.0776808312273699E-4</v>
          </cell>
          <cell r="H262">
            <v>1.35860302761239E-4</v>
          </cell>
          <cell r="I262">
            <v>1.4793173642274401E-4</v>
          </cell>
          <cell r="J262">
            <v>1.6942570743108199E-4</v>
          </cell>
          <cell r="K262">
            <v>1.98302883257934E-4</v>
          </cell>
          <cell r="L262">
            <v>2.1024659594026199E-4</v>
          </cell>
          <cell r="M262">
            <v>2.6332061447245002E-4</v>
          </cell>
          <cell r="N262">
            <v>2.7143010041630902E-4</v>
          </cell>
          <cell r="O262">
            <v>3.9714785854609401E-4</v>
          </cell>
        </row>
        <row r="263">
          <cell r="A263" t="str">
            <v>T_TW-ICEGSL-S2</v>
          </cell>
          <cell r="B263" t="str">
            <v>VAR_cap</v>
          </cell>
          <cell r="C263" t="str">
            <v>-</v>
          </cell>
          <cell r="D263">
            <v>4.2719932996953855E-2</v>
          </cell>
          <cell r="E263">
            <v>6.1973751164279764E-2</v>
          </cell>
          <cell r="F263">
            <v>6.2059108182940852E-2</v>
          </cell>
          <cell r="G263">
            <v>5.3871965972932166E-2</v>
          </cell>
          <cell r="H263">
            <v>5.321957976085822E-3</v>
          </cell>
          <cell r="I263">
            <v>3.498520006062652E-4</v>
          </cell>
          <cell r="J263">
            <v>4.317135132937974E-4</v>
          </cell>
          <cell r="K263">
            <v>5.1533556364034318E-4</v>
          </cell>
          <cell r="L263">
            <v>5.3228456580538242E-4</v>
          </cell>
          <cell r="M263">
            <v>6.7111869143485008E-4</v>
          </cell>
          <cell r="N263">
            <v>6.4350731336028854E-4</v>
          </cell>
          <cell r="O263">
            <v>9.3121188700331535E-4</v>
          </cell>
        </row>
        <row r="264">
          <cell r="A264" t="str">
            <v>T-Bat-Car-STG_S4</v>
          </cell>
          <cell r="B264" t="str">
            <v>VAR_fout</v>
          </cell>
          <cell r="C264" t="str">
            <v>T-ELC-car-BatSTGAUXout_S4</v>
          </cell>
          <cell r="D264">
            <v>0.14926696310451029</v>
          </cell>
          <cell r="E264">
            <v>0.96867869360730541</v>
          </cell>
          <cell r="F264">
            <v>1.6771213937776031</v>
          </cell>
          <cell r="G264">
            <v>3.2045826514720184</v>
          </cell>
          <cell r="H264">
            <v>3.3418197513450498</v>
          </cell>
          <cell r="I264">
            <v>2.0311250615172542</v>
          </cell>
          <cell r="J264">
            <v>1.913137595600092</v>
          </cell>
          <cell r="K264">
            <v>2.0000995207235834</v>
          </cell>
          <cell r="L264">
            <v>2.1402233706688394</v>
          </cell>
          <cell r="M264">
            <v>2.2378625431128976</v>
          </cell>
          <cell r="N264">
            <v>2.2867858290913303</v>
          </cell>
          <cell r="O264">
            <v>2.4018587805976037</v>
          </cell>
        </row>
        <row r="265">
          <cell r="A265" t="str">
            <v>T-Bat-Car-STG_S4</v>
          </cell>
          <cell r="B265" t="str">
            <v>VAR_fout</v>
          </cell>
          <cell r="C265" t="str">
            <v>T-ELC-car-BatSTGOut_S4</v>
          </cell>
          <cell r="D265">
            <v>0.14926696310451026</v>
          </cell>
          <cell r="E265">
            <v>0.96867869360730519</v>
          </cell>
          <cell r="F265">
            <v>1.6771213937776031</v>
          </cell>
          <cell r="G265">
            <v>3.2045826514720184</v>
          </cell>
          <cell r="H265">
            <v>3.3418197513450489</v>
          </cell>
          <cell r="I265">
            <v>2.0311250615172538</v>
          </cell>
          <cell r="J265">
            <v>1.913137595600092</v>
          </cell>
          <cell r="K265">
            <v>2.000099520723583</v>
          </cell>
          <cell r="L265">
            <v>2.1402233706688394</v>
          </cell>
          <cell r="M265">
            <v>2.2378625431128971</v>
          </cell>
          <cell r="N265">
            <v>2.2867858290913299</v>
          </cell>
          <cell r="O265">
            <v>2.4018587805976024</v>
          </cell>
        </row>
        <row r="266">
          <cell r="A266" t="str">
            <v>T-Bat-Car-STG_S4</v>
          </cell>
          <cell r="B266" t="str">
            <v>VAR_fin</v>
          </cell>
          <cell r="C266" t="str">
            <v>T-ELC-car-BatSTGAUXin_S4</v>
          </cell>
          <cell r="D266">
            <v>0.14928460578930403</v>
          </cell>
          <cell r="E266">
            <v>0.96879450236640152</v>
          </cell>
          <cell r="F266">
            <v>1.677345349695196</v>
          </cell>
          <cell r="G266">
            <v>3.204939915418104</v>
          </cell>
          <cell r="H266">
            <v>3.3422124601580387</v>
          </cell>
          <cell r="I266">
            <v>2.0313721893923411</v>
          </cell>
          <cell r="J266">
            <v>1.9134039478343234</v>
          </cell>
          <cell r="K266">
            <v>2.0003681096306387</v>
          </cell>
          <cell r="L266">
            <v>2.140485009056261</v>
          </cell>
          <cell r="M266">
            <v>2.2381681425501907</v>
          </cell>
          <cell r="N266">
            <v>2.2870576368044717</v>
          </cell>
          <cell r="O266">
            <v>2.4021826310830741</v>
          </cell>
        </row>
        <row r="267">
          <cell r="A267" t="str">
            <v>T-Bat-Car-STG_S4</v>
          </cell>
          <cell r="B267" t="str">
            <v>VAR_fin</v>
          </cell>
          <cell r="C267" t="str">
            <v>T-ELC-car-BatSTGin_S4</v>
          </cell>
          <cell r="D267">
            <v>0.14928460578930403</v>
          </cell>
          <cell r="E267">
            <v>0.96879450236640152</v>
          </cell>
          <cell r="F267">
            <v>1.677345349695196</v>
          </cell>
          <cell r="G267">
            <v>3.204939915418104</v>
          </cell>
          <cell r="H267">
            <v>3.3422124601580387</v>
          </cell>
          <cell r="I267">
            <v>2.0313721893923411</v>
          </cell>
          <cell r="J267">
            <v>1.9134039478343234</v>
          </cell>
          <cell r="K267">
            <v>2.0003681096306387</v>
          </cell>
          <cell r="L267">
            <v>2.140485009056261</v>
          </cell>
          <cell r="M267">
            <v>2.2381681425501907</v>
          </cell>
          <cell r="N267">
            <v>2.2870576368044717</v>
          </cell>
          <cell r="O267">
            <v>2.4021826310830741</v>
          </cell>
        </row>
        <row r="268">
          <cell r="A268" t="str">
            <v>T-Bat-Car-STG_S4</v>
          </cell>
          <cell r="B268" t="str">
            <v>VAR_ncap</v>
          </cell>
          <cell r="C268" t="str">
            <v>-</v>
          </cell>
          <cell r="D268">
            <v>2.2881392123716201E-2</v>
          </cell>
          <cell r="E268">
            <v>11.4482091431698</v>
          </cell>
          <cell r="F268">
            <v>12.357194927955399</v>
          </cell>
          <cell r="G268">
            <v>25.454038637546201</v>
          </cell>
          <cell r="H268">
            <v>19.2547177135921</v>
          </cell>
          <cell r="I268">
            <v>0.52435045482772702</v>
          </cell>
          <cell r="J268">
            <v>18.777256408017902</v>
          </cell>
          <cell r="K268">
            <v>14.8751297489606</v>
          </cell>
          <cell r="L268">
            <v>22.639926224334499</v>
          </cell>
          <cell r="M268">
            <v>15.614400682673599</v>
          </cell>
          <cell r="N268">
            <v>2.83154491462945</v>
          </cell>
          <cell r="O268">
            <v>34.240944039069802</v>
          </cell>
        </row>
        <row r="269">
          <cell r="A269" t="str">
            <v>T-Bat-Car-STG_S4</v>
          </cell>
          <cell r="B269" t="str">
            <v>VAR_cap</v>
          </cell>
          <cell r="C269" t="str">
            <v>-</v>
          </cell>
          <cell r="D269">
            <v>2.2881392123716201E-2</v>
          </cell>
          <cell r="E269">
            <v>11.318012733306851</v>
          </cell>
          <cell r="F269">
            <v>22.854966126386639</v>
          </cell>
          <cell r="G269">
            <v>43.393310342252143</v>
          </cell>
          <cell r="H269">
            <v>49.048570828524305</v>
          </cell>
          <cell r="I269">
            <v>29.979735676163283</v>
          </cell>
          <cell r="J269">
            <v>30.30715160961255</v>
          </cell>
          <cell r="K269">
            <v>30.682085696787112</v>
          </cell>
          <cell r="L269">
            <v>45.609567218175584</v>
          </cell>
          <cell r="M269">
            <v>47.395717792544666</v>
          </cell>
          <cell r="N269">
            <v>35.068703390639591</v>
          </cell>
          <cell r="O269">
            <v>52.68677263177517</v>
          </cell>
        </row>
        <row r="270">
          <cell r="A270" t="str">
            <v>T_TW-ICEGSL-S3</v>
          </cell>
          <cell r="B270" t="str">
            <v>VAR_fout</v>
          </cell>
          <cell r="C270" t="str">
            <v>CO2_T</v>
          </cell>
          <cell r="D270">
            <v>12.071931020388549</v>
          </cell>
          <cell r="E270">
            <v>14.529113989590773</v>
          </cell>
          <cell r="F270">
            <v>14.647786382148368</v>
          </cell>
          <cell r="G270">
            <v>14.568178052196563</v>
          </cell>
          <cell r="H270">
            <v>13.969278970700985</v>
          </cell>
          <cell r="I270">
            <v>4.0617917918001956</v>
          </cell>
          <cell r="J270">
            <v>5.9806951803491375E-2</v>
          </cell>
          <cell r="K270">
            <v>7.0436492161705E-2</v>
          </cell>
          <cell r="L270">
            <v>7.5777298724536452E-2</v>
          </cell>
          <cell r="M270">
            <v>8.4472196924191403E-2</v>
          </cell>
          <cell r="N270">
            <v>9.3470843449804303E-2</v>
          </cell>
          <cell r="O270">
            <v>0.1151510620150534</v>
          </cell>
        </row>
        <row r="271">
          <cell r="A271" t="str">
            <v>T_TW-ICEGSL-S3</v>
          </cell>
          <cell r="B271" t="str">
            <v>VAR_fout</v>
          </cell>
          <cell r="C271" t="str">
            <v>TPTWL</v>
          </cell>
          <cell r="D271">
            <v>0.11931696737450079</v>
          </cell>
          <cell r="E271">
            <v>0.14375049072179713</v>
          </cell>
          <cell r="F271">
            <v>0.14492718047658376</v>
          </cell>
          <cell r="G271">
            <v>0.14414450862611131</v>
          </cell>
          <cell r="H271">
            <v>0.13823736157821784</v>
          </cell>
          <cell r="I271">
            <v>4.0270399712932455E-2</v>
          </cell>
          <cell r="J271">
            <v>6.4020022466967843E-4</v>
          </cell>
          <cell r="K271">
            <v>7.6967917409170882E-4</v>
          </cell>
          <cell r="L271">
            <v>8.3965888063214735E-4</v>
          </cell>
          <cell r="M271">
            <v>9.4755877951362805E-4</v>
          </cell>
          <cell r="N271">
            <v>1.0529374140069486E-3</v>
          </cell>
          <cell r="O271">
            <v>1.2971623768795457E-3</v>
          </cell>
        </row>
        <row r="272">
          <cell r="A272" t="str">
            <v>T_TW-ICEGSL-S3</v>
          </cell>
          <cell r="B272" t="str">
            <v>VAR_fin</v>
          </cell>
          <cell r="C272" t="str">
            <v>TGSL</v>
          </cell>
          <cell r="D272">
            <v>0.16357630108927554</v>
          </cell>
          <cell r="E272">
            <v>0.19687146327358809</v>
          </cell>
          <cell r="F272">
            <v>0.19847949027301268</v>
          </cell>
          <cell r="G272">
            <v>0.19740078661512961</v>
          </cell>
          <cell r="H272">
            <v>0.18928562290922796</v>
          </cell>
          <cell r="I272">
            <v>5.50378291571842E-2</v>
          </cell>
          <cell r="J272">
            <v>8.1039230086031523E-4</v>
          </cell>
          <cell r="K272">
            <v>9.5442401303123369E-4</v>
          </cell>
          <cell r="L272">
            <v>1.0267926656441246E-3</v>
          </cell>
          <cell r="M272">
            <v>1.1446097144199386E-3</v>
          </cell>
          <cell r="N272">
            <v>1.2665425941707908E-3</v>
          </cell>
          <cell r="O272">
            <v>1.5603124934289064E-3</v>
          </cell>
        </row>
        <row r="273">
          <cell r="A273" t="str">
            <v>T_TW-ICEGSL-S3</v>
          </cell>
          <cell r="B273" t="str">
            <v>VAR_ncap</v>
          </cell>
          <cell r="C273" t="str">
            <v>-</v>
          </cell>
          <cell r="E273">
            <v>3.82433735269996E-5</v>
          </cell>
          <cell r="F273">
            <v>4.8671947629974398E-5</v>
          </cell>
          <cell r="G273">
            <v>4.6734193716300003E-5</v>
          </cell>
          <cell r="H273">
            <v>7.3322196120625003E-5</v>
          </cell>
          <cell r="I273">
            <v>6.4487107920923101E-5</v>
          </cell>
          <cell r="J273">
            <v>7.4035531607415605E-5</v>
          </cell>
          <cell r="K273">
            <v>8.8813400137142202E-5</v>
          </cell>
          <cell r="L273">
            <v>9.3249632016201094E-5</v>
          </cell>
          <cell r="M273">
            <v>1.1841228031274399E-4</v>
          </cell>
          <cell r="N273">
            <v>1.21470076062843E-4</v>
          </cell>
          <cell r="O273">
            <v>1.83671117006106E-4</v>
          </cell>
        </row>
        <row r="274">
          <cell r="A274" t="str">
            <v>T_TW-ICEGSL-S3</v>
          </cell>
          <cell r="B274" t="str">
            <v>VAR_cap</v>
          </cell>
          <cell r="C274" t="str">
            <v>-</v>
          </cell>
          <cell r="D274">
            <v>5.3234056324544303E-2</v>
          </cell>
          <cell r="E274">
            <v>6.9096077255265204E-2</v>
          </cell>
          <cell r="F274">
            <v>6.9146252853666379E-2</v>
          </cell>
          <cell r="G274">
            <v>6.9194933403666212E-2</v>
          </cell>
          <cell r="H274">
            <v>6.6139675393396546E-2</v>
          </cell>
          <cell r="I274">
            <v>1.9150191278341493E-2</v>
          </cell>
          <cell r="J274">
            <v>2.5209716543761598E-4</v>
          </cell>
          <cell r="K274">
            <v>3.0033445642565864E-4</v>
          </cell>
          <cell r="L274">
            <v>3.3397214976999689E-4</v>
          </cell>
          <cell r="M274">
            <v>3.7403109727165708E-4</v>
          </cell>
          <cell r="N274">
            <v>4.2161471809256827E-4</v>
          </cell>
          <cell r="O274">
            <v>5.1640817640731876E-4</v>
          </cell>
        </row>
        <row r="275">
          <cell r="A275" t="str">
            <v>T_C-ICEGSLEXT</v>
          </cell>
          <cell r="B275" t="str">
            <v>VAR_fout</v>
          </cell>
          <cell r="C275" t="str">
            <v>CO2_T</v>
          </cell>
          <cell r="D275">
            <v>4722.2885559364104</v>
          </cell>
          <cell r="E275">
            <v>4016.30080397234</v>
          </cell>
          <cell r="F275">
            <v>3463.1483378387702</v>
          </cell>
          <cell r="G275">
            <v>958.71161377181295</v>
          </cell>
        </row>
        <row r="276">
          <cell r="A276" t="str">
            <v>T_C-ICEGSLEXT</v>
          </cell>
          <cell r="B276" t="str">
            <v>VAR_fout</v>
          </cell>
          <cell r="C276" t="str">
            <v>TPCAR</v>
          </cell>
          <cell r="D276">
            <v>18.302989311421761</v>
          </cell>
          <cell r="E276">
            <v>15.920907537756047</v>
          </cell>
          <cell r="F276">
            <v>14.186344491235198</v>
          </cell>
          <cell r="G276">
            <v>4.1386349840064192</v>
          </cell>
        </row>
        <row r="277">
          <cell r="A277" t="str">
            <v>T_C-ICEGSLEXT</v>
          </cell>
          <cell r="B277" t="str">
            <v>VAR_fin</v>
          </cell>
          <cell r="C277" t="str">
            <v>TGSL</v>
          </cell>
          <cell r="D277">
            <v>63.987649809436491</v>
          </cell>
          <cell r="E277">
            <v>54.421420108026219</v>
          </cell>
          <cell r="F277">
            <v>46.926129239007736</v>
          </cell>
          <cell r="G277">
            <v>12.990672273330809</v>
          </cell>
        </row>
        <row r="278">
          <cell r="A278" t="str">
            <v>T_C-ICEGSLEXT</v>
          </cell>
          <cell r="B278" t="str">
            <v>VAR_cap</v>
          </cell>
          <cell r="C278" t="str">
            <v>-</v>
          </cell>
          <cell r="D278">
            <v>2.4923089916078323</v>
          </cell>
          <cell r="E278">
            <v>2.1591608330451302</v>
          </cell>
          <cell r="F278">
            <v>1.6628846041983816</v>
          </cell>
          <cell r="G278">
            <v>0.83143927243251681</v>
          </cell>
        </row>
        <row r="279">
          <cell r="A279" t="str">
            <v>T_TW-ICEGSL-S4</v>
          </cell>
          <cell r="B279" t="str">
            <v>VAR_fout</v>
          </cell>
          <cell r="C279" t="str">
            <v>CO2_T</v>
          </cell>
          <cell r="D279">
            <v>7.8668232946465402</v>
          </cell>
          <cell r="E279">
            <v>9.2870380089510913</v>
          </cell>
          <cell r="F279">
            <v>9.3820229344246204</v>
          </cell>
          <cell r="G279">
            <v>9.3192331868036167</v>
          </cell>
          <cell r="H279">
            <v>9.3633578395052055</v>
          </cell>
          <cell r="I279">
            <v>9.0091507638118156</v>
          </cell>
          <cell r="J279">
            <v>2.028642318690514</v>
          </cell>
          <cell r="K279">
            <v>4.5851481484489739E-2</v>
          </cell>
          <cell r="L279">
            <v>4.9665311534580876E-2</v>
          </cell>
          <cell r="M279">
            <v>5.6837074517452103E-2</v>
          </cell>
          <cell r="N279">
            <v>6.0864290144814856E-2</v>
          </cell>
          <cell r="O279">
            <v>7.6214316543253002E-2</v>
          </cell>
        </row>
        <row r="280">
          <cell r="A280" t="str">
            <v>T_TW-ICEGSL-S4</v>
          </cell>
          <cell r="B280" t="str">
            <v>VAR_fout</v>
          </cell>
          <cell r="C280" t="str">
            <v>TPTWL</v>
          </cell>
          <cell r="D280">
            <v>7.203810681305825E-2</v>
          </cell>
          <cell r="E280">
            <v>8.5120538732385259E-2</v>
          </cell>
          <cell r="F280">
            <v>8.5992358294302212E-2</v>
          </cell>
          <cell r="G280">
            <v>8.5419570812144227E-2</v>
          </cell>
          <cell r="H280">
            <v>8.5829071386241587E-2</v>
          </cell>
          <cell r="I280">
            <v>8.2592864124950982E-2</v>
          </cell>
          <cell r="J280">
            <v>1.8644301474967862E-2</v>
          </cell>
          <cell r="K280">
            <v>4.6218363144116998E-4</v>
          </cell>
          <cell r="L280">
            <v>5.0833716541510846E-4</v>
          </cell>
          <cell r="M280">
            <v>5.8865417020204851E-4</v>
          </cell>
          <cell r="N280">
            <v>6.350387946965786E-4</v>
          </cell>
          <cell r="O280">
            <v>7.9749479188874635E-4</v>
          </cell>
        </row>
        <row r="281">
          <cell r="A281" t="str">
            <v>T_TW-ICEGSL-S4</v>
          </cell>
          <cell r="B281" t="str">
            <v>VAR_fin</v>
          </cell>
          <cell r="C281" t="str">
            <v>TGSL</v>
          </cell>
          <cell r="D281">
            <v>0.10659652160767696</v>
          </cell>
          <cell r="E281">
            <v>0.12584062342752142</v>
          </cell>
          <cell r="F281">
            <v>0.12712768203827401</v>
          </cell>
          <cell r="G281">
            <v>0.12627687244991365</v>
          </cell>
          <cell r="H281">
            <v>0.12687476747297016</v>
          </cell>
          <cell r="I281">
            <v>0.12207521360178589</v>
          </cell>
          <cell r="J281">
            <v>2.7488378302039453E-2</v>
          </cell>
          <cell r="K281">
            <v>6.2129378705270695E-4</v>
          </cell>
          <cell r="L281">
            <v>6.7297170101058125E-4</v>
          </cell>
          <cell r="M281">
            <v>7.701500612120898E-4</v>
          </cell>
          <cell r="N281">
            <v>8.2471937865603016E-4</v>
          </cell>
          <cell r="O281">
            <v>1.0327143163042429E-3</v>
          </cell>
        </row>
        <row r="282">
          <cell r="A282" t="str">
            <v>T_TW-ICEGSL-S4</v>
          </cell>
          <cell r="B282" t="str">
            <v>VAR_ncap</v>
          </cell>
          <cell r="C282" t="str">
            <v>-</v>
          </cell>
          <cell r="E282">
            <v>2.0443249302907E-5</v>
          </cell>
          <cell r="F282">
            <v>2.1280953854349601E-5</v>
          </cell>
          <cell r="G282">
            <v>2.4413120310574899E-5</v>
          </cell>
          <cell r="H282">
            <v>3.04336795259531E-5</v>
          </cell>
          <cell r="I282">
            <v>3.3566369804173398E-5</v>
          </cell>
          <cell r="J282">
            <v>3.8862045530061399E-5</v>
          </cell>
          <cell r="K282">
            <v>4.9084764889157498E-5</v>
          </cell>
          <cell r="L282">
            <v>4.6389954982312697E-5</v>
          </cell>
          <cell r="M282">
            <v>5.97327795212082E-5</v>
          </cell>
          <cell r="N282">
            <v>6.1178667801975301E-5</v>
          </cell>
          <cell r="O282">
            <v>9.54242211399364E-5</v>
          </cell>
        </row>
        <row r="283">
          <cell r="A283" t="str">
            <v>T_TW-ICEGSL-S4</v>
          </cell>
          <cell r="B283" t="str">
            <v>VAR_cap</v>
          </cell>
          <cell r="C283" t="str">
            <v>-</v>
          </cell>
          <cell r="D283">
            <v>3.2742991251126397E-2</v>
          </cell>
          <cell r="E283">
            <v>4.089191071818165E-2</v>
          </cell>
          <cell r="F283">
            <v>4.091508398674501E-2</v>
          </cell>
          <cell r="G283">
            <v>4.0941382663931429E-2</v>
          </cell>
          <cell r="H283">
            <v>4.0971719590046002E-2</v>
          </cell>
          <cell r="I283">
            <v>3.9452324012216801E-2</v>
          </cell>
          <cell r="J283">
            <v>8.7967636761566333E-3</v>
          </cell>
          <cell r="K283">
            <v>1.7609150625046659E-4</v>
          </cell>
          <cell r="L283">
            <v>1.9804422617609234E-4</v>
          </cell>
          <cell r="M283">
            <v>2.2725445137212639E-4</v>
          </cell>
          <cell r="N283">
            <v>2.4888519729081553E-4</v>
          </cell>
          <cell r="O283">
            <v>3.1158421233697819E-4</v>
          </cell>
        </row>
        <row r="284">
          <cell r="A284" t="str">
            <v>T_C-ICEDSLEXT</v>
          </cell>
          <cell r="B284" t="str">
            <v>VAR_fout</v>
          </cell>
          <cell r="C284" t="str">
            <v>CO2_T</v>
          </cell>
          <cell r="D284">
            <v>3821.27824108398</v>
          </cell>
          <cell r="E284">
            <v>3569.7774709146101</v>
          </cell>
          <cell r="F284">
            <v>2582.9147055164599</v>
          </cell>
          <cell r="G284">
            <v>1121.9591496802</v>
          </cell>
        </row>
        <row r="285">
          <cell r="A285" t="str">
            <v>T_C-ICEDSLEXT</v>
          </cell>
          <cell r="B285" t="str">
            <v>VAR_fout</v>
          </cell>
          <cell r="C285" t="str">
            <v>TPCAR</v>
          </cell>
          <cell r="D285">
            <v>17.673724669786125</v>
          </cell>
          <cell r="E285">
            <v>17.235950799842829</v>
          </cell>
          <cell r="F285">
            <v>13.258419336621264</v>
          </cell>
          <cell r="G285">
            <v>6.3291561182272496</v>
          </cell>
        </row>
        <row r="286">
          <cell r="A286" t="str">
            <v>T_C-ICEDSLEXT</v>
          </cell>
          <cell r="B286" t="str">
            <v>VAR_fin</v>
          </cell>
          <cell r="C286" t="str">
            <v>TDSL</v>
          </cell>
          <cell r="D286">
            <v>52.132036031159316</v>
          </cell>
          <cell r="E286">
            <v>48.700920476324882</v>
          </cell>
          <cell r="F286">
            <v>35.237581248519142</v>
          </cell>
          <cell r="G286">
            <v>15.306400404914063</v>
          </cell>
        </row>
        <row r="287">
          <cell r="A287" t="str">
            <v>T_C-ICEDSLEXT</v>
          </cell>
          <cell r="B287" t="str">
            <v>VAR_cap</v>
          </cell>
          <cell r="C287" t="str">
            <v>-</v>
          </cell>
          <cell r="D287">
            <v>1.0585411832196938</v>
          </cell>
          <cell r="E287">
            <v>0.91828358843280233</v>
          </cell>
          <cell r="F287">
            <v>0.70637197284242303</v>
          </cell>
          <cell r="G287">
            <v>0.35318571531823184</v>
          </cell>
        </row>
        <row r="288">
          <cell r="A288" t="str">
            <v>T-Plg-ELC-GSL_S1</v>
          </cell>
          <cell r="B288" t="str">
            <v>VAR_fout</v>
          </cell>
          <cell r="C288" t="str">
            <v>T-PEVmix-ELC_GSL_S1</v>
          </cell>
          <cell r="E288">
            <v>6.5671728763786746E-5</v>
          </cell>
          <cell r="F288">
            <v>9.9601814592338472E-5</v>
          </cell>
          <cell r="G288">
            <v>1.6992995160712175E-4</v>
          </cell>
          <cell r="H288">
            <v>1.9553853845533925E-4</v>
          </cell>
          <cell r="I288">
            <v>2.8507453031495955E-4</v>
          </cell>
          <cell r="J288">
            <v>4.8019308660754033E-4</v>
          </cell>
          <cell r="K288">
            <v>5.6354529794492821E-4</v>
          </cell>
          <cell r="L288">
            <v>1.1158439526700601E-3</v>
          </cell>
          <cell r="M288">
            <v>2.2645722484608242E-3</v>
          </cell>
          <cell r="N288">
            <v>3.3854166711529232E-3</v>
          </cell>
          <cell r="O288">
            <v>5.2616406141916114E-3</v>
          </cell>
        </row>
        <row r="289">
          <cell r="A289" t="str">
            <v>T-Plg-ELC-GSL_S1</v>
          </cell>
          <cell r="B289" t="str">
            <v>VAR_fin</v>
          </cell>
          <cell r="C289" t="str">
            <v>T-ELC-car-PlgSTGOut_S1</v>
          </cell>
          <cell r="E289">
            <v>3.6055422477670835E-5</v>
          </cell>
          <cell r="F289">
            <v>5.4683888672802607E-5</v>
          </cell>
          <cell r="G289">
            <v>9.3295795803436868E-5</v>
          </cell>
          <cell r="H289">
            <v>1.048704216616499E-4</v>
          </cell>
          <cell r="I289">
            <v>1.4945429917361081E-4</v>
          </cell>
          <cell r="J289">
            <v>2.4013111424626963E-4</v>
          </cell>
          <cell r="K289">
            <v>2.6916849541202132E-4</v>
          </cell>
          <cell r="L289">
            <v>5.1932893810509577E-4</v>
          </cell>
          <cell r="M289">
            <v>9.8100923365247749E-4</v>
          </cell>
          <cell r="N289">
            <v>1.463309260850153E-3</v>
          </cell>
          <cell r="O289">
            <v>2.174626773302964E-3</v>
          </cell>
        </row>
        <row r="290">
          <cell r="A290" t="str">
            <v>T-Plg-ELC-GSL_S2</v>
          </cell>
          <cell r="B290" t="str">
            <v>VAR_fout</v>
          </cell>
          <cell r="C290" t="str">
            <v>T-PEVmix-ELC_GSL_S2</v>
          </cell>
          <cell r="D290">
            <v>1.2603993256006445E-3</v>
          </cell>
          <cell r="E290">
            <v>9.276624870268945E-4</v>
          </cell>
          <cell r="F290">
            <v>1.6841301911873262E-3</v>
          </cell>
          <cell r="G290">
            <v>2.2634047624158775E-3</v>
          </cell>
          <cell r="H290">
            <v>2.9329064464965492E-3</v>
          </cell>
          <cell r="I290">
            <v>1.2314748962192776E-3</v>
          </cell>
          <cell r="J290">
            <v>1.6401017049972098E-3</v>
          </cell>
          <cell r="K290">
            <v>1.6273246962839106E-3</v>
          </cell>
          <cell r="L290">
            <v>2.9512967227571345E-3</v>
          </cell>
          <cell r="M290">
            <v>7.5101717729734535E-2</v>
          </cell>
          <cell r="N290">
            <v>0.16720949799783827</v>
          </cell>
          <cell r="O290">
            <v>0.19497902176550835</v>
          </cell>
        </row>
        <row r="291">
          <cell r="A291" t="str">
            <v>T-Plg-ELC-GSL_S2</v>
          </cell>
          <cell r="B291" t="str">
            <v>VAR_fin</v>
          </cell>
          <cell r="C291" t="str">
            <v>T-ELC-car-PlgSTGOut_S2</v>
          </cell>
          <cell r="D291">
            <v>8.3851262487658735E-4</v>
          </cell>
          <cell r="E291">
            <v>6.1715100222366182E-4</v>
          </cell>
          <cell r="F291">
            <v>1.120410332315455E-3</v>
          </cell>
          <cell r="G291">
            <v>1.505787435729595E-3</v>
          </cell>
          <cell r="H291">
            <v>1.8883448828841943E-3</v>
          </cell>
          <cell r="I291">
            <v>7.7870121089960033E-4</v>
          </cell>
          <cell r="J291">
            <v>9.8717866216734918E-4</v>
          </cell>
          <cell r="K291">
            <v>9.3686555729195124E-4</v>
          </cell>
          <cell r="L291">
            <v>1.6463807334528308E-3</v>
          </cell>
          <cell r="M291">
            <v>3.7662307100952856E-2</v>
          </cell>
          <cell r="N291">
            <v>8.3471204760749013E-2</v>
          </cell>
          <cell r="O291">
            <v>9.6969122588366125E-2</v>
          </cell>
        </row>
        <row r="292">
          <cell r="A292" t="str">
            <v>T-Plg-ELC-DSL_S1</v>
          </cell>
          <cell r="B292" t="str">
            <v>VAR_fout</v>
          </cell>
          <cell r="C292" t="str">
            <v>T-PEVmix-ELC_DSL_S1</v>
          </cell>
          <cell r="E292">
            <v>5.3409450730330836E-5</v>
          </cell>
          <cell r="F292">
            <v>9.2403455024542963E-5</v>
          </cell>
          <cell r="G292">
            <v>1.8562550881140468E-4</v>
          </cell>
          <cell r="H292">
            <v>3.2233731970089262E-4</v>
          </cell>
          <cell r="I292">
            <v>7.7202257443361572E-4</v>
          </cell>
          <cell r="J292">
            <v>1.0564975553500164E-3</v>
          </cell>
          <cell r="K292">
            <v>2.4243766020484907E-3</v>
          </cell>
          <cell r="L292">
            <v>1.8313765472973231E-3</v>
          </cell>
          <cell r="M292">
            <v>5.9317271837759557E-4</v>
          </cell>
          <cell r="N292">
            <v>2.3020230038927112E-4</v>
          </cell>
          <cell r="O292">
            <v>1.1373860399158399E-4</v>
          </cell>
        </row>
        <row r="293">
          <cell r="A293" t="str">
            <v>T-Plg-ELC-DSL_S1</v>
          </cell>
          <cell r="B293" t="str">
            <v>VAR_fin</v>
          </cell>
          <cell r="C293" t="str">
            <v>T-ELC-car-PlgSTGOut_S1</v>
          </cell>
          <cell r="E293">
            <v>2.9323124982881666E-5</v>
          </cell>
          <cell r="F293">
            <v>5.0731809136468452E-5</v>
          </cell>
          <cell r="G293">
            <v>1.0191304947827739E-4</v>
          </cell>
          <cell r="H293">
            <v>1.7285252707372947E-4</v>
          </cell>
          <cell r="I293">
            <v>4.0435920874515595E-4</v>
          </cell>
          <cell r="J293">
            <v>5.2766756966122986E-4</v>
          </cell>
          <cell r="K293">
            <v>1.1559028181481546E-3</v>
          </cell>
          <cell r="L293">
            <v>8.5081708782169005E-4</v>
          </cell>
          <cell r="M293">
            <v>2.5737417293475342E-4</v>
          </cell>
          <cell r="N293">
            <v>9.9911851505483487E-5</v>
          </cell>
          <cell r="O293">
            <v>4.7007964156860747E-5</v>
          </cell>
        </row>
        <row r="294">
          <cell r="A294" t="str">
            <v>T_TRM_ELC</v>
          </cell>
          <cell r="B294" t="str">
            <v>VAR_fout</v>
          </cell>
          <cell r="C294" t="str">
            <v>TPTRM</v>
          </cell>
          <cell r="D294">
            <v>3.3477999999999994E-2</v>
          </cell>
          <cell r="E294">
            <v>3.4238693943285006E-2</v>
          </cell>
          <cell r="F294">
            <v>3.537973485821249E-2</v>
          </cell>
          <cell r="G294">
            <v>3.7281469716424979E-2</v>
          </cell>
          <cell r="H294">
            <v>3.8200039755124107E-2</v>
          </cell>
          <cell r="I294">
            <v>3.9061076358642186E-2</v>
          </cell>
          <cell r="J294">
            <v>3.9708612294883733E-2</v>
          </cell>
          <cell r="K294">
            <v>4.0356148231125301E-2</v>
          </cell>
          <cell r="L294">
            <v>4.2371906290567779E-2</v>
          </cell>
          <cell r="M294">
            <v>4.3525301587149907E-2</v>
          </cell>
          <cell r="N294">
            <v>4.4673212327442917E-2</v>
          </cell>
          <cell r="O294">
            <v>4.5811892235102694E-2</v>
          </cell>
        </row>
        <row r="295">
          <cell r="A295" t="str">
            <v>T_TRM_ELC</v>
          </cell>
          <cell r="B295" t="str">
            <v>VAR_fin</v>
          </cell>
          <cell r="C295" t="str">
            <v>TELC</v>
          </cell>
          <cell r="D295">
            <v>0.58772895164057959</v>
          </cell>
          <cell r="E295">
            <v>0.61504030570008339</v>
          </cell>
          <cell r="F295">
            <v>0.65847123751882963</v>
          </cell>
          <cell r="G295">
            <v>0.73826743502205472</v>
          </cell>
          <cell r="H295">
            <v>0.7564574460789345</v>
          </cell>
          <cell r="I295">
            <v>0.77350814954032066</v>
          </cell>
          <cell r="J295">
            <v>0.78633099956125296</v>
          </cell>
          <cell r="K295">
            <v>0.7991538495821856</v>
          </cell>
          <cell r="L295">
            <v>0.83907095970389334</v>
          </cell>
          <cell r="M295">
            <v>0.86191110505360957</v>
          </cell>
          <cell r="N295">
            <v>0.88464264231103162</v>
          </cell>
          <cell r="O295">
            <v>0.90719138572521052</v>
          </cell>
        </row>
        <row r="296">
          <cell r="A296" t="str">
            <v>T-Plg-ELC-GSL_S3</v>
          </cell>
          <cell r="B296" t="str">
            <v>VAR_fout</v>
          </cell>
          <cell r="C296" t="str">
            <v>T-PEVmix-ELC_GSL_S3</v>
          </cell>
          <cell r="E296">
            <v>2.521038321970093E-2</v>
          </cell>
          <cell r="F296">
            <v>0.11526502931527413</v>
          </cell>
          <cell r="G296">
            <v>0.20265068566237471</v>
          </cell>
          <cell r="H296">
            <v>0.3260712829931488</v>
          </cell>
          <cell r="I296">
            <v>0.25224479409508593</v>
          </cell>
          <cell r="J296">
            <v>0.28414826896996787</v>
          </cell>
          <cell r="K296">
            <v>0.13424965856254606</v>
          </cell>
          <cell r="L296">
            <v>0.34622380162725375</v>
          </cell>
          <cell r="M296">
            <v>0.30926847253747647</v>
          </cell>
          <cell r="N296">
            <v>0.22885150468252546</v>
          </cell>
          <cell r="O296">
            <v>4.4534119990265769E-2</v>
          </cell>
        </row>
        <row r="297">
          <cell r="A297" t="str">
            <v>T-Plg-ELC-GSL_S3</v>
          </cell>
          <cell r="B297" t="str">
            <v>VAR_fin</v>
          </cell>
          <cell r="C297" t="str">
            <v>T-ELC-car-PlgSTGOut_S3</v>
          </cell>
          <cell r="E297">
            <v>1.799244350137455E-2</v>
          </cell>
          <cell r="F297">
            <v>8.2263704980838195E-2</v>
          </cell>
          <cell r="G297">
            <v>0.14463013039189912</v>
          </cell>
          <cell r="H297">
            <v>0.22191795452638446</v>
          </cell>
          <cell r="I297">
            <v>0.16415373266200092</v>
          </cell>
          <cell r="J297">
            <v>0.17586399547532808</v>
          </cell>
          <cell r="K297">
            <v>7.9755628260082104E-2</v>
          </cell>
          <cell r="L297">
            <v>0.19451332132680238</v>
          </cell>
          <cell r="M297">
            <v>0.16595183409712869</v>
          </cell>
          <cell r="N297">
            <v>0.12296076712807237</v>
          </cell>
          <cell r="O297">
            <v>2.3735565021955934E-2</v>
          </cell>
        </row>
        <row r="298">
          <cell r="A298" t="str">
            <v>T-Plg-ELC-DSL_S2</v>
          </cell>
          <cell r="B298" t="str">
            <v>VAR_fout</v>
          </cell>
          <cell r="C298" t="str">
            <v>T-PEVmix-ELC_DSL_S2</v>
          </cell>
          <cell r="E298">
            <v>5.7675467320766502E-5</v>
          </cell>
          <cell r="F298">
            <v>3.3159561485040753E-4</v>
          </cell>
          <cell r="G298">
            <v>6.1063525668268769E-4</v>
          </cell>
          <cell r="H298">
            <v>2.1169650088955884E-3</v>
          </cell>
          <cell r="I298">
            <v>4.0915412555114555E-3</v>
          </cell>
          <cell r="J298">
            <v>5.2260605287921136E-3</v>
          </cell>
          <cell r="K298">
            <v>7.2263725711484246E-3</v>
          </cell>
          <cell r="L298">
            <v>4.6916553612860751E-3</v>
          </cell>
          <cell r="M298">
            <v>2.4588049404842978E-3</v>
          </cell>
          <cell r="N298">
            <v>5.7607068986374266E-4</v>
          </cell>
          <cell r="O298">
            <v>1.7565456747130968E-4</v>
          </cell>
        </row>
        <row r="299">
          <cell r="A299" t="str">
            <v>T-Plg-ELC-DSL_S2</v>
          </cell>
          <cell r="B299" t="str">
            <v>VAR_fin</v>
          </cell>
          <cell r="C299" t="str">
            <v>T-ELC-car-PlgSTGOut_S2</v>
          </cell>
          <cell r="E299">
            <v>3.8370067733155124E-5</v>
          </cell>
          <cell r="F299">
            <v>2.2060239462067105E-4</v>
          </cell>
          <cell r="G299">
            <v>4.0624059496317409E-4</v>
          </cell>
          <cell r="H299">
            <v>1.3696098200891512E-3</v>
          </cell>
          <cell r="I299">
            <v>2.5699660869651173E-3</v>
          </cell>
          <cell r="J299">
            <v>3.1200205711123278E-3</v>
          </cell>
          <cell r="K299">
            <v>4.1333316369841326E-3</v>
          </cell>
          <cell r="L299">
            <v>2.606521812307938E-3</v>
          </cell>
          <cell r="M299">
            <v>1.2810892470069197E-3</v>
          </cell>
          <cell r="N299">
            <v>3.0095857975713839E-4</v>
          </cell>
          <cell r="O299">
            <v>8.7358471347839014E-5</v>
          </cell>
        </row>
        <row r="300">
          <cell r="A300" t="str">
            <v>T_TW-ICEGSLEXT</v>
          </cell>
          <cell r="B300" t="str">
            <v>VAR_fout</v>
          </cell>
          <cell r="C300" t="str">
            <v>CO2_T</v>
          </cell>
          <cell r="D300">
            <v>146.39410782923801</v>
          </cell>
          <cell r="E300">
            <v>52.632946510364697</v>
          </cell>
          <cell r="F300">
            <v>51.0964598546188</v>
          </cell>
          <cell r="G300">
            <v>33.445273242472098</v>
          </cell>
        </row>
        <row r="301">
          <cell r="A301" t="str">
            <v>T_TW-ICEGSLEXT</v>
          </cell>
          <cell r="B301" t="str">
            <v>VAR_fout</v>
          </cell>
          <cell r="C301" t="str">
            <v>TPTWL</v>
          </cell>
          <cell r="D301">
            <v>1.5297293710858513</v>
          </cell>
          <cell r="E301">
            <v>0.56144543241299238</v>
          </cell>
          <cell r="F301">
            <v>0.56174822544858727</v>
          </cell>
          <cell r="G301">
            <v>0.38590372100440229</v>
          </cell>
        </row>
        <row r="302">
          <cell r="A302" t="str">
            <v>T_TW-ICEGSLEXT</v>
          </cell>
          <cell r="B302" t="str">
            <v>VAR_fin</v>
          </cell>
          <cell r="C302" t="str">
            <v>TGSL</v>
          </cell>
          <cell r="D302">
            <v>1.9836599976861571</v>
          </cell>
          <cell r="E302">
            <v>0.71318355705101233</v>
          </cell>
          <cell r="F302">
            <v>0.69236395466963196</v>
          </cell>
          <cell r="G302">
            <v>0.45318798431534041</v>
          </cell>
        </row>
        <row r="303">
          <cell r="A303" t="str">
            <v>T_TW-ICEGSLEXT</v>
          </cell>
          <cell r="B303" t="str">
            <v>VAR_cap</v>
          </cell>
          <cell r="C303" t="str">
            <v>-</v>
          </cell>
          <cell r="D303">
            <v>0.55707915686756704</v>
          </cell>
          <cell r="E303">
            <v>0.270535943419146</v>
          </cell>
          <cell r="F303">
            <v>0.27049015016376099</v>
          </cell>
          <cell r="G303">
            <v>0.18593230655309004</v>
          </cell>
        </row>
        <row r="304">
          <cell r="A304" t="str">
            <v>T-Plg-ELC-GSL_S4</v>
          </cell>
          <cell r="B304" t="str">
            <v>VAR_fout</v>
          </cell>
          <cell r="C304" t="str">
            <v>T-PEVmix-ELC_GSL_S4</v>
          </cell>
          <cell r="E304">
            <v>6.7256846376490844E-4</v>
          </cell>
          <cell r="F304">
            <v>1.5455359187948798E-3</v>
          </cell>
          <cell r="G304">
            <v>2.8559441902619425E-3</v>
          </cell>
          <cell r="H304">
            <v>9.6627764448042972E-3</v>
          </cell>
          <cell r="I304">
            <v>3.5543647831557199E-3</v>
          </cell>
          <cell r="J304">
            <v>7.7874624402386331E-3</v>
          </cell>
          <cell r="K304">
            <v>6.8426753299759566E-3</v>
          </cell>
          <cell r="L304">
            <v>0.15867035883829003</v>
          </cell>
          <cell r="M304">
            <v>0.15592293369781332</v>
          </cell>
          <cell r="N304">
            <v>0.10661642949746183</v>
          </cell>
          <cell r="O304">
            <v>0.6405168010229475</v>
          </cell>
        </row>
        <row r="305">
          <cell r="A305" t="str">
            <v>T-Plg-ELC-GSL_S4</v>
          </cell>
          <cell r="B305" t="str">
            <v>VAR_fin</v>
          </cell>
          <cell r="C305" t="str">
            <v>T-ELC-car-PlgSTGOut_S4</v>
          </cell>
          <cell r="E305">
            <v>5.0214178074311122E-4</v>
          </cell>
          <cell r="F305">
            <v>1.1539020936571517E-3</v>
          </cell>
          <cell r="G305">
            <v>2.1322571286993192E-3</v>
          </cell>
          <cell r="H305">
            <v>6.9737774074303807E-3</v>
          </cell>
          <cell r="I305">
            <v>2.5193222858263041E-3</v>
          </cell>
          <cell r="J305">
            <v>5.2228549750827965E-3</v>
          </cell>
          <cell r="K305">
            <v>4.4335688493636538E-3</v>
          </cell>
          <cell r="L305">
            <v>9.5027492209730752E-2</v>
          </cell>
          <cell r="M305">
            <v>8.9559800790815922E-2</v>
          </cell>
          <cell r="N305">
            <v>6.1336472950202808E-2</v>
          </cell>
          <cell r="O305">
            <v>0.36437025703036185</v>
          </cell>
        </row>
        <row r="306">
          <cell r="A306" t="str">
            <v>T-Plg-ELC-DSL_S3</v>
          </cell>
          <cell r="B306" t="str">
            <v>VAR_fout</v>
          </cell>
          <cell r="C306" t="str">
            <v>T-PEVmix-ELC_DSL_S3</v>
          </cell>
          <cell r="E306">
            <v>9.4546782183856234E-4</v>
          </cell>
          <cell r="F306">
            <v>0.3026268912559304</v>
          </cell>
          <cell r="G306">
            <v>1.6693198040955219</v>
          </cell>
          <cell r="H306">
            <v>3.3058039203229614</v>
          </cell>
          <cell r="I306">
            <v>2.5942041348695701</v>
          </cell>
          <cell r="J306">
            <v>2.5444734618017706</v>
          </cell>
          <cell r="K306">
            <v>2.9361587522868171</v>
          </cell>
          <cell r="L306">
            <v>1.7048505108323775</v>
          </cell>
          <cell r="M306">
            <v>0.88910306864933408</v>
          </cell>
          <cell r="N306">
            <v>0.12111712911533479</v>
          </cell>
          <cell r="O306">
            <v>2.0818536155034365E-4</v>
          </cell>
        </row>
        <row r="307">
          <cell r="A307" t="str">
            <v>T-Plg-ELC-DSL_S3</v>
          </cell>
          <cell r="B307" t="str">
            <v>VAR_fin</v>
          </cell>
          <cell r="C307" t="str">
            <v>T-ELC-car-PlgSTGOut_S3</v>
          </cell>
          <cell r="E307">
            <v>6.7477262120729548E-4</v>
          </cell>
          <cell r="F307">
            <v>0.21598232741912055</v>
          </cell>
          <cell r="G307">
            <v>1.1913798373934685</v>
          </cell>
          <cell r="H307">
            <v>2.2482142072294602</v>
          </cell>
          <cell r="I307">
            <v>1.6850467687970823</v>
          </cell>
          <cell r="J307">
            <v>1.5724382610216006</v>
          </cell>
          <cell r="K307">
            <v>1.7313267091685336</v>
          </cell>
          <cell r="L307">
            <v>0.9551614504050524</v>
          </cell>
          <cell r="M307">
            <v>0.47537847890459728</v>
          </cell>
          <cell r="N307">
            <v>6.529996361962892E-2</v>
          </cell>
          <cell r="O307">
            <v>1.1095755763845059E-4</v>
          </cell>
        </row>
        <row r="308">
          <cell r="A308" t="str">
            <v>T-Plg-ELC-DSL_S4</v>
          </cell>
          <cell r="B308" t="str">
            <v>VAR_fout</v>
          </cell>
          <cell r="C308" t="str">
            <v>T-PEVmix-ELC_DSL_S4</v>
          </cell>
          <cell r="E308">
            <v>1.6083802403708738E-4</v>
          </cell>
          <cell r="F308">
            <v>7.2344073418899551E-4</v>
          </cell>
          <cell r="G308">
            <v>1.1633240896212634E-3</v>
          </cell>
          <cell r="H308">
            <v>0.61261150240375539</v>
          </cell>
          <cell r="I308">
            <v>1.7033689216046264</v>
          </cell>
          <cell r="J308">
            <v>2.5436633646619526</v>
          </cell>
          <cell r="K308">
            <v>2.5012460413056008</v>
          </cell>
          <cell r="L308">
            <v>2.4566988010255915</v>
          </cell>
          <cell r="M308">
            <v>3.1441231797776519</v>
          </cell>
          <cell r="N308">
            <v>4.026409735445295</v>
          </cell>
          <cell r="O308">
            <v>3.9335254164415119</v>
          </cell>
        </row>
        <row r="309">
          <cell r="A309" t="str">
            <v>T-Plg-ELC-DSL_S4</v>
          </cell>
          <cell r="B309" t="str">
            <v>VAR_fin</v>
          </cell>
          <cell r="C309" t="str">
            <v>T-ELC-car-PlgSTGOut_S4</v>
          </cell>
          <cell r="E309">
            <v>1.2008218665069132E-4</v>
          </cell>
          <cell r="F309">
            <v>5.4012318165239483E-4</v>
          </cell>
          <cell r="G309">
            <v>8.6854151125939074E-4</v>
          </cell>
          <cell r="H309">
            <v>0.43733491543877284</v>
          </cell>
          <cell r="I309">
            <v>1.1643571695205868</v>
          </cell>
          <cell r="J309">
            <v>1.659811601227543</v>
          </cell>
          <cell r="K309">
            <v>1.5624245296393648</v>
          </cell>
          <cell r="L309">
            <v>1.4633508131584585</v>
          </cell>
          <cell r="M309">
            <v>1.7907143355221227</v>
          </cell>
          <cell r="N309">
            <v>2.2928167849690602</v>
          </cell>
          <cell r="O309">
            <v>2.237661314637251</v>
          </cell>
        </row>
        <row r="310">
          <cell r="A310" t="str">
            <v>TFLGV-ICENGA</v>
          </cell>
          <cell r="B310" t="str">
            <v>VAR_fout</v>
          </cell>
          <cell r="C310" t="str">
            <v>CO2_T</v>
          </cell>
          <cell r="D310">
            <v>0.4138282329761363</v>
          </cell>
          <cell r="E310">
            <v>0.17002532393818534</v>
          </cell>
          <cell r="F310">
            <v>0.22540328463270939</v>
          </cell>
          <cell r="G310">
            <v>7.1155782565059771E-3</v>
          </cell>
          <cell r="H310">
            <v>5.9879415027273356E-3</v>
          </cell>
          <cell r="I310">
            <v>6.0097976489385807E-3</v>
          </cell>
          <cell r="J310">
            <v>6.08829183527253E-3</v>
          </cell>
          <cell r="K310">
            <v>6.2760243390400702E-3</v>
          </cell>
          <cell r="L310">
            <v>6.3781491557061108E-3</v>
          </cell>
          <cell r="M310">
            <v>6.5858583620948506E-3</v>
          </cell>
          <cell r="N310">
            <v>6.6743912478717214E-3</v>
          </cell>
          <cell r="O310">
            <v>7.02538617323052E-3</v>
          </cell>
        </row>
        <row r="311">
          <cell r="A311" t="str">
            <v>TFLGV-ICENGA</v>
          </cell>
          <cell r="B311" t="str">
            <v>VAR_fout</v>
          </cell>
          <cell r="C311" t="str">
            <v>TFLGV</v>
          </cell>
          <cell r="D311">
            <v>2.3521947413726908E-3</v>
          </cell>
          <cell r="E311">
            <v>9.6642191372827368E-4</v>
          </cell>
          <cell r="F311">
            <v>1.2811895819388535E-3</v>
          </cell>
          <cell r="G311">
            <v>4.0444861957362739E-5</v>
          </cell>
          <cell r="H311">
            <v>3.4035388095849723E-5</v>
          </cell>
          <cell r="I311">
            <v>3.4159618170281913E-5</v>
          </cell>
          <cell r="J311">
            <v>3.4605778189368025E-5</v>
          </cell>
          <cell r="K311">
            <v>3.5672847502089964E-5</v>
          </cell>
          <cell r="L311">
            <v>3.625332374219056E-5</v>
          </cell>
          <cell r="M311">
            <v>3.7433940394390999E-5</v>
          </cell>
          <cell r="N311">
            <v>3.7937160261400246E-5</v>
          </cell>
          <cell r="O311">
            <v>3.9932211231557355E-5</v>
          </cell>
        </row>
        <row r="312">
          <cell r="A312" t="str">
            <v>TFLGV-ICENGA</v>
          </cell>
          <cell r="B312" t="str">
            <v>VAR_fin</v>
          </cell>
          <cell r="C312" t="str">
            <v>TNGA</v>
          </cell>
          <cell r="D312">
            <v>7.3373800173073883E-3</v>
          </cell>
          <cell r="E312">
            <v>3.0146334031593185E-3</v>
          </cell>
          <cell r="F312">
            <v>3.9965121388778292E-3</v>
          </cell>
          <cell r="G312">
            <v>1.2616273504443198E-4</v>
          </cell>
          <cell r="H312">
            <v>1.0616917558027213E-4</v>
          </cell>
          <cell r="I312">
            <v>1.0655669590316638E-4</v>
          </cell>
          <cell r="J312">
            <v>1.0794843679561213E-4</v>
          </cell>
          <cell r="K312">
            <v>1.1127702728794462E-4</v>
          </cell>
          <cell r="L312">
            <v>1.1308775098769671E-4</v>
          </cell>
          <cell r="M312">
            <v>1.1677053833501489E-4</v>
          </cell>
          <cell r="N312">
            <v>1.183402703523355E-4</v>
          </cell>
          <cell r="O312">
            <v>1.2456358463174656E-4</v>
          </cell>
        </row>
        <row r="313">
          <cell r="A313" t="str">
            <v>TFLGV-ICENGA</v>
          </cell>
          <cell r="B313" t="str">
            <v>VAR_ncap</v>
          </cell>
          <cell r="C313" t="str">
            <v>-</v>
          </cell>
          <cell r="D313">
            <v>1.26480408790637E-8</v>
          </cell>
          <cell r="E313">
            <v>1.61229068821803E-6</v>
          </cell>
          <cell r="F313">
            <v>1.56498407304265E-6</v>
          </cell>
          <cell r="G313">
            <v>6.7462170869825197E-7</v>
          </cell>
          <cell r="H313">
            <v>1.61158560960559E-6</v>
          </cell>
          <cell r="I313">
            <v>9.6709145058959902E-7</v>
          </cell>
          <cell r="J313">
            <v>1.0680739154439199E-6</v>
          </cell>
          <cell r="K313">
            <v>1.4035838375128E-6</v>
          </cell>
          <cell r="L313">
            <v>9.9845038547109195E-7</v>
          </cell>
          <cell r="M313">
            <v>1.2083305919789499E-6</v>
          </cell>
          <cell r="N313">
            <v>1.56459366362629E-6</v>
          </cell>
          <cell r="O313">
            <v>7.2841461857790799E-7</v>
          </cell>
        </row>
        <row r="314">
          <cell r="A314" t="str">
            <v>TFLGV-ICENGA</v>
          </cell>
          <cell r="B314" t="str">
            <v>VAR_cap</v>
          </cell>
          <cell r="C314" t="str">
            <v>-</v>
          </cell>
          <cell r="D314">
            <v>1.7291012382485306E-4</v>
          </cell>
          <cell r="E314">
            <v>9.3498365193253044E-5</v>
          </cell>
          <cell r="F314">
            <v>9.5200926983921735E-5</v>
          </cell>
          <cell r="G314">
            <v>3.1831979175926607E-6</v>
          </cell>
          <cell r="H314">
            <v>2.6750779915142129E-6</v>
          </cell>
          <cell r="I314">
            <v>2.6813095153767022E-6</v>
          </cell>
          <cell r="J314">
            <v>2.7038027576465428E-6</v>
          </cell>
          <cell r="K314">
            <v>2.7955890317820482E-6</v>
          </cell>
          <cell r="L314">
            <v>2.8224431638496836E-6</v>
          </cell>
          <cell r="M314">
            <v>2.8632795797099715E-6</v>
          </cell>
          <cell r="N314">
            <v>2.9497717081606402E-6</v>
          </cell>
          <cell r="O314">
            <v>2.9658994202344598E-6</v>
          </cell>
        </row>
        <row r="315">
          <cell r="A315" t="str">
            <v>TFLGV-BEVELC</v>
          </cell>
          <cell r="B315" t="str">
            <v>VAR_fout</v>
          </cell>
          <cell r="C315" t="str">
            <v>TFLGV</v>
          </cell>
          <cell r="D315">
            <v>2.4049797816375163E-2</v>
          </cell>
          <cell r="E315">
            <v>4.36987465742451E-2</v>
          </cell>
          <cell r="F315">
            <v>0.2019853750580024</v>
          </cell>
          <cell r="G315">
            <v>0.83175705921586995</v>
          </cell>
          <cell r="H315">
            <v>1.959483155748879</v>
          </cell>
          <cell r="I315">
            <v>3.4620936039059509</v>
          </cell>
          <cell r="J315">
            <v>3.583336447872723</v>
          </cell>
          <cell r="K315">
            <v>3.7244163896533604</v>
          </cell>
          <cell r="L315">
            <v>3.9452619414139853</v>
          </cell>
          <cell r="M315">
            <v>4.2929829872269645</v>
          </cell>
          <cell r="N315">
            <v>4.7025046158057409</v>
          </cell>
          <cell r="O315">
            <v>5.1146320475997697</v>
          </cell>
        </row>
        <row r="316">
          <cell r="A316" t="str">
            <v>TFLGV-BEVELC</v>
          </cell>
          <cell r="B316" t="str">
            <v>VAR_fin</v>
          </cell>
          <cell r="C316" t="str">
            <v>T-ELC-LGV_BatSTGout</v>
          </cell>
          <cell r="D316">
            <v>3.5296882102604114E-2</v>
          </cell>
          <cell r="E316">
            <v>6.4134822156903457E-2</v>
          </cell>
          <cell r="F316">
            <v>0.29644548466924087</v>
          </cell>
          <cell r="G316">
            <v>1.2207350382447513</v>
          </cell>
          <cell r="H316">
            <v>2.8758514503358668</v>
          </cell>
          <cell r="I316">
            <v>5.081169941563628</v>
          </cell>
          <cell r="J316">
            <v>5.2591129913120938</v>
          </cell>
          <cell r="K316">
            <v>5.4661701196128796</v>
          </cell>
          <cell r="L316">
            <v>5.7902958965901661</v>
          </cell>
          <cell r="M316">
            <v>6.3006315281977647</v>
          </cell>
          <cell r="N316">
            <v>6.9016692896283356</v>
          </cell>
          <cell r="O316">
            <v>7.5065314794209606</v>
          </cell>
        </row>
        <row r="317">
          <cell r="A317" t="str">
            <v>TFLGV-BEVELC</v>
          </cell>
          <cell r="B317" t="str">
            <v>VAR_ncap</v>
          </cell>
          <cell r="C317" t="str">
            <v>-</v>
          </cell>
          <cell r="E317">
            <v>1.20147418117645E-3</v>
          </cell>
          <cell r="F317">
            <v>1.0306447200386801E-2</v>
          </cell>
          <cell r="G317">
            <v>4.5233556305108301E-2</v>
          </cell>
          <cell r="H317">
            <v>0.14357114343362401</v>
          </cell>
          <cell r="I317">
            <v>0.19077672521324501</v>
          </cell>
          <cell r="J317">
            <v>9.0527989873573703E-2</v>
          </cell>
          <cell r="K317">
            <v>0.212778941412478</v>
          </cell>
          <cell r="L317">
            <v>0.114975428518738</v>
          </cell>
          <cell r="M317">
            <v>0.14448382580184399</v>
          </cell>
          <cell r="N317">
            <v>0.20362705077860599</v>
          </cell>
          <cell r="O317">
            <v>6.7341551113745193E-2</v>
          </cell>
        </row>
        <row r="318">
          <cell r="A318" t="str">
            <v>TFLGV-BEVELC</v>
          </cell>
          <cell r="B318" t="str">
            <v>VAR_cap</v>
          </cell>
          <cell r="C318" t="str">
            <v>-</v>
          </cell>
          <cell r="D318">
            <v>1.6988544400583223E-3</v>
          </cell>
          <cell r="E318">
            <v>3.7933479894338208E-3</v>
          </cell>
          <cell r="F318">
            <v>1.40999213815633E-2</v>
          </cell>
          <cell r="G318">
            <v>5.8364288174528371E-2</v>
          </cell>
          <cell r="H318">
            <v>0.1940851143987195</v>
          </cell>
          <cell r="I318">
            <v>0.34384675411574978</v>
          </cell>
          <cell r="J318">
            <v>0.35574788847129069</v>
          </cell>
          <cell r="K318">
            <v>0.36847568603131842</v>
          </cell>
          <cell r="L318">
            <v>0.36847478797601768</v>
          </cell>
          <cell r="M318">
            <v>0.36847514917563634</v>
          </cell>
          <cell r="N318">
            <v>0.36847550258755829</v>
          </cell>
          <cell r="O318">
            <v>0.36847520636924691</v>
          </cell>
        </row>
        <row r="319">
          <cell r="A319" t="str">
            <v>T_B_c-BEVELC-S1</v>
          </cell>
          <cell r="B319" t="str">
            <v>VAR_fout</v>
          </cell>
          <cell r="C319" t="str">
            <v>TPBSc</v>
          </cell>
          <cell r="D319">
            <v>9.62146504098006E-5</v>
          </cell>
          <cell r="E319">
            <v>1.3674303113055819E-4</v>
          </cell>
          <cell r="F319">
            <v>2.3140050808858259E-4</v>
          </cell>
          <cell r="G319">
            <v>6.4539777203519222E-2</v>
          </cell>
          <cell r="H319">
            <v>6.3669240087447801E-2</v>
          </cell>
          <cell r="I319">
            <v>6.3470675487393782E-2</v>
          </cell>
          <cell r="J319">
            <v>6.2927946929026174E-2</v>
          </cell>
          <cell r="K319">
            <v>6.1870590175745747E-2</v>
          </cell>
          <cell r="L319">
            <v>6.2402917475240904E-2</v>
          </cell>
          <cell r="M319">
            <v>6.1897371198653017E-2</v>
          </cell>
          <cell r="N319">
            <v>6.3544810665455462E-2</v>
          </cell>
          <cell r="O319">
            <v>6.0961637098242316E-2</v>
          </cell>
        </row>
        <row r="320">
          <cell r="A320" t="str">
            <v>T_B_c-BEVELC-S1</v>
          </cell>
          <cell r="B320" t="str">
            <v>VAR_fin</v>
          </cell>
          <cell r="C320" t="str">
            <v>T-ELC-Bus_c_BatSTGout_S1</v>
          </cell>
          <cell r="D320">
            <v>2.5407017101403465E-4</v>
          </cell>
          <cell r="E320">
            <v>3.5572929181334838E-4</v>
          </cell>
          <cell r="F320">
            <v>5.8380416660627082E-4</v>
          </cell>
          <cell r="G320">
            <v>0.14432377814204242</v>
          </cell>
          <cell r="H320">
            <v>0.1353428047830251</v>
          </cell>
          <cell r="I320">
            <v>0.13459725263089181</v>
          </cell>
          <cell r="J320">
            <v>0.12771556653429936</v>
          </cell>
          <cell r="K320">
            <v>0.11662859915855771</v>
          </cell>
          <cell r="L320">
            <v>0.11616669010922633</v>
          </cell>
          <cell r="M320">
            <v>0.11412658565228846</v>
          </cell>
          <cell r="N320">
            <v>0.11716414020063216</v>
          </cell>
          <cell r="O320">
            <v>0.11240127590342115</v>
          </cell>
        </row>
        <row r="321">
          <cell r="A321" t="str">
            <v>T_B_c-BEVELC-S1</v>
          </cell>
          <cell r="B321" t="str">
            <v>VAR_ncap</v>
          </cell>
          <cell r="C321" t="str">
            <v>-</v>
          </cell>
          <cell r="E321">
            <v>1.07119676910034E-6</v>
          </cell>
          <cell r="F321">
            <v>2.4367269393843398E-6</v>
          </cell>
          <cell r="G321">
            <v>1.40338205087313E-3</v>
          </cell>
          <cell r="H321">
            <v>1.3482618072554E-3</v>
          </cell>
          <cell r="I321">
            <v>2.99190333187776E-5</v>
          </cell>
          <cell r="J321">
            <v>6.40105499286076E-4</v>
          </cell>
          <cell r="K321">
            <v>7.0077276062134402E-4</v>
          </cell>
          <cell r="L321">
            <v>3.7375502972526899E-4</v>
          </cell>
          <cell r="M321">
            <v>6.2732820705525404E-4</v>
          </cell>
          <cell r="N321">
            <v>7.0205289868614199E-4</v>
          </cell>
          <cell r="O321">
            <v>2.1482199112844301E-4</v>
          </cell>
        </row>
        <row r="322">
          <cell r="A322" t="str">
            <v>T_B_c-BEVELC-S1</v>
          </cell>
          <cell r="B322" t="str">
            <v>VAR_cap</v>
          </cell>
          <cell r="C322" t="str">
            <v>-</v>
          </cell>
          <cell r="D322">
            <v>2.0796788669851603E-6</v>
          </cell>
          <cell r="E322">
            <v>3.1086138450756099E-6</v>
          </cell>
          <cell r="F322">
            <v>5.3788727898919906E-6</v>
          </cell>
          <cell r="G322">
            <v>1.4080131756949224E-3</v>
          </cell>
          <cell r="H322">
            <v>1.3839948090968999E-3</v>
          </cell>
          <cell r="I322">
            <v>1.3798214783792341E-3</v>
          </cell>
          <cell r="J322">
            <v>1.3690308501682063E-3</v>
          </cell>
          <cell r="K322">
            <v>1.3510549728503538E-3</v>
          </cell>
          <cell r="L322">
            <v>1.3623707548217573E-3</v>
          </cell>
          <cell r="M322">
            <v>1.3599357395486932E-3</v>
          </cell>
          <cell r="N322">
            <v>1.3955221198983833E-3</v>
          </cell>
          <cell r="O322">
            <v>1.3397644771057054E-3</v>
          </cell>
        </row>
        <row r="323">
          <cell r="A323" t="str">
            <v>T_B_c-BEVELC-S2</v>
          </cell>
          <cell r="B323" t="str">
            <v>VAR_fout</v>
          </cell>
          <cell r="C323" t="str">
            <v>TPBSc</v>
          </cell>
          <cell r="D323">
            <v>1.6473721072498591E-4</v>
          </cell>
          <cell r="E323">
            <v>1.3255763536484968E-4</v>
          </cell>
          <cell r="F323">
            <v>2.1659865814393527E-4</v>
          </cell>
          <cell r="G323">
            <v>2.7513485420767498E-2</v>
          </cell>
          <cell r="H323">
            <v>2.8459641445882405E-2</v>
          </cell>
          <cell r="I323">
            <v>2.8448832654171481E-2</v>
          </cell>
          <cell r="J323">
            <v>2.8734276170704426E-2</v>
          </cell>
          <cell r="K323">
            <v>2.9249014975480589E-2</v>
          </cell>
          <cell r="L323">
            <v>2.8569455674237548E-2</v>
          </cell>
          <cell r="M323">
            <v>2.8169703782267616E-2</v>
          </cell>
          <cell r="N323">
            <v>2.5467412051466506E-2</v>
          </cell>
          <cell r="O323">
            <v>2.4541112524031086E-2</v>
          </cell>
        </row>
        <row r="324">
          <cell r="A324" t="str">
            <v>T_B_c-BEVELC-S2</v>
          </cell>
          <cell r="B324" t="str">
            <v>VAR_fin</v>
          </cell>
          <cell r="C324" t="str">
            <v>T-ELC-Bus_c_BatSTGout_S2</v>
          </cell>
          <cell r="D324">
            <v>5.9865102368276317E-4</v>
          </cell>
          <cell r="E324">
            <v>4.7561035645235104E-4</v>
          </cell>
          <cell r="F324">
            <v>7.5776389829756183E-4</v>
          </cell>
          <cell r="G324">
            <v>8.4898413820855903E-2</v>
          </cell>
          <cell r="H324">
            <v>8.7579928034993315E-2</v>
          </cell>
          <cell r="I324">
            <v>8.1214061525676728E-2</v>
          </cell>
          <cell r="J324">
            <v>7.9427640487877912E-2</v>
          </cell>
          <cell r="K324">
            <v>7.7075284833788824E-2</v>
          </cell>
          <cell r="L324">
            <v>7.3144366998757607E-2</v>
          </cell>
          <cell r="M324">
            <v>7.1785297000637474E-2</v>
          </cell>
          <cell r="N324">
            <v>6.4899004692514806E-2</v>
          </cell>
          <cell r="O324">
            <v>6.2538501110281239E-2</v>
          </cell>
        </row>
        <row r="325">
          <cell r="A325" t="str">
            <v>T_B_c-BEVELC-S2</v>
          </cell>
          <cell r="B325" t="str">
            <v>VAR_ncap</v>
          </cell>
          <cell r="C325" t="str">
            <v>-</v>
          </cell>
          <cell r="E325">
            <v>6.19395748872892E-7</v>
          </cell>
          <cell r="F325">
            <v>1.7577371915703399E-6</v>
          </cell>
          <cell r="G325">
            <v>5.9388529477650404E-4</v>
          </cell>
          <cell r="H325">
            <v>2.43929297973024E-5</v>
          </cell>
          <cell r="I325">
            <v>4.6940258364281301E-4</v>
          </cell>
          <cell r="J325">
            <v>1.42674557998783E-4</v>
          </cell>
          <cell r="K325">
            <v>3.3335643942194201E-4</v>
          </cell>
          <cell r="L325">
            <v>2.2368559450973701E-4</v>
          </cell>
          <cell r="M325">
            <v>2.1847553400920701E-4</v>
          </cell>
          <cell r="N325">
            <v>2.9592779141638699E-4</v>
          </cell>
          <cell r="O325">
            <v>9.1128017744784794E-5</v>
          </cell>
        </row>
        <row r="326">
          <cell r="A326" t="str">
            <v>T_B_c-BEVELC-S2</v>
          </cell>
          <cell r="B326" t="str">
            <v>VAR_cap</v>
          </cell>
          <cell r="C326" t="str">
            <v>-</v>
          </cell>
          <cell r="D326">
            <v>4.0856080347510502E-6</v>
          </cell>
          <cell r="E326">
            <v>3.1658963964447945E-6</v>
          </cell>
          <cell r="F326">
            <v>4.956578190201244E-6</v>
          </cell>
          <cell r="G326">
            <v>5.9804683827348792E-4</v>
          </cell>
          <cell r="H326">
            <v>6.1859370131859539E-4</v>
          </cell>
          <cell r="I326">
            <v>6.1837446776109016E-4</v>
          </cell>
          <cell r="J326">
            <v>6.2471175854356858E-4</v>
          </cell>
          <cell r="K326">
            <v>6.3636747969561731E-4</v>
          </cell>
          <cell r="L326">
            <v>6.212080844989721E-4</v>
          </cell>
          <cell r="M326">
            <v>6.1290981707946531E-4</v>
          </cell>
          <cell r="N326">
            <v>5.5401557561271097E-4</v>
          </cell>
          <cell r="O326">
            <v>5.3442218051100285E-4</v>
          </cell>
        </row>
        <row r="327">
          <cell r="A327" t="str">
            <v>T_B_c-BEVELC-S3</v>
          </cell>
          <cell r="B327" t="str">
            <v>VAR_fout</v>
          </cell>
          <cell r="C327" t="str">
            <v>TPBSc</v>
          </cell>
          <cell r="D327">
            <v>5.5381445175268716E-5</v>
          </cell>
          <cell r="E327">
            <v>7.760539560193607E-5</v>
          </cell>
          <cell r="F327">
            <v>1.0268275876569263E-4</v>
          </cell>
          <cell r="G327">
            <v>1.3470369746570215E-4</v>
          </cell>
          <cell r="H327">
            <v>2.9671781656263532E-4</v>
          </cell>
          <cell r="I327">
            <v>4.8603788474817461E-4</v>
          </cell>
          <cell r="J327">
            <v>6.8520719154843408E-4</v>
          </cell>
          <cell r="K327">
            <v>9.6183275398605266E-4</v>
          </cell>
          <cell r="L327">
            <v>1.14085810082415E-3</v>
          </cell>
          <cell r="M327">
            <v>1.6326499370407743E-3</v>
          </cell>
          <cell r="N327">
            <v>2.6907222863161418E-3</v>
          </cell>
          <cell r="O327">
            <v>6.1338416885355204E-3</v>
          </cell>
        </row>
        <row r="328">
          <cell r="A328" t="str">
            <v>T_B_c-BEVELC-S3</v>
          </cell>
          <cell r="B328" t="str">
            <v>VAR_fin</v>
          </cell>
          <cell r="C328" t="str">
            <v>T-ELC-Bus_c_BatSTGout_S3</v>
          </cell>
          <cell r="D328">
            <v>3.0267979419529273E-4</v>
          </cell>
          <cell r="E328">
            <v>4.2049837095079124E-4</v>
          </cell>
          <cell r="F328">
            <v>5.4835222457882353E-4</v>
          </cell>
          <cell r="G328">
            <v>6.5930491987478213E-4</v>
          </cell>
          <cell r="H328">
            <v>1.3175953867906279E-3</v>
          </cell>
          <cell r="I328">
            <v>2.0835483232121096E-3</v>
          </cell>
          <cell r="J328">
            <v>2.7905516544652633E-3</v>
          </cell>
          <cell r="K328">
            <v>3.7454634253884641E-3</v>
          </cell>
          <cell r="L328">
            <v>4.3635083397109576E-3</v>
          </cell>
          <cell r="M328">
            <v>6.2280933241291555E-3</v>
          </cell>
          <cell r="N328">
            <v>1.0264337215401849E-2</v>
          </cell>
          <cell r="O328">
            <v>2.339885458904661E-2</v>
          </cell>
        </row>
        <row r="329">
          <cell r="A329" t="str">
            <v>T_B_c-BEVELC-S3</v>
          </cell>
          <cell r="B329" t="str">
            <v>VAR_ncap</v>
          </cell>
          <cell r="C329" t="str">
            <v>-</v>
          </cell>
          <cell r="E329">
            <v>2.97764024357369E-7</v>
          </cell>
          <cell r="F329">
            <v>4.7418498030486901E-7</v>
          </cell>
          <cell r="G329">
            <v>1.7127916558973201E-6</v>
          </cell>
          <cell r="H329">
            <v>5.2209229842430703E-6</v>
          </cell>
          <cell r="I329">
            <v>5.4122167396843199E-6</v>
          </cell>
          <cell r="J329">
            <v>9.5509997179673297E-6</v>
          </cell>
          <cell r="K329">
            <v>1.1552674462837701E-5</v>
          </cell>
          <cell r="L329">
            <v>1.19517704311468E-5</v>
          </cell>
          <cell r="M329">
            <v>2.6616607151702101E-5</v>
          </cell>
          <cell r="N329">
            <v>3.2066665689118799E-5</v>
          </cell>
          <cell r="O329">
            <v>1.01593006880369E-4</v>
          </cell>
        </row>
        <row r="330">
          <cell r="A330" t="str">
            <v>T_B_c-BEVELC-S3</v>
          </cell>
          <cell r="B330" t="str">
            <v>VAR_cap</v>
          </cell>
          <cell r="C330" t="str">
            <v>-</v>
          </cell>
          <cell r="D330">
            <v>9.7469801864271015E-7</v>
          </cell>
          <cell r="E330">
            <v>1.5301087478988091E-6</v>
          </cell>
          <cell r="F330">
            <v>2.0171752358566582E-6</v>
          </cell>
          <cell r="G330">
            <v>2.9396006832749298E-6</v>
          </cell>
          <cell r="H330">
            <v>6.5104882267212452E-6</v>
          </cell>
          <cell r="I330">
            <v>1.06331397239274E-5</v>
          </cell>
          <cell r="J330">
            <v>1.5038791788936919E-5</v>
          </cell>
          <cell r="K330">
            <v>2.1103674180805001E-5</v>
          </cell>
          <cell r="L330">
            <v>2.4969791413068879E-5</v>
          </cell>
          <cell r="M330">
            <v>3.5690177614239097E-5</v>
          </cell>
          <cell r="N330">
            <v>5.86832728408209E-5</v>
          </cell>
          <cell r="O330">
            <v>1.3364961914188729E-4</v>
          </cell>
        </row>
        <row r="331">
          <cell r="A331" t="str">
            <v>T_B_c-BEVELC-S4</v>
          </cell>
          <cell r="B331" t="str">
            <v>VAR_fout</v>
          </cell>
          <cell r="C331" t="str">
            <v>TPBSc</v>
          </cell>
          <cell r="E331">
            <v>6.709837299063001E-6</v>
          </cell>
          <cell r="F331">
            <v>1.4397635183082077E-5</v>
          </cell>
          <cell r="G331">
            <v>1.282388247279102E-5</v>
          </cell>
          <cell r="H331">
            <v>1.5722705346154469E-5</v>
          </cell>
          <cell r="I331">
            <v>2.5063638139749349E-5</v>
          </cell>
          <cell r="J331">
            <v>2.3898943604842355E-5</v>
          </cell>
          <cell r="K331">
            <v>3.3523081183099093E-5</v>
          </cell>
          <cell r="L331">
            <v>3.264585418672392E-5</v>
          </cell>
          <cell r="M331">
            <v>3.2338856110856924E-5</v>
          </cell>
          <cell r="N331">
            <v>4.5047034164012891E-5</v>
          </cell>
          <cell r="O331">
            <v>6.063504450022549E-5</v>
          </cell>
        </row>
        <row r="332">
          <cell r="A332" t="str">
            <v>T_B_c-BEVELC-S4</v>
          </cell>
          <cell r="B332" t="str">
            <v>VAR_fin</v>
          </cell>
          <cell r="C332" t="str">
            <v>T-ELC-Bus_c_BatSTGout_S4</v>
          </cell>
          <cell r="E332">
            <v>5.3069758575135876E-5</v>
          </cell>
          <cell r="F332">
            <v>1.1107827002616437E-4</v>
          </cell>
          <cell r="G332">
            <v>9.1928368098392985E-5</v>
          </cell>
          <cell r="H332">
            <v>1.0397656488762003E-4</v>
          </cell>
          <cell r="I332">
            <v>1.599093313746659E-4</v>
          </cell>
          <cell r="J332">
            <v>1.4462740217328055E-4</v>
          </cell>
          <cell r="K332">
            <v>1.9405526582077644E-4</v>
          </cell>
          <cell r="L332">
            <v>1.8604155011090452E-4</v>
          </cell>
          <cell r="M332">
            <v>1.8429203552970585E-4</v>
          </cell>
          <cell r="N332">
            <v>2.5671315003238533E-4</v>
          </cell>
          <cell r="O332">
            <v>3.4554579596367615E-4</v>
          </cell>
        </row>
        <row r="333">
          <cell r="A333" t="str">
            <v>T_B_c-BEVELC-S4</v>
          </cell>
          <cell r="B333" t="str">
            <v>VAR_ncap</v>
          </cell>
          <cell r="C333" t="str">
            <v>-</v>
          </cell>
          <cell r="E333">
            <v>1.7586284452120201E-7</v>
          </cell>
          <cell r="F333">
            <v>1.6921637854101201E-7</v>
          </cell>
          <cell r="G333">
            <v>2.19477462716497E-7</v>
          </cell>
          <cell r="H333">
            <v>3.4217167220199399E-7</v>
          </cell>
          <cell r="I333">
            <v>3.7638045131514801E-7</v>
          </cell>
          <cell r="J333">
            <v>4.35778155911469E-7</v>
          </cell>
          <cell r="K333">
            <v>5.6523156921593703E-7</v>
          </cell>
          <cell r="L333">
            <v>5.6828467640803295E-7</v>
          </cell>
          <cell r="M333">
            <v>6.9276985706855904E-7</v>
          </cell>
          <cell r="N333">
            <v>7.533680354628E-7</v>
          </cell>
          <cell r="O333">
            <v>1.0354531168851601E-6</v>
          </cell>
        </row>
        <row r="334">
          <cell r="A334" t="str">
            <v>T_B_c-BEVELC-S4</v>
          </cell>
          <cell r="B334" t="str">
            <v>VAR_cap</v>
          </cell>
          <cell r="C334" t="str">
            <v>-</v>
          </cell>
          <cell r="E334">
            <v>1.7586284452120201E-7</v>
          </cell>
          <cell r="F334">
            <v>3.4507922306221399E-7</v>
          </cell>
          <cell r="G334">
            <v>3.6241215970496993E-7</v>
          </cell>
          <cell r="H334">
            <v>3.9908975365060099E-7</v>
          </cell>
          <cell r="I334">
            <v>6.137451678895505E-7</v>
          </cell>
          <cell r="J334">
            <v>6.2541485451618947E-7</v>
          </cell>
          <cell r="K334">
            <v>8.5932205091266203E-7</v>
          </cell>
          <cell r="L334">
            <v>8.3634919368419889E-7</v>
          </cell>
          <cell r="M334">
            <v>8.4014568826982197E-7</v>
          </cell>
          <cell r="N334">
            <v>1.166107801837381E-6</v>
          </cell>
          <cell r="O334">
            <v>1.535938962873186E-6</v>
          </cell>
        </row>
        <row r="335">
          <cell r="A335" t="str">
            <v>T_C-BAT-ELC-S1</v>
          </cell>
          <cell r="B335" t="str">
            <v>VAR_fout</v>
          </cell>
          <cell r="C335" t="str">
            <v>TPCAR</v>
          </cell>
          <cell r="D335">
            <v>1.3936874173883528E-2</v>
          </cell>
          <cell r="E335">
            <v>3.2207176282336117E-2</v>
          </cell>
          <cell r="F335">
            <v>2.368499855566969E-2</v>
          </cell>
          <cell r="G335">
            <v>2.1144392745005215E-2</v>
          </cell>
          <cell r="H335">
            <v>8.7414520990724588E-3</v>
          </cell>
          <cell r="I335">
            <v>0.24977943181161161</v>
          </cell>
          <cell r="J335">
            <v>0.75053913610644429</v>
          </cell>
          <cell r="K335">
            <v>1.689084808486685</v>
          </cell>
          <cell r="L335">
            <v>1.8466310210546477</v>
          </cell>
          <cell r="M335">
            <v>1.8385946117965666</v>
          </cell>
          <cell r="N335">
            <v>1.893589105645328</v>
          </cell>
          <cell r="O335">
            <v>1.7015316068742015</v>
          </cell>
        </row>
        <row r="336">
          <cell r="A336" t="str">
            <v>T_C-BAT-ELC-S1</v>
          </cell>
          <cell r="B336" t="str">
            <v>VAR_fin</v>
          </cell>
          <cell r="C336" t="str">
            <v>T-ELC-car-BatSTGOut_S1</v>
          </cell>
          <cell r="D336">
            <v>7.6928242958403843E-3</v>
          </cell>
          <cell r="E336">
            <v>1.7777598126662995E-2</v>
          </cell>
          <cell r="F336">
            <v>1.3073557963049955E-2</v>
          </cell>
          <cell r="G336">
            <v>1.1671203757753554E-2</v>
          </cell>
          <cell r="H336">
            <v>4.7616155231031193E-3</v>
          </cell>
          <cell r="I336">
            <v>0.12536189852646987</v>
          </cell>
          <cell r="J336">
            <v>0.36296861081116194</v>
          </cell>
          <cell r="K336">
            <v>0.78490685205246546</v>
          </cell>
          <cell r="L336">
            <v>0.83280267102195626</v>
          </cell>
          <cell r="M336">
            <v>0.79570438434411384</v>
          </cell>
          <cell r="N336">
            <v>0.78881446937124855</v>
          </cell>
          <cell r="O336">
            <v>0.69766668958987788</v>
          </cell>
        </row>
        <row r="337">
          <cell r="A337" t="str">
            <v>T_C-BAT-ELC-S1</v>
          </cell>
          <cell r="B337" t="str">
            <v>VAR_ncap</v>
          </cell>
          <cell r="C337" t="str">
            <v>-</v>
          </cell>
          <cell r="D337">
            <v>5.9726658744359798E-5</v>
          </cell>
          <cell r="E337">
            <v>1.2629072515688399E-3</v>
          </cell>
          <cell r="F337">
            <v>2.8326917985245899E-4</v>
          </cell>
          <cell r="G337">
            <v>2.8270673759801497E-4</v>
          </cell>
          <cell r="H337">
            <v>3.7017240126248E-4</v>
          </cell>
          <cell r="I337">
            <v>3.8646614575128899E-2</v>
          </cell>
          <cell r="J337">
            <v>8.5859019450871502E-2</v>
          </cell>
          <cell r="K337">
            <v>0.16425739743193801</v>
          </cell>
          <cell r="L337">
            <v>8.9275177003661305E-2</v>
          </cell>
          <cell r="M337">
            <v>8.8609906860021598E-2</v>
          </cell>
          <cell r="N337">
            <v>0.1244731065515</v>
          </cell>
          <cell r="O337">
            <v>4.5499771566093299E-2</v>
          </cell>
        </row>
        <row r="338">
          <cell r="A338" t="str">
            <v>T_C-BAT-ELC-S1</v>
          </cell>
          <cell r="B338" t="str">
            <v>VAR_cap</v>
          </cell>
          <cell r="C338" t="str">
            <v>-</v>
          </cell>
          <cell r="D338">
            <v>1.531179548446583E-3</v>
          </cell>
          <cell r="E338">
            <v>3.4451645219625814E-3</v>
          </cell>
          <cell r="F338">
            <v>3.5810702117978705E-3</v>
          </cell>
          <cell r="G338">
            <v>3.2030139262931457E-3</v>
          </cell>
          <cell r="H338">
            <v>1.3175366680658446E-3</v>
          </cell>
          <cell r="I338">
            <v>3.7952127395236394E-2</v>
          </cell>
          <cell r="J338">
            <v>0.11405750147086516</v>
          </cell>
          <cell r="K338">
            <v>0.25669148762651339</v>
          </cell>
          <cell r="L338">
            <v>0.28063609569383474</v>
          </cell>
          <cell r="M338">
            <v>0.27941073936477062</v>
          </cell>
          <cell r="N338">
            <v>0.28776843065208091</v>
          </cell>
          <cell r="O338">
            <v>0.25858253002235565</v>
          </cell>
        </row>
        <row r="339">
          <cell r="A339" t="str">
            <v>D-TNGA</v>
          </cell>
          <cell r="B339" t="str">
            <v>VAR_fout</v>
          </cell>
          <cell r="C339" t="str">
            <v>CO2</v>
          </cell>
          <cell r="D339">
            <v>12.818248844468499</v>
          </cell>
          <cell r="E339">
            <v>6.07826398434492</v>
          </cell>
          <cell r="F339">
            <v>10.5926510840871</v>
          </cell>
          <cell r="G339">
            <v>0.145367465851415</v>
          </cell>
          <cell r="H339">
            <v>0.121685165455874</v>
          </cell>
          <cell r="I339">
            <v>0.17700106266774901</v>
          </cell>
          <cell r="J339">
            <v>0.168142448605374</v>
          </cell>
          <cell r="K339">
            <v>0.150482581288652</v>
          </cell>
          <cell r="L339">
            <v>0.15066253093288801</v>
          </cell>
          <cell r="M339">
            <v>0.14273003334641701</v>
          </cell>
          <cell r="N339">
            <v>0.14496365869650399</v>
          </cell>
          <cell r="O339">
            <v>0.13337379453538101</v>
          </cell>
        </row>
        <row r="340">
          <cell r="A340" t="str">
            <v>D-TNGA</v>
          </cell>
          <cell r="B340" t="str">
            <v>VAR_fout</v>
          </cell>
          <cell r="C340" t="str">
            <v>TNGA</v>
          </cell>
          <cell r="D340">
            <v>0.24520920098992505</v>
          </cell>
          <cell r="E340">
            <v>0.12407584586939206</v>
          </cell>
          <cell r="F340">
            <v>0.19273509329249505</v>
          </cell>
          <cell r="G340">
            <v>3.819749802056818E-3</v>
          </cell>
          <cell r="H340">
            <v>3.3802775741864637E-3</v>
          </cell>
          <cell r="I340">
            <v>3.299502359283005E-3</v>
          </cell>
          <cell r="J340">
            <v>3.1590152658870084E-3</v>
          </cell>
          <cell r="K340">
            <v>2.991768174395702E-3</v>
          </cell>
          <cell r="L340">
            <v>2.8857058902943158E-3</v>
          </cell>
          <cell r="M340">
            <v>2.862445767970504E-3</v>
          </cell>
          <cell r="N340">
            <v>2.8504109902921775E-3</v>
          </cell>
          <cell r="O340">
            <v>2.8541579926168836E-3</v>
          </cell>
        </row>
        <row r="341">
          <cell r="A341" t="str">
            <v>D-TNGA</v>
          </cell>
          <cell r="B341" t="str">
            <v>VAR_fin</v>
          </cell>
          <cell r="C341" t="str">
            <v>NGA</v>
          </cell>
          <cell r="D341">
            <v>0.2272739156820652</v>
          </cell>
          <cell r="E341">
            <v>0.10777063802030017</v>
          </cell>
          <cell r="F341">
            <v>0.18781296248381313</v>
          </cell>
          <cell r="G341">
            <v>2.5774373377910448E-3</v>
          </cell>
          <cell r="H341">
            <v>2.1575383946076873E-3</v>
          </cell>
          <cell r="I341">
            <v>3.1383167139671774E-3</v>
          </cell>
          <cell r="J341">
            <v>2.9812490887477622E-3</v>
          </cell>
          <cell r="K341">
            <v>2.6681308739122792E-3</v>
          </cell>
          <cell r="L341">
            <v>2.671321470441277E-3</v>
          </cell>
          <cell r="M341">
            <v>2.5306743501137706E-3</v>
          </cell>
          <cell r="N341">
            <v>2.5702776364628357E-3</v>
          </cell>
          <cell r="O341">
            <v>2.3647835910528569E-3</v>
          </cell>
        </row>
        <row r="342">
          <cell r="A342" t="str">
            <v>D-TNGA</v>
          </cell>
          <cell r="B342" t="str">
            <v>VAR_fin</v>
          </cell>
          <cell r="C342" t="str">
            <v>BNGA</v>
          </cell>
          <cell r="D342">
            <v>1.8717451818194435E-2</v>
          </cell>
          <cell r="E342">
            <v>1.5222665389786972E-2</v>
          </cell>
          <cell r="F342">
            <v>3.9508030462081312E-3</v>
          </cell>
          <cell r="G342">
            <v>1.2241227289551122E-3</v>
          </cell>
          <cell r="H342">
            <v>1.1965120665402653E-3</v>
          </cell>
          <cell r="I342">
            <v>1.3480138329492392E-4</v>
          </cell>
          <cell r="J342">
            <v>1.5071994950033009E-4</v>
          </cell>
          <cell r="K342">
            <v>2.9071796596668453E-4</v>
          </cell>
          <cell r="L342">
            <v>1.8575808697390055E-4</v>
          </cell>
          <cell r="M342">
            <v>2.9977151982761818E-4</v>
          </cell>
          <cell r="N342">
            <v>2.4975415627108893E-4</v>
          </cell>
          <cell r="O342">
            <v>4.5466828618493722E-4</v>
          </cell>
        </row>
        <row r="343">
          <cell r="A343" t="str">
            <v>D-TNGA</v>
          </cell>
          <cell r="B343" t="str">
            <v>VAR_fin</v>
          </cell>
          <cell r="C343" t="str">
            <v>H2</v>
          </cell>
          <cell r="E343">
            <v>1.4783186821738265E-3</v>
          </cell>
          <cell r="F343">
            <v>1.586104029475847E-3</v>
          </cell>
          <cell r="G343">
            <v>3.0071112046500703E-5</v>
          </cell>
          <cell r="H343">
            <v>3.6660099186218766E-5</v>
          </cell>
          <cell r="I343">
            <v>3.6458111970988541E-5</v>
          </cell>
          <cell r="J343">
            <v>3.6819997825791497E-5</v>
          </cell>
          <cell r="K343">
            <v>4.2212893702154248E-5</v>
          </cell>
          <cell r="L343">
            <v>3.7423368365873697E-5</v>
          </cell>
          <cell r="M343">
            <v>4.0896397051573968E-5</v>
          </cell>
          <cell r="N343">
            <v>3.9056741600233303E-5</v>
          </cell>
          <cell r="O343">
            <v>4.3674788488163632E-5</v>
          </cell>
        </row>
        <row r="344">
          <cell r="A344" t="str">
            <v>D-TNGA</v>
          </cell>
          <cell r="B344" t="str">
            <v>VAR_ncap</v>
          </cell>
          <cell r="C344" t="str">
            <v>-</v>
          </cell>
          <cell r="D344">
            <v>1.7790850718512E-7</v>
          </cell>
          <cell r="E344">
            <v>1.04048504321972E-7</v>
          </cell>
          <cell r="F344">
            <v>1.2287141858447899E-7</v>
          </cell>
          <cell r="G344">
            <v>1.3782901499331001E-7</v>
          </cell>
          <cell r="H344">
            <v>2.3537445781719501E-7</v>
          </cell>
          <cell r="I344">
            <v>3.3622500653586198E-7</v>
          </cell>
          <cell r="J344">
            <v>6.0397955938838295E-7</v>
          </cell>
          <cell r="K344">
            <v>2.48947201293211E-6</v>
          </cell>
          <cell r="L344">
            <v>5.8284093331210105E-4</v>
          </cell>
          <cell r="M344">
            <v>4.5490837181368398E-5</v>
          </cell>
          <cell r="N344">
            <v>4.2514148890234101E-6</v>
          </cell>
          <cell r="O344">
            <v>1.6025392040706901E-4</v>
          </cell>
        </row>
        <row r="345">
          <cell r="A345" t="str">
            <v>D-TNGA</v>
          </cell>
          <cell r="B345" t="str">
            <v>VAR_cap</v>
          </cell>
          <cell r="C345" t="str">
            <v>-</v>
          </cell>
          <cell r="D345">
            <v>0.95961787099015117</v>
          </cell>
          <cell r="E345">
            <v>0.95961797503865554</v>
          </cell>
          <cell r="F345">
            <v>0.95961809791007413</v>
          </cell>
          <cell r="G345">
            <v>0.95961823573908911</v>
          </cell>
          <cell r="H345">
            <v>0.95961847111354692</v>
          </cell>
          <cell r="I345">
            <v>0.95961880733855343</v>
          </cell>
          <cell r="J345">
            <v>0.95961941131811279</v>
          </cell>
          <cell r="K345">
            <v>0.32780696065515974</v>
          </cell>
          <cell r="L345">
            <v>5.8704864179385998E-4</v>
          </cell>
          <cell r="M345">
            <v>6.3235696838619701E-4</v>
          </cell>
          <cell r="N345">
            <v>6.3636413497145398E-4</v>
          </cell>
          <cell r="O345">
            <v>7.9650215682623596E-4</v>
          </cell>
        </row>
        <row r="346">
          <cell r="A346" t="str">
            <v>T_C-BAT-ELC-S2</v>
          </cell>
          <cell r="B346" t="str">
            <v>VAR_fout</v>
          </cell>
          <cell r="C346" t="str">
            <v>TPCAR</v>
          </cell>
          <cell r="D346">
            <v>9.6832640020474786E-2</v>
          </cell>
          <cell r="E346">
            <v>0.15096959550146399</v>
          </cell>
          <cell r="F346">
            <v>2.7526494128522914</v>
          </cell>
          <cell r="G346">
            <v>9.96030811807716</v>
          </cell>
          <cell r="H346">
            <v>16.669523686898057</v>
          </cell>
          <cell r="I346">
            <v>17.605083602550447</v>
          </cell>
          <cell r="J346">
            <v>17.686661810600672</v>
          </cell>
          <cell r="K346">
            <v>18.016106460744727</v>
          </cell>
          <cell r="L346">
            <v>17.965712790538294</v>
          </cell>
          <cell r="M346">
            <v>17.766931262588592</v>
          </cell>
          <cell r="N346">
            <v>17.14595836821567</v>
          </cell>
          <cell r="O346">
            <v>17.012248137186596</v>
          </cell>
        </row>
        <row r="347">
          <cell r="A347" t="str">
            <v>T_C-BAT-ELC-S2</v>
          </cell>
          <cell r="B347" t="str">
            <v>VAR_fin</v>
          </cell>
          <cell r="C347" t="str">
            <v>T-ELC-car-BatSTGOut_S2</v>
          </cell>
          <cell r="D347">
            <v>6.6151629084194613E-2</v>
          </cell>
          <cell r="E347">
            <v>0.10313552003221307</v>
          </cell>
          <cell r="F347">
            <v>1.8804841313768619</v>
          </cell>
          <cell r="G347">
            <v>6.8044267723364049</v>
          </cell>
          <cell r="H347">
            <v>11.00729621648855</v>
          </cell>
          <cell r="I347">
            <v>11.356162905107084</v>
          </cell>
          <cell r="J347">
            <v>10.923958395959389</v>
          </cell>
          <cell r="K347">
            <v>10.378174074896876</v>
          </cell>
          <cell r="L347">
            <v>9.9524356230263091</v>
          </cell>
          <cell r="M347">
            <v>9.3590345821595324</v>
          </cell>
          <cell r="N347">
            <v>8.7154463120767396</v>
          </cell>
          <cell r="O347">
            <v>8.4975534933478674</v>
          </cell>
        </row>
        <row r="348">
          <cell r="A348" t="str">
            <v>T_C-BAT-ELC-S2</v>
          </cell>
          <cell r="B348" t="str">
            <v>VAR_ncap</v>
          </cell>
          <cell r="C348" t="str">
            <v>-</v>
          </cell>
          <cell r="D348">
            <v>7.1296523507081993E-5</v>
          </cell>
          <cell r="E348">
            <v>1.95825082459798E-4</v>
          </cell>
          <cell r="F348">
            <v>0.200519489259883</v>
          </cell>
          <cell r="G348">
            <v>0.60413991751973595</v>
          </cell>
          <cell r="H348">
            <v>1.1705570725805601</v>
          </cell>
          <cell r="I348">
            <v>0.54629535186026001</v>
          </cell>
          <cell r="J348">
            <v>0.72622039541528405</v>
          </cell>
          <cell r="K348">
            <v>0.98371119942829299</v>
          </cell>
          <cell r="L348">
            <v>0.61232050471421895</v>
          </cell>
          <cell r="M348">
            <v>0.65361893234559698</v>
          </cell>
          <cell r="N348">
            <v>0.65451929682285104</v>
          </cell>
          <cell r="O348">
            <v>0.48623783324405501</v>
          </cell>
        </row>
        <row r="349">
          <cell r="A349" t="str">
            <v>T_C-BAT-ELC-S2</v>
          </cell>
          <cell r="B349" t="str">
            <v>VAR_cap</v>
          </cell>
          <cell r="C349" t="str">
            <v>-</v>
          </cell>
          <cell r="D349">
            <v>7.3579312141474626E-3</v>
          </cell>
          <cell r="E349">
            <v>1.1454554883812017E-2</v>
          </cell>
          <cell r="F349">
            <v>0.20885499329827978</v>
          </cell>
          <cell r="G349">
            <v>0.75572505958745406</v>
          </cell>
          <cell r="H349">
            <v>1.7379719517016472</v>
          </cell>
          <cell r="I349">
            <v>1.842973934131527</v>
          </cell>
          <cell r="J349">
            <v>1.8654864587008115</v>
          </cell>
          <cell r="K349">
            <v>1.9002388494391622</v>
          </cell>
          <cell r="L349">
            <v>1.8949392520405655</v>
          </cell>
          <cell r="M349">
            <v>1.8739614003611091</v>
          </cell>
          <cell r="N349">
            <v>1.8084630042931105</v>
          </cell>
          <cell r="O349">
            <v>1.7943759825328085</v>
          </cell>
        </row>
        <row r="350">
          <cell r="A350" t="str">
            <v>TFLGV-BeVELCExt</v>
          </cell>
          <cell r="B350" t="str">
            <v>VAR_fout</v>
          </cell>
          <cell r="C350" t="str">
            <v>TFLGV</v>
          </cell>
          <cell r="D350">
            <v>2.7901534839234111E-2</v>
          </cell>
          <cell r="E350">
            <v>2.1843716697527205E-2</v>
          </cell>
          <cell r="F350">
            <v>1.8609387191610739E-2</v>
          </cell>
          <cell r="G350">
            <v>9.2795408548925554E-3</v>
          </cell>
        </row>
        <row r="351">
          <cell r="A351" t="str">
            <v>TFLGV-BeVELCExt</v>
          </cell>
          <cell r="B351" t="str">
            <v>VAR_fin</v>
          </cell>
          <cell r="C351" t="str">
            <v>TELC</v>
          </cell>
          <cell r="D351">
            <v>4.0482602546606329E-2</v>
          </cell>
          <cell r="E351">
            <v>3.1400601964657431E-2</v>
          </cell>
          <cell r="F351">
            <v>2.638574714270716E-2</v>
          </cell>
          <cell r="G351">
            <v>1.315721017981694E-2</v>
          </cell>
        </row>
        <row r="352">
          <cell r="A352" t="str">
            <v>TFLGV-BeVELCExt</v>
          </cell>
          <cell r="B352" t="str">
            <v>VAR_cap</v>
          </cell>
          <cell r="C352" t="str">
            <v>-</v>
          </cell>
          <cell r="D352">
            <v>1.9499628225821608E-3</v>
          </cell>
          <cell r="E352">
            <v>1.6899892458595075E-3</v>
          </cell>
          <cell r="F352">
            <v>1.2999999999999999E-3</v>
          </cell>
          <cell r="G352">
            <v>6.4999999999999997E-4</v>
          </cell>
        </row>
        <row r="353">
          <cell r="A353" t="str">
            <v>T_C-BAT-ELC-S3</v>
          </cell>
          <cell r="B353" t="str">
            <v>VAR_fout</v>
          </cell>
          <cell r="C353" t="str">
            <v>TPCAR</v>
          </cell>
          <cell r="D353">
            <v>6.1331796080038234E-2</v>
          </cell>
          <cell r="E353">
            <v>0.12709337378552679</v>
          </cell>
          <cell r="F353">
            <v>0.13999544412390239</v>
          </cell>
          <cell r="G353">
            <v>2.6293998586967278</v>
          </cell>
          <cell r="H353">
            <v>7.5811716679911845</v>
          </cell>
          <cell r="I353">
            <v>10.748047452564968</v>
          </cell>
          <cell r="J353">
            <v>11.272131876660938</v>
          </cell>
          <cell r="K353">
            <v>10.953282619945952</v>
          </cell>
          <cell r="L353">
            <v>12.649520207910934</v>
          </cell>
          <cell r="M353">
            <v>13.570728869309713</v>
          </cell>
          <cell r="N353">
            <v>14.844103073490082</v>
          </cell>
          <cell r="O353">
            <v>15.315903946481473</v>
          </cell>
        </row>
        <row r="354">
          <cell r="A354" t="str">
            <v>T_C-BAT-ELC-S3</v>
          </cell>
          <cell r="B354" t="str">
            <v>VAR_fin</v>
          </cell>
          <cell r="C354" t="str">
            <v>T-ELC-car-BatSTGOut_S3</v>
          </cell>
          <cell r="D354">
            <v>4.5857169324019467E-2</v>
          </cell>
          <cell r="E354">
            <v>9.5026441978611834E-2</v>
          </cell>
          <cell r="F354">
            <v>0.10467319067915851</v>
          </cell>
          <cell r="G354">
            <v>1.9659759251702917</v>
          </cell>
          <cell r="H354">
            <v>5.4589542083199341</v>
          </cell>
          <cell r="I354">
            <v>7.5131441778108048</v>
          </cell>
          <cell r="J354">
            <v>7.5926624070856281</v>
          </cell>
          <cell r="K354">
            <v>6.9561539987500387</v>
          </cell>
          <cell r="L354">
            <v>7.5590986026115381</v>
          </cell>
          <cell r="M354">
            <v>7.6855255029045466</v>
          </cell>
          <cell r="N354">
            <v>8.197695385853029</v>
          </cell>
          <cell r="O354">
            <v>8.3466895004682033</v>
          </cell>
        </row>
        <row r="355">
          <cell r="A355" t="str">
            <v>T_C-BAT-ELC-S3</v>
          </cell>
          <cell r="B355" t="str">
            <v>VAR_ncap</v>
          </cell>
          <cell r="C355" t="str">
            <v>-</v>
          </cell>
          <cell r="D355">
            <v>5.4588942773716299E-5</v>
          </cell>
          <cell r="E355">
            <v>2.5968021429794599E-3</v>
          </cell>
          <cell r="F355">
            <v>1.25609349005639E-3</v>
          </cell>
          <cell r="G355">
            <v>0.18235758441279101</v>
          </cell>
          <cell r="H355">
            <v>0.38647099376893601</v>
          </cell>
          <cell r="I355">
            <v>0.32963881337103501</v>
          </cell>
          <cell r="J355">
            <v>0.279046805547562</v>
          </cell>
          <cell r="K355">
            <v>0.32979271485699602</v>
          </cell>
          <cell r="L355">
            <v>0.43322607559840398</v>
          </cell>
          <cell r="M355">
            <v>0.424941795019665</v>
          </cell>
          <cell r="N355">
            <v>0.653427594678199</v>
          </cell>
          <cell r="O355">
            <v>0.42600248288867798</v>
          </cell>
        </row>
        <row r="356">
          <cell r="A356" t="str">
            <v>T_C-BAT-ELC-S3</v>
          </cell>
          <cell r="B356" t="str">
            <v>VAR_cap</v>
          </cell>
          <cell r="C356" t="str">
            <v>-</v>
          </cell>
          <cell r="D356">
            <v>4.275290301772758E-3</v>
          </cell>
          <cell r="E356">
            <v>8.7438883213134654E-3</v>
          </cell>
          <cell r="F356">
            <v>9.643397772610144E-3</v>
          </cell>
          <cell r="G356">
            <v>0.18080323930556044</v>
          </cell>
          <cell r="H356">
            <v>0.52127928573734983</v>
          </cell>
          <cell r="I356">
            <v>0.73902278189452286</v>
          </cell>
          <cell r="J356">
            <v>0.77506241841925416</v>
          </cell>
          <cell r="K356">
            <v>0.75315742069731439</v>
          </cell>
          <cell r="L356">
            <v>0.89293132230005934</v>
          </cell>
          <cell r="M356">
            <v>1.0620094010631478</v>
          </cell>
          <cell r="N356">
            <v>1.4017872709198598</v>
          </cell>
          <cell r="O356">
            <v>1.5043718157217898</v>
          </cell>
        </row>
        <row r="357">
          <cell r="A357" t="str">
            <v>T_C-BAT-ELC-S4</v>
          </cell>
          <cell r="B357" t="str">
            <v>VAR_fout</v>
          </cell>
          <cell r="C357" t="str">
            <v>TPCAR</v>
          </cell>
          <cell r="D357">
            <v>0.19329667559984473</v>
          </cell>
          <cell r="E357">
            <v>1.2543965634521086</v>
          </cell>
          <cell r="F357">
            <v>2.1718052141267661</v>
          </cell>
          <cell r="G357">
            <v>3.8234331384000271</v>
          </cell>
          <cell r="H357">
            <v>4.1300519319459026</v>
          </cell>
          <cell r="I357">
            <v>2.5220940111891217</v>
          </cell>
          <cell r="J357">
            <v>2.650747091459305</v>
          </cell>
          <cell r="K357">
            <v>2.7859628184196108</v>
          </cell>
          <cell r="L357">
            <v>2.928076180174696</v>
          </cell>
          <cell r="M357">
            <v>3.0774377460015718</v>
          </cell>
          <cell r="N357">
            <v>3.234418671050082</v>
          </cell>
          <cell r="O357">
            <v>3.3994086774309245</v>
          </cell>
        </row>
        <row r="358">
          <cell r="A358" t="str">
            <v>T_C-BAT-ELC-S4</v>
          </cell>
          <cell r="B358" t="str">
            <v>VAR_fin</v>
          </cell>
          <cell r="C358" t="str">
            <v>T-ELC-car-BatSTGOut_S4</v>
          </cell>
          <cell r="D358">
            <v>0.14926696310451026</v>
          </cell>
          <cell r="E358">
            <v>0.96866624826413106</v>
          </cell>
          <cell r="F358">
            <v>1.6771047290970784</v>
          </cell>
          <cell r="G358">
            <v>2.9525197545744941</v>
          </cell>
          <cell r="H358">
            <v>3.1309630167583502</v>
          </cell>
          <cell r="I358">
            <v>1.8926521039277542</v>
          </cell>
          <cell r="J358">
            <v>1.8406777316119407</v>
          </cell>
          <cell r="K358">
            <v>1.8218554918695185</v>
          </cell>
          <cell r="L358">
            <v>1.8406988988752535</v>
          </cell>
          <cell r="M358">
            <v>1.8548652743261325</v>
          </cell>
          <cell r="N358">
            <v>1.9150849817619078</v>
          </cell>
          <cell r="O358">
            <v>1.962629769427672</v>
          </cell>
        </row>
        <row r="359">
          <cell r="A359" t="str">
            <v>T_C-BAT-ELC-S4</v>
          </cell>
          <cell r="B359" t="str">
            <v>VAR_ncap</v>
          </cell>
          <cell r="C359" t="str">
            <v>-</v>
          </cell>
          <cell r="D359">
            <v>1.41828162327404E-4</v>
          </cell>
          <cell r="E359">
            <v>7.1660121801218696E-2</v>
          </cell>
          <cell r="F359">
            <v>7.8510764268139493E-2</v>
          </cell>
          <cell r="G359">
            <v>0.165869707408178</v>
          </cell>
          <cell r="H359">
            <v>0.12876418098454501</v>
          </cell>
          <cell r="I359">
            <v>3.6010251338790301E-3</v>
          </cell>
          <cell r="J359">
            <v>0.132512598515205</v>
          </cell>
          <cell r="K359">
            <v>0.10795358723013999</v>
          </cell>
          <cell r="L359">
            <v>0.164305205520202</v>
          </cell>
          <cell r="M359">
            <v>0.113318713489619</v>
          </cell>
          <cell r="N359">
            <v>2.0549429557672898E-2</v>
          </cell>
          <cell r="O359">
            <v>0.248497512394631</v>
          </cell>
        </row>
        <row r="360">
          <cell r="A360" t="str">
            <v>T_C-BAT-ELC-S4</v>
          </cell>
          <cell r="B360" t="str">
            <v>VAR_cap</v>
          </cell>
          <cell r="C360" t="str">
            <v>-</v>
          </cell>
          <cell r="D360">
            <v>1.5344222118874156E-2</v>
          </cell>
          <cell r="E360">
            <v>9.8779301461085628E-2</v>
          </cell>
          <cell r="F360">
            <v>0.17104399306645277</v>
          </cell>
          <cell r="G360">
            <v>0.30109353046256104</v>
          </cell>
          <cell r="H360">
            <v>0.32525830307430453</v>
          </cell>
          <cell r="I360">
            <v>0.19869000989227437</v>
          </cell>
          <cell r="J360">
            <v>0.2097338544800923</v>
          </cell>
          <cell r="K360">
            <v>0.21952630187305819</v>
          </cell>
          <cell r="L360">
            <v>0.32932556739931407</v>
          </cell>
          <cell r="M360">
            <v>0.34434889656000983</v>
          </cell>
          <cell r="N360">
            <v>0.2550980421184344</v>
          </cell>
          <cell r="O360">
            <v>0.38236560079022774</v>
          </cell>
        </row>
        <row r="361">
          <cell r="A361" t="str">
            <v>T_B_c-ICENGA-S1</v>
          </cell>
          <cell r="B361" t="str">
            <v>VAR_fout</v>
          </cell>
          <cell r="C361" t="str">
            <v>CO2_T</v>
          </cell>
          <cell r="E361">
            <v>5.2293050559261301E-3</v>
          </cell>
          <cell r="F361">
            <v>4.4885220038521571E-2</v>
          </cell>
        </row>
        <row r="362">
          <cell r="A362" t="str">
            <v>T_B_c-ICENGA-S1</v>
          </cell>
          <cell r="B362" t="str">
            <v>VAR_fout</v>
          </cell>
          <cell r="C362" t="str">
            <v>TPBSc</v>
          </cell>
          <cell r="E362">
            <v>1.1148203367601126E-5</v>
          </cell>
          <cell r="F362">
            <v>1.0020050720263259E-4</v>
          </cell>
        </row>
        <row r="363">
          <cell r="A363" t="str">
            <v>T_B_c-ICENGA-S1</v>
          </cell>
          <cell r="B363" t="str">
            <v>VAR_fin</v>
          </cell>
          <cell r="C363" t="str">
            <v>TNGA</v>
          </cell>
          <cell r="E363">
            <v>9.2718174750463316E-5</v>
          </cell>
          <cell r="F363">
            <v>7.9583723472555906E-4</v>
          </cell>
        </row>
        <row r="364">
          <cell r="A364" t="str">
            <v>T_B_c-ICENGA-S1</v>
          </cell>
          <cell r="B364" t="str">
            <v>VAR_ncap</v>
          </cell>
          <cell r="C364" t="str">
            <v>-</v>
          </cell>
          <cell r="E364">
            <v>3.1916831856743299E-7</v>
          </cell>
          <cell r="F364">
            <v>1.97803083291958E-6</v>
          </cell>
        </row>
        <row r="365">
          <cell r="A365" t="str">
            <v>T_B_c-ICENGA-S1</v>
          </cell>
          <cell r="B365" t="str">
            <v>VAR_cap</v>
          </cell>
          <cell r="C365" t="str">
            <v>-</v>
          </cell>
          <cell r="E365">
            <v>3.1916831856743299E-7</v>
          </cell>
          <cell r="F365">
            <v>2.2971991514870098E-6</v>
          </cell>
          <cell r="G365">
            <v>-7.0220342684012218E-10</v>
          </cell>
          <cell r="H365">
            <v>9.9032005894005346E-10</v>
          </cell>
        </row>
        <row r="366">
          <cell r="A366" t="str">
            <v>TFLGV-FCLH2O</v>
          </cell>
          <cell r="B366" t="str">
            <v>VAR_fout</v>
          </cell>
          <cell r="C366" t="str">
            <v>TFLGV</v>
          </cell>
          <cell r="E366">
            <v>3.7410970353049515E-5</v>
          </cell>
          <cell r="F366">
            <v>4.807795624516965E-5</v>
          </cell>
          <cell r="G366">
            <v>1.0166678796623716E-5</v>
          </cell>
          <cell r="H366">
            <v>9.1984671394194986E-6</v>
          </cell>
          <cell r="I366">
            <v>8.8688626250548024E-6</v>
          </cell>
          <cell r="J366">
            <v>9.559796006711974E-6</v>
          </cell>
          <cell r="K366">
            <v>9.2389450807509123E-6</v>
          </cell>
          <cell r="L366">
            <v>8.8177982872544291E-6</v>
          </cell>
          <cell r="M366">
            <v>8.4174330588572434E-6</v>
          </cell>
          <cell r="N366">
            <v>7.7735123670043519E-6</v>
          </cell>
          <cell r="O366">
            <v>3.2255741672341606E-5</v>
          </cell>
        </row>
        <row r="367">
          <cell r="A367" t="str">
            <v>TFLGV-FCLH2O</v>
          </cell>
          <cell r="B367" t="str">
            <v>VAR_fin</v>
          </cell>
          <cell r="C367" t="str">
            <v>TH2O</v>
          </cell>
          <cell r="E367">
            <v>8.043580804187523E-5</v>
          </cell>
          <cell r="F367">
            <v>1.0196300114038756E-4</v>
          </cell>
          <cell r="G367">
            <v>2.0509724779237748E-5</v>
          </cell>
          <cell r="H367">
            <v>1.7377844265193217E-5</v>
          </cell>
          <cell r="I367">
            <v>1.5770120512508501E-5</v>
          </cell>
          <cell r="J367">
            <v>1.6591336439362803E-5</v>
          </cell>
          <cell r="K367">
            <v>1.552918508437845E-5</v>
          </cell>
          <cell r="L367">
            <v>1.4644485105517494E-5</v>
          </cell>
          <cell r="M367">
            <v>1.3917654151347505E-5</v>
          </cell>
          <cell r="N367">
            <v>1.2852974999468203E-5</v>
          </cell>
          <cell r="O367">
            <v>5.3332679197071473E-5</v>
          </cell>
        </row>
        <row r="368">
          <cell r="A368" t="str">
            <v>TFLGV-FCLH2O</v>
          </cell>
          <cell r="B368" t="str">
            <v>VAR_ncap</v>
          </cell>
          <cell r="C368" t="str">
            <v>-</v>
          </cell>
          <cell r="E368">
            <v>2.76848086167825E-6</v>
          </cell>
          <cell r="F368">
            <v>1.0408803588803101E-6</v>
          </cell>
          <cell r="G368">
            <v>2.9540886094337597E-7</v>
          </cell>
          <cell r="H368">
            <v>3.42533408786706E-7</v>
          </cell>
          <cell r="I368">
            <v>3.5505446587119101E-7</v>
          </cell>
          <cell r="J368">
            <v>2.8186410567295298E-7</v>
          </cell>
          <cell r="K368">
            <v>3.3814190353004998E-7</v>
          </cell>
          <cell r="L368">
            <v>2.7090847658928899E-7</v>
          </cell>
          <cell r="M368">
            <v>2.6457190102755701E-7</v>
          </cell>
          <cell r="N368">
            <v>3.2770844916505501E-7</v>
          </cell>
          <cell r="O368">
            <v>1.9087266136849099E-6</v>
          </cell>
        </row>
        <row r="369">
          <cell r="A369" t="str">
            <v>TFLGV-FCLH2O</v>
          </cell>
          <cell r="B369" t="str">
            <v>VAR_cap</v>
          </cell>
          <cell r="C369" t="str">
            <v>-</v>
          </cell>
          <cell r="E369">
            <v>2.76848086167825E-6</v>
          </cell>
          <cell r="F369">
            <v>3.80936122055856E-6</v>
          </cell>
          <cell r="G369">
            <v>8.4083287797859008E-7</v>
          </cell>
          <cell r="H369">
            <v>7.9827567833719409E-7</v>
          </cell>
          <cell r="I369">
            <v>7.5962283087449801E-7</v>
          </cell>
          <cell r="J369">
            <v>7.6075165046183755E-7</v>
          </cell>
          <cell r="K369">
            <v>7.2981859649522035E-7</v>
          </cell>
          <cell r="L369">
            <v>6.9675535583735103E-7</v>
          </cell>
          <cell r="M369">
            <v>6.6499966189232584E-7</v>
          </cell>
          <cell r="N369">
            <v>6.0184669504987445E-7</v>
          </cell>
          <cell r="O369">
            <v>2.4149848060188701E-6</v>
          </cell>
        </row>
        <row r="370">
          <cell r="A370" t="str">
            <v>T_B_c-ICENGA-S2</v>
          </cell>
          <cell r="B370" t="str">
            <v>VAR_fout</v>
          </cell>
          <cell r="C370" t="str">
            <v>CO2_T</v>
          </cell>
          <cell r="E370">
            <v>3.6967656539666498E-3</v>
          </cell>
          <cell r="F370">
            <v>2.5645833708761709E-2</v>
          </cell>
        </row>
        <row r="371">
          <cell r="A371" t="str">
            <v>T_B_c-ICENGA-S2</v>
          </cell>
          <cell r="B371" t="str">
            <v>VAR_fout</v>
          </cell>
          <cell r="C371" t="str">
            <v>TPBSc</v>
          </cell>
          <cell r="E371">
            <v>5.5712405828660329E-6</v>
          </cell>
          <cell r="F371">
            <v>4.0315258624724253E-5</v>
          </cell>
        </row>
        <row r="372">
          <cell r="A372" t="str">
            <v>T_B_c-ICENGA-S2</v>
          </cell>
          <cell r="B372" t="str">
            <v>VAR_fin</v>
          </cell>
          <cell r="C372" t="str">
            <v>TNGA</v>
          </cell>
          <cell r="E372">
            <v>6.5545490318557616E-5</v>
          </cell>
          <cell r="F372">
            <v>4.5471336363052622E-4</v>
          </cell>
        </row>
        <row r="373">
          <cell r="A373" t="str">
            <v>T_B_c-ICENGA-S2</v>
          </cell>
          <cell r="B373" t="str">
            <v>VAR_ncap</v>
          </cell>
          <cell r="C373" t="str">
            <v>-</v>
          </cell>
          <cell r="E373">
            <v>1.5837211588421301E-7</v>
          </cell>
          <cell r="F373">
            <v>7.5807839909303999E-7</v>
          </cell>
        </row>
        <row r="374">
          <cell r="A374" t="str">
            <v>T_B_c-ICENGA-S2</v>
          </cell>
          <cell r="B374" t="str">
            <v>VAR_cap</v>
          </cell>
          <cell r="C374" t="str">
            <v>-</v>
          </cell>
          <cell r="E374">
            <v>1.5837211588421301E-7</v>
          </cell>
          <cell r="F374">
            <v>9.1645051497725197E-7</v>
          </cell>
          <cell r="G374">
            <v>-1.4348468494010229E-9</v>
          </cell>
          <cell r="H374">
            <v>3.0945323080097524E-10</v>
          </cell>
        </row>
        <row r="375">
          <cell r="A375" t="str">
            <v>T_B_u-ICEDSL-S1</v>
          </cell>
          <cell r="B375" t="str">
            <v>VAR_fout</v>
          </cell>
          <cell r="C375" t="str">
            <v>CO2_T</v>
          </cell>
          <cell r="D375">
            <v>2.2352214596104029E-2</v>
          </cell>
          <cell r="E375">
            <v>19.307944267637644</v>
          </cell>
          <cell r="F375">
            <v>34.332795375615738</v>
          </cell>
          <cell r="G375">
            <v>3.2947067893053699E-3</v>
          </cell>
        </row>
        <row r="376">
          <cell r="A376" t="str">
            <v>T_B_u-ICEDSL-S1</v>
          </cell>
          <cell r="B376" t="str">
            <v>VAR_fout</v>
          </cell>
          <cell r="C376" t="str">
            <v>TPBSu</v>
          </cell>
          <cell r="D376">
            <v>3.7788101285362467E-5</v>
          </cell>
          <cell r="E376">
            <v>3.3850878726824685E-2</v>
          </cell>
          <cell r="F376">
            <v>6.1606657827700841E-2</v>
          </cell>
          <cell r="G376">
            <v>5.5699498286645454E-6</v>
          </cell>
        </row>
        <row r="377">
          <cell r="A377" t="str">
            <v>T_B_u-ICEDSL-S1</v>
          </cell>
          <cell r="B377" t="str">
            <v>VAR_fin</v>
          </cell>
          <cell r="C377" t="str">
            <v>TDSL</v>
          </cell>
          <cell r="D377">
            <v>3.0494153609964583E-4</v>
          </cell>
          <cell r="E377">
            <v>0.2634098808681804</v>
          </cell>
          <cell r="F377">
            <v>0.46838738575192024</v>
          </cell>
          <cell r="G377">
            <v>4.4948250877290219E-5</v>
          </cell>
        </row>
        <row r="378">
          <cell r="A378" t="str">
            <v>T_B_u-ICEDSL-S1</v>
          </cell>
          <cell r="B378" t="str">
            <v>VAR_ncap</v>
          </cell>
          <cell r="C378" t="str">
            <v>-</v>
          </cell>
          <cell r="E378">
            <v>6.3790687838787702E-4</v>
          </cell>
          <cell r="F378">
            <v>5.2347339385273904E-4</v>
          </cell>
          <cell r="K378">
            <v>1.0514929120631401E-8</v>
          </cell>
          <cell r="L378">
            <v>1.24068052793582E-8</v>
          </cell>
          <cell r="M378">
            <v>1.08629782351492E-8</v>
          </cell>
          <cell r="O378">
            <v>1.1940504619876599E-8</v>
          </cell>
        </row>
        <row r="379">
          <cell r="A379" t="str">
            <v>T_B_u-ICEDSL-S1</v>
          </cell>
          <cell r="B379" t="str">
            <v>VAR_cap</v>
          </cell>
          <cell r="C379" t="str">
            <v>-</v>
          </cell>
          <cell r="D379">
            <v>7.0464135021097004E-7</v>
          </cell>
          <cell r="E379">
            <v>6.3873880525144942E-4</v>
          </cell>
          <cell r="F379">
            <v>1.1622121991041925E-3</v>
          </cell>
          <cell r="G379">
            <v>5.6023311926188535E-8</v>
          </cell>
          <cell r="H379">
            <v>4.343640454967674E-9</v>
          </cell>
          <cell r="K379">
            <v>1.0514929120631401E-8</v>
          </cell>
          <cell r="L379">
            <v>2.29217343999897E-8</v>
          </cell>
          <cell r="M379">
            <v>2.8657042244718999E-8</v>
          </cell>
          <cell r="N379">
            <v>1.30604954477547E-8</v>
          </cell>
          <cell r="O379">
            <v>1.9271524907376001E-8</v>
          </cell>
        </row>
        <row r="380">
          <cell r="A380" t="str">
            <v>T_B_c-ICENGA-S3</v>
          </cell>
          <cell r="B380" t="str">
            <v>VAR_fout</v>
          </cell>
          <cell r="C380" t="str">
            <v>CO2_T</v>
          </cell>
          <cell r="E380">
            <v>2.9685376816388099E-3</v>
          </cell>
          <cell r="F380">
            <v>1.576582392143374E-2</v>
          </cell>
        </row>
        <row r="381">
          <cell r="A381" t="str">
            <v>T_B_c-ICENGA-S3</v>
          </cell>
          <cell r="B381" t="str">
            <v>VAR_fout</v>
          </cell>
          <cell r="C381" t="str">
            <v>TPBSc</v>
          </cell>
          <cell r="E381">
            <v>2.9697026464208566E-6</v>
          </cell>
          <cell r="F381">
            <v>1.6404362443490643E-5</v>
          </cell>
        </row>
        <row r="382">
          <cell r="A382" t="str">
            <v>T_B_c-ICENGA-S3</v>
          </cell>
          <cell r="B382" t="str">
            <v>VAR_fin</v>
          </cell>
          <cell r="C382" t="str">
            <v>TNGA</v>
          </cell>
          <cell r="E382">
            <v>5.2633646837567526E-5</v>
          </cell>
          <cell r="F382">
            <v>2.795358851318036E-4</v>
          </cell>
        </row>
        <row r="383">
          <cell r="A383" t="str">
            <v>T_B_c-ICENGA-S3</v>
          </cell>
          <cell r="B383" t="str">
            <v>VAR_ncap</v>
          </cell>
          <cell r="C383" t="str">
            <v>-</v>
          </cell>
          <cell r="E383">
            <v>9.6180897835667303E-8</v>
          </cell>
          <cell r="F383">
            <v>2.9735169594332101E-7</v>
          </cell>
        </row>
        <row r="384">
          <cell r="A384" t="str">
            <v>T_B_c-ICENGA-S3</v>
          </cell>
          <cell r="B384" t="str">
            <v>VAR_cap</v>
          </cell>
          <cell r="C384" t="str">
            <v>-</v>
          </cell>
          <cell r="E384">
            <v>9.6180897835667303E-8</v>
          </cell>
          <cell r="F384">
            <v>3.9353259377898802E-7</v>
          </cell>
          <cell r="G384">
            <v>1.4494560431860162E-9</v>
          </cell>
        </row>
        <row r="385">
          <cell r="A385" t="str">
            <v>T_B_u-ICEDSL-S2</v>
          </cell>
          <cell r="B385" t="str">
            <v>VAR_fout</v>
          </cell>
          <cell r="C385" t="str">
            <v>CO2_T</v>
          </cell>
          <cell r="D385">
            <v>8.0192191680570701</v>
          </cell>
          <cell r="E385">
            <v>10.04047492535936</v>
          </cell>
          <cell r="F385">
            <v>16.547090728778176</v>
          </cell>
        </row>
        <row r="386">
          <cell r="A386" t="str">
            <v>T_B_u-ICEDSL-S2</v>
          </cell>
          <cell r="B386" t="str">
            <v>VAR_fout</v>
          </cell>
          <cell r="C386" t="str">
            <v>TPBSu</v>
          </cell>
          <cell r="D386">
            <v>9.5690013848422299E-3</v>
          </cell>
          <cell r="E386">
            <v>1.2030266466846537E-2</v>
          </cell>
          <cell r="F386">
            <v>2.0473319965131926E-2</v>
          </cell>
        </row>
        <row r="387">
          <cell r="A387" t="str">
            <v>T_B_u-ICEDSL-S2</v>
          </cell>
          <cell r="B387" t="str">
            <v>VAR_fin</v>
          </cell>
          <cell r="C387" t="str">
            <v>TDSL</v>
          </cell>
          <cell r="D387">
            <v>0.10940271716312526</v>
          </cell>
          <cell r="E387">
            <v>0.13697782981390672</v>
          </cell>
          <cell r="F387">
            <v>0.22574475755495457</v>
          </cell>
        </row>
        <row r="388">
          <cell r="A388" t="str">
            <v>T_B_u-ICEDSL-S2</v>
          </cell>
          <cell r="B388" t="str">
            <v>VAR_ncap</v>
          </cell>
          <cell r="C388" t="str">
            <v>-</v>
          </cell>
          <cell r="E388">
            <v>1.0584564692594401E-5</v>
          </cell>
          <cell r="F388">
            <v>1.57902502568033E-4</v>
          </cell>
        </row>
        <row r="389">
          <cell r="A389" t="str">
            <v>T_B_u-ICEDSL-S2</v>
          </cell>
          <cell r="B389" t="str">
            <v>VAR_cap</v>
          </cell>
          <cell r="C389" t="str">
            <v>-</v>
          </cell>
          <cell r="D389">
            <v>1.8441313768242744E-4</v>
          </cell>
          <cell r="E389">
            <v>2.2832119545758084E-4</v>
          </cell>
          <cell r="F389">
            <v>3.8643016879758273E-4</v>
          </cell>
          <cell r="G389">
            <v>-9.1412856789902831E-9</v>
          </cell>
          <cell r="H389">
            <v>2.4110792519010634E-9</v>
          </cell>
        </row>
        <row r="390">
          <cell r="A390" t="str">
            <v>T_B_c-ICENGA-S4</v>
          </cell>
          <cell r="B390" t="str">
            <v>VAR_fout</v>
          </cell>
          <cell r="C390" t="str">
            <v>CO2_T</v>
          </cell>
          <cell r="E390">
            <v>3.1007776817728E-4</v>
          </cell>
          <cell r="F390">
            <v>2.4186504903494161E-3</v>
          </cell>
        </row>
        <row r="391">
          <cell r="A391" t="str">
            <v>T_B_c-ICENGA-S4</v>
          </cell>
          <cell r="B391" t="str">
            <v>VAR_fout</v>
          </cell>
          <cell r="C391" t="str">
            <v>TPBSc</v>
          </cell>
          <cell r="E391">
            <v>2.0720868657182401E-7</v>
          </cell>
          <cell r="F391">
            <v>1.6748719798052871E-6</v>
          </cell>
        </row>
        <row r="392">
          <cell r="A392" t="str">
            <v>T_B_c-ICENGA-S4</v>
          </cell>
          <cell r="B392" t="str">
            <v>VAR_fin</v>
          </cell>
          <cell r="C392" t="str">
            <v>TNGA</v>
          </cell>
          <cell r="E392">
            <v>5.4978327691007197E-6</v>
          </cell>
          <cell r="F392">
            <v>4.2883873942365541E-5</v>
          </cell>
        </row>
        <row r="393">
          <cell r="A393" t="str">
            <v>T_B_c-ICENGA-S4</v>
          </cell>
          <cell r="B393" t="str">
            <v>VAR_ncap</v>
          </cell>
          <cell r="C393" t="str">
            <v>-</v>
          </cell>
          <cell r="E393">
            <v>2.1807078678466899E-8</v>
          </cell>
          <cell r="F393">
            <v>4.1629281426437998E-8</v>
          </cell>
        </row>
        <row r="394">
          <cell r="A394" t="str">
            <v>T_B_c-ICENGA-S4</v>
          </cell>
          <cell r="B394" t="str">
            <v>VAR_cap</v>
          </cell>
          <cell r="C394" t="str">
            <v>-</v>
          </cell>
          <cell r="E394">
            <v>2.1807078678466899E-8</v>
          </cell>
          <cell r="F394">
            <v>6.3436360104904999E-8</v>
          </cell>
          <cell r="G394">
            <v>-2.4216290038795012E-9</v>
          </cell>
        </row>
        <row r="395">
          <cell r="A395" t="str">
            <v>T_B_u-ICEDSL-S3</v>
          </cell>
          <cell r="B395" t="str">
            <v>VAR_fout</v>
          </cell>
          <cell r="C395" t="str">
            <v>CO2_T</v>
          </cell>
          <cell r="D395">
            <v>46.18066404760075</v>
          </cell>
          <cell r="E395">
            <v>63.849194971821511</v>
          </cell>
          <cell r="F395">
            <v>63.899455214032777</v>
          </cell>
        </row>
        <row r="396">
          <cell r="A396" t="str">
            <v>T_B_u-ICEDSL-S3</v>
          </cell>
          <cell r="B396" t="str">
            <v>VAR_fout</v>
          </cell>
          <cell r="C396" t="str">
            <v>TPBSu</v>
          </cell>
          <cell r="D396">
            <v>3.6509518194595351E-2</v>
          </cell>
          <cell r="E396">
            <v>5.0616337058131157E-2</v>
          </cell>
          <cell r="F396">
            <v>5.0657903014079873E-2</v>
          </cell>
        </row>
        <row r="397">
          <cell r="A397" t="str">
            <v>T_B_u-ICEDSL-S3</v>
          </cell>
          <cell r="B397" t="str">
            <v>VAR_fin</v>
          </cell>
          <cell r="C397" t="str">
            <v>TDSL</v>
          </cell>
          <cell r="D397">
            <v>0.6300227018772282</v>
          </cell>
          <cell r="E397">
            <v>0.87106677997028037</v>
          </cell>
          <cell r="F397">
            <v>0.87175245858162054</v>
          </cell>
        </row>
        <row r="398">
          <cell r="A398" t="str">
            <v>T_B_u-ICEDSL-S3</v>
          </cell>
          <cell r="B398" t="str">
            <v>VAR_ncap</v>
          </cell>
          <cell r="C398" t="str">
            <v>-</v>
          </cell>
          <cell r="E398">
            <v>2.5290199828676299E-6</v>
          </cell>
          <cell r="F398">
            <v>4.2547107374406602E-7</v>
          </cell>
        </row>
        <row r="399">
          <cell r="A399" t="str">
            <v>T_B_u-ICEDSL-S3</v>
          </cell>
          <cell r="B399" t="str">
            <v>VAR_cap</v>
          </cell>
          <cell r="C399" t="str">
            <v>-</v>
          </cell>
          <cell r="D399">
            <v>8.0664304885380502E-4</v>
          </cell>
          <cell r="E399">
            <v>9.5503142332411769E-4</v>
          </cell>
          <cell r="F399">
            <v>9.5551074984704775E-4</v>
          </cell>
          <cell r="G399">
            <v>-1.037544687432267E-8</v>
          </cell>
        </row>
        <row r="400">
          <cell r="A400" t="str">
            <v>T_B_u-ICEDSL-S4</v>
          </cell>
          <cell r="B400" t="str">
            <v>VAR_fout</v>
          </cell>
          <cell r="C400" t="str">
            <v>CO2_T</v>
          </cell>
          <cell r="D400">
            <v>0.29383436873361912</v>
          </cell>
          <cell r="E400">
            <v>1.9786668493442461E-2</v>
          </cell>
          <cell r="F400">
            <v>2.9052255238347802E-2</v>
          </cell>
        </row>
        <row r="401">
          <cell r="A401" t="str">
            <v>T_B_u-ICEDSL-S4</v>
          </cell>
          <cell r="B401" t="str">
            <v>VAR_fout</v>
          </cell>
          <cell r="C401" t="str">
            <v>TPBSu</v>
          </cell>
          <cell r="D401">
            <v>1.5492038830017935E-4</v>
          </cell>
          <cell r="E401">
            <v>1.050045862195151E-5</v>
          </cell>
          <cell r="F401">
            <v>1.5515707513110733E-5</v>
          </cell>
        </row>
        <row r="402">
          <cell r="A402" t="str">
            <v>T_B_u-ICEDSL-S4</v>
          </cell>
          <cell r="B402" t="str">
            <v>VAR_fin</v>
          </cell>
          <cell r="C402" t="str">
            <v>TDSL</v>
          </cell>
          <cell r="D402">
            <v>4.008654416556884E-3</v>
          </cell>
          <cell r="E402">
            <v>2.6994090714109763E-4</v>
          </cell>
          <cell r="F402">
            <v>3.9634727473871487E-4</v>
          </cell>
        </row>
        <row r="403">
          <cell r="A403" t="str">
            <v>T_B_u-ICEDSL-S4</v>
          </cell>
          <cell r="B403" t="str">
            <v>VAR_ncap</v>
          </cell>
          <cell r="C403" t="str">
            <v>-</v>
          </cell>
          <cell r="E403">
            <v>3.8771316754678197E-8</v>
          </cell>
          <cell r="F403">
            <v>3.7235991862718102E-8</v>
          </cell>
        </row>
        <row r="404">
          <cell r="A404" t="str">
            <v>T_B_u-ICEDSL-S4</v>
          </cell>
          <cell r="B404" t="str">
            <v>VAR_cap</v>
          </cell>
          <cell r="C404" t="str">
            <v>-</v>
          </cell>
          <cell r="D404">
            <v>3.4129194531584791E-6</v>
          </cell>
          <cell r="E404">
            <v>3.4736265273317805E-7</v>
          </cell>
          <cell r="F404">
            <v>3.9995691714059633E-7</v>
          </cell>
          <cell r="G404">
            <v>-7.2746137216134567E-9</v>
          </cell>
        </row>
        <row r="405">
          <cell r="A405" t="str">
            <v>D-TBDS1intl</v>
          </cell>
          <cell r="B405" t="str">
            <v>VAR_fout</v>
          </cell>
          <cell r="C405" t="str">
            <v>TKERintl_SAF</v>
          </cell>
          <cell r="G405">
            <v>5.4446755887527596</v>
          </cell>
          <cell r="H405">
            <v>5.7422448084435898</v>
          </cell>
          <cell r="I405">
            <v>5.9416206332580002</v>
          </cell>
          <cell r="J405">
            <v>6.0831817353740201</v>
          </cell>
          <cell r="K405">
            <v>6.2037436867992799</v>
          </cell>
          <cell r="L405">
            <v>6.20374399251076</v>
          </cell>
          <cell r="M405">
            <v>6.2037448961851904</v>
          </cell>
          <cell r="N405">
            <v>6.20374609514956</v>
          </cell>
          <cell r="O405">
            <v>6.3105236006040002</v>
          </cell>
        </row>
        <row r="406">
          <cell r="A406" t="str">
            <v>D-TBDS1intl</v>
          </cell>
          <cell r="B406" t="str">
            <v>VAR_fin</v>
          </cell>
          <cell r="C406" t="str">
            <v>BDS1</v>
          </cell>
          <cell r="G406">
            <v>5.4446755887527596</v>
          </cell>
          <cell r="H406">
            <v>5.7422448084435898</v>
          </cell>
          <cell r="I406">
            <v>5.9416206332580002</v>
          </cell>
          <cell r="J406">
            <v>6.0831817353740201</v>
          </cell>
          <cell r="K406">
            <v>6.2037436867992799</v>
          </cell>
          <cell r="L406">
            <v>6.20374399251076</v>
          </cell>
          <cell r="M406">
            <v>6.2037448961851904</v>
          </cell>
          <cell r="N406">
            <v>6.20374609514956</v>
          </cell>
          <cell r="O406">
            <v>6.3105236006040002</v>
          </cell>
        </row>
        <row r="407">
          <cell r="A407" t="str">
            <v>T_B_c-ICENGAEXT</v>
          </cell>
          <cell r="B407" t="str">
            <v>VAR_fout</v>
          </cell>
          <cell r="C407" t="str">
            <v>CO2_T</v>
          </cell>
          <cell r="D407">
            <v>7.7958659279135896E-3</v>
          </cell>
          <cell r="E407">
            <v>7.7660240629533498E-3</v>
          </cell>
          <cell r="F407">
            <v>7.7276214116573996E-3</v>
          </cell>
        </row>
        <row r="408">
          <cell r="A408" t="str">
            <v>T_B_c-ICENGAEXT</v>
          </cell>
          <cell r="B408" t="str">
            <v>VAR_fout</v>
          </cell>
          <cell r="C408" t="str">
            <v>TPBSc</v>
          </cell>
          <cell r="D408">
            <v>1.375369003291239E-3</v>
          </cell>
          <cell r="E408">
            <v>1.0983688323469847E-3</v>
          </cell>
          <cell r="F408">
            <v>6.873499502760811E-4</v>
          </cell>
        </row>
        <row r="409">
          <cell r="A409" t="str">
            <v>T_B_c-ICENGAEXT</v>
          </cell>
          <cell r="B409" t="str">
            <v>VAR_fin</v>
          </cell>
          <cell r="C409" t="str">
            <v>TNGA</v>
          </cell>
          <cell r="D409">
            <v>1.3822457318995716E-4</v>
          </cell>
          <cell r="E409">
            <v>1.3769546210910203E-4</v>
          </cell>
          <cell r="F409">
            <v>1.3701456403647868E-4</v>
          </cell>
        </row>
        <row r="410">
          <cell r="A410" t="str">
            <v>T_B_c-ICENGAEXT</v>
          </cell>
          <cell r="B410" t="str">
            <v>VAR_cap</v>
          </cell>
          <cell r="C410" t="str">
            <v>-</v>
          </cell>
          <cell r="D410">
            <v>2.9720505194880944E-5</v>
          </cell>
          <cell r="E410">
            <v>2.3778234086242301E-5</v>
          </cell>
          <cell r="F410">
            <v>1.4861396303901497E-5</v>
          </cell>
        </row>
        <row r="411">
          <cell r="A411" t="str">
            <v>T_B_u-ICEDSLEXT</v>
          </cell>
          <cell r="B411" t="str">
            <v>VAR_fout</v>
          </cell>
          <cell r="C411" t="str">
            <v>CO2_T</v>
          </cell>
          <cell r="D411">
            <v>1.2709316939959701</v>
          </cell>
          <cell r="E411">
            <v>1.2694310994466</v>
          </cell>
          <cell r="F411">
            <v>1.2644377347534199</v>
          </cell>
        </row>
        <row r="412">
          <cell r="A412" t="str">
            <v>T_B_u-ICEDSLEXT</v>
          </cell>
          <cell r="B412" t="str">
            <v>VAR_fout</v>
          </cell>
          <cell r="C412" t="str">
            <v>TPBSu</v>
          </cell>
          <cell r="D412">
            <v>0.24219971410450039</v>
          </cell>
          <cell r="E412">
            <v>0.19378474543033516</v>
          </cell>
          <cell r="F412">
            <v>0.12111295714076223</v>
          </cell>
        </row>
        <row r="413">
          <cell r="A413" t="str">
            <v>T_B_u-ICEDSLEXT</v>
          </cell>
          <cell r="B413" t="str">
            <v>VAR_fin</v>
          </cell>
          <cell r="C413" t="str">
            <v>TDSL</v>
          </cell>
          <cell r="D413">
            <v>1.7338767994487962E-2</v>
          </cell>
          <cell r="E413">
            <v>1.7318296036106403E-2</v>
          </cell>
          <cell r="F413">
            <v>1.7250173734698719E-2</v>
          </cell>
        </row>
        <row r="414">
          <cell r="A414" t="str">
            <v>T_B_u-ICEDSLEXT</v>
          </cell>
          <cell r="B414" t="str">
            <v>VAR_cap</v>
          </cell>
          <cell r="C414" t="str">
            <v>-</v>
          </cell>
          <cell r="D414">
            <v>4.5678260896426194E-3</v>
          </cell>
          <cell r="E414">
            <v>3.6542689740420198E-3</v>
          </cell>
          <cell r="F414">
            <v>2.2838534899537735E-3</v>
          </cell>
        </row>
        <row r="415">
          <cell r="A415" t="str">
            <v>D-T-ELC-LGV</v>
          </cell>
          <cell r="B415" t="str">
            <v>VAR_fout</v>
          </cell>
          <cell r="C415" t="str">
            <v>T-ELC-LGV_BatSTGin</v>
          </cell>
          <cell r="D415">
            <v>3.5288789240569295E-2</v>
          </cell>
          <cell r="E415">
            <v>6.4144255179038295E-2</v>
          </cell>
          <cell r="F415">
            <v>0.29647753676317828</v>
          </cell>
          <cell r="G415">
            <v>1.2215697553777991</v>
          </cell>
          <cell r="H415">
            <v>2.8770292840401304</v>
          </cell>
          <cell r="I415">
            <v>5.0823919996241624</v>
          </cell>
          <cell r="J415">
            <v>5.2604580102358725</v>
          </cell>
          <cell r="K415">
            <v>5.4683857584710216</v>
          </cell>
          <cell r="L415">
            <v>5.7918484196751319</v>
          </cell>
          <cell r="M415">
            <v>6.3030780212157049</v>
          </cell>
          <cell r="N415">
            <v>6.9036390811679267</v>
          </cell>
          <cell r="O415">
            <v>7.5102788087288932</v>
          </cell>
        </row>
        <row r="416">
          <cell r="A416" t="str">
            <v>D-T-ELC-LGV</v>
          </cell>
          <cell r="B416" t="str">
            <v>VAR_fin</v>
          </cell>
          <cell r="C416" t="str">
            <v>TELC</v>
          </cell>
          <cell r="D416">
            <v>3.5288789240569295E-2</v>
          </cell>
          <cell r="E416">
            <v>6.4144255179038295E-2</v>
          </cell>
          <cell r="F416">
            <v>0.29647753676317828</v>
          </cell>
          <cell r="G416">
            <v>1.2215697553777991</v>
          </cell>
          <cell r="H416">
            <v>2.8770292840401304</v>
          </cell>
          <cell r="I416">
            <v>5.0823919996241624</v>
          </cell>
          <cell r="J416">
            <v>5.2604580102358725</v>
          </cell>
          <cell r="K416">
            <v>5.4683857584710216</v>
          </cell>
          <cell r="L416">
            <v>5.7918484196751319</v>
          </cell>
          <cell r="M416">
            <v>6.3030780212157049</v>
          </cell>
          <cell r="N416">
            <v>6.9036390811679267</v>
          </cell>
          <cell r="O416">
            <v>7.5102788087288932</v>
          </cell>
        </row>
        <row r="417">
          <cell r="A417" t="str">
            <v>D-T-ELC-LGV</v>
          </cell>
          <cell r="B417" t="str">
            <v>VAR_ncap</v>
          </cell>
          <cell r="C417" t="str">
            <v>-</v>
          </cell>
          <cell r="D417">
            <v>3.7336731754155101E-3</v>
          </cell>
          <cell r="E417">
            <v>3.0484203142489099E-3</v>
          </cell>
          <cell r="F417">
            <v>2.4557616838402199E-2</v>
          </cell>
          <cell r="G417">
            <v>9.9184541800295303E-2</v>
          </cell>
          <cell r="H417">
            <v>0.19233368287220301</v>
          </cell>
          <cell r="I417">
            <v>0.32404258681654802</v>
          </cell>
          <cell r="J417">
            <v>0.13225676470391601</v>
          </cell>
          <cell r="K417">
            <v>0.33505540028997599</v>
          </cell>
          <cell r="L417">
            <v>0.21764802316979201</v>
          </cell>
          <cell r="M417">
            <v>0.27691960551623102</v>
          </cell>
          <cell r="N417">
            <v>0.41423946095655401</v>
          </cell>
          <cell r="O417">
            <v>0.19271086615385699</v>
          </cell>
        </row>
        <row r="418">
          <cell r="A418" t="str">
            <v>D-T-ELC-LGV</v>
          </cell>
          <cell r="B418" t="str">
            <v>VAR_cap</v>
          </cell>
          <cell r="C418" t="str">
            <v>-</v>
          </cell>
          <cell r="D418">
            <v>3.7336731754155101E-3</v>
          </cell>
          <cell r="E418">
            <v>6.78209348966441E-3</v>
          </cell>
          <cell r="F418">
            <v>3.1339710328066601E-2</v>
          </cell>
          <cell r="G418">
            <v>0.12911859374728199</v>
          </cell>
          <cell r="H418">
            <v>0.304100167373974</v>
          </cell>
          <cell r="I418">
            <v>0.53720471975045703</v>
          </cell>
          <cell r="J418">
            <v>0.55602648100137297</v>
          </cell>
          <cell r="K418">
            <v>0.57800421746044595</v>
          </cell>
          <cell r="L418">
            <v>0.61219392591541</v>
          </cell>
          <cell r="M418">
            <v>0.66623118529288805</v>
          </cell>
          <cell r="N418">
            <v>0.729709302930588</v>
          </cell>
          <cell r="O418">
            <v>0.793833077135357</v>
          </cell>
        </row>
        <row r="419">
          <cell r="A419" t="str">
            <v>T_B_c-FCLH2O-S1</v>
          </cell>
          <cell r="B419" t="str">
            <v>VAR_ncap</v>
          </cell>
          <cell r="C419" t="str">
            <v>-</v>
          </cell>
          <cell r="G419">
            <v>1.2182062605028401E-8</v>
          </cell>
        </row>
        <row r="420">
          <cell r="A420" t="str">
            <v>T_B_c-FCLH2O-S1</v>
          </cell>
          <cell r="B420" t="str">
            <v>VAR_cap</v>
          </cell>
          <cell r="C420" t="str">
            <v>-</v>
          </cell>
          <cell r="G420">
            <v>1.2182062605028401E-8</v>
          </cell>
          <cell r="H420">
            <v>1.2182062605028401E-8</v>
          </cell>
          <cell r="I420">
            <v>2.55819584394824E-9</v>
          </cell>
        </row>
        <row r="421">
          <cell r="A421" t="str">
            <v>T_B_c-FCLH2O-S2</v>
          </cell>
          <cell r="B421" t="str">
            <v>VAR_fout</v>
          </cell>
          <cell r="C421" t="str">
            <v>TPBSc</v>
          </cell>
          <cell r="G421">
            <v>4.1942039332223297E-8</v>
          </cell>
        </row>
        <row r="422">
          <cell r="A422" t="str">
            <v>T_B_c-FCLH2O-S2</v>
          </cell>
          <cell r="B422" t="str">
            <v>VAR_fin</v>
          </cell>
          <cell r="C422" t="str">
            <v>TH2O</v>
          </cell>
          <cell r="G422">
            <v>2.4802876221206162E-7</v>
          </cell>
        </row>
        <row r="423">
          <cell r="A423" t="str">
            <v>T_B_c-FCLH2O-S2</v>
          </cell>
          <cell r="B423" t="str">
            <v>VAR_ncap</v>
          </cell>
          <cell r="C423" t="str">
            <v>-</v>
          </cell>
          <cell r="G423">
            <v>1.25032331940811E-8</v>
          </cell>
        </row>
        <row r="424">
          <cell r="A424" t="str">
            <v>T_B_c-FCLH2O-S2</v>
          </cell>
          <cell r="B424" t="str">
            <v>VAR_cap</v>
          </cell>
          <cell r="C424" t="str">
            <v>-</v>
          </cell>
          <cell r="G424">
            <v>1.25032331940811E-8</v>
          </cell>
          <cell r="H424">
            <v>1.25032331940811E-8</v>
          </cell>
          <cell r="I424">
            <v>2.6256406841819301E-9</v>
          </cell>
        </row>
        <row r="425">
          <cell r="A425" t="str">
            <v>T_B_c-FCLH2O-S3</v>
          </cell>
          <cell r="B425" t="str">
            <v>VAR_fout</v>
          </cell>
          <cell r="C425" t="str">
            <v>TPBSc</v>
          </cell>
          <cell r="G425">
            <v>1.3560971260390002E-7</v>
          </cell>
        </row>
        <row r="426">
          <cell r="A426" t="str">
            <v>T_B_c-FCLH2O-S3</v>
          </cell>
          <cell r="B426" t="str">
            <v>VAR_fin</v>
          </cell>
          <cell r="C426" t="str">
            <v>TH2O</v>
          </cell>
          <cell r="G426">
            <v>1.1989359140988048E-6</v>
          </cell>
        </row>
        <row r="427">
          <cell r="A427" t="str">
            <v>T_B_c-FCLH2O-S3</v>
          </cell>
          <cell r="B427" t="str">
            <v>VAR_ncap</v>
          </cell>
          <cell r="C427" t="str">
            <v>-</v>
          </cell>
          <cell r="G427">
            <v>1.402189246994E-8</v>
          </cell>
        </row>
        <row r="428">
          <cell r="A428" t="str">
            <v>T_B_c-FCLH2O-S3</v>
          </cell>
          <cell r="B428" t="str">
            <v>VAR_cap</v>
          </cell>
          <cell r="C428" t="str">
            <v>-</v>
          </cell>
          <cell r="G428">
            <v>1.402189246994E-8</v>
          </cell>
          <cell r="H428">
            <v>1.06451701090705E-8</v>
          </cell>
        </row>
        <row r="429">
          <cell r="A429" t="str">
            <v>T_C-HYBGSLEXT</v>
          </cell>
          <cell r="B429" t="str">
            <v>VAR_fout</v>
          </cell>
          <cell r="C429" t="str">
            <v>CO2_T</v>
          </cell>
          <cell r="D429">
            <v>92.551404622663895</v>
          </cell>
          <cell r="E429">
            <v>91.725296271980298</v>
          </cell>
          <cell r="F429">
            <v>68.279172375365505</v>
          </cell>
          <cell r="G429">
            <v>32.396745417655097</v>
          </cell>
        </row>
        <row r="430">
          <cell r="A430" t="str">
            <v>T_C-HYBGSLEXT</v>
          </cell>
          <cell r="B430" t="str">
            <v>VAR_fout</v>
          </cell>
          <cell r="C430" t="str">
            <v>TPCAR</v>
          </cell>
          <cell r="D430">
            <v>0.61926088016342029</v>
          </cell>
          <cell r="E430">
            <v>0.62769957941677645</v>
          </cell>
          <cell r="F430">
            <v>0.48284616053126356</v>
          </cell>
          <cell r="G430">
            <v>0.24143022866162833</v>
          </cell>
        </row>
        <row r="431">
          <cell r="A431" t="str">
            <v>T_C-HYBGSLEXT</v>
          </cell>
          <cell r="B431" t="str">
            <v>VAR_fin</v>
          </cell>
          <cell r="C431" t="str">
            <v>TGSL</v>
          </cell>
          <cell r="D431">
            <v>1.2540840734778309</v>
          </cell>
          <cell r="E431">
            <v>1.2428901933872671</v>
          </cell>
          <cell r="F431">
            <v>0.9251920376065782</v>
          </cell>
          <cell r="G431">
            <v>0.43898029021212853</v>
          </cell>
        </row>
        <row r="432">
          <cell r="A432" t="str">
            <v>T_C-HYBGSLEXT</v>
          </cell>
          <cell r="B432" t="str">
            <v>VAR_cap</v>
          </cell>
          <cell r="C432" t="str">
            <v>-</v>
          </cell>
          <cell r="D432">
            <v>6.5792228077161369E-2</v>
          </cell>
          <cell r="E432">
            <v>5.7063052440882341E-2</v>
          </cell>
          <cell r="F432">
            <v>4.3894632684785891E-2</v>
          </cell>
          <cell r="G432">
            <v>2.1947320096543706E-2</v>
          </cell>
        </row>
        <row r="433">
          <cell r="A433" t="str">
            <v>TPAVDKEREXT</v>
          </cell>
          <cell r="B433" t="str">
            <v>VAR_fout</v>
          </cell>
          <cell r="C433" t="str">
            <v>CO2_T</v>
          </cell>
          <cell r="D433">
            <v>79.576349423418094</v>
          </cell>
          <cell r="E433">
            <v>100.796237247683</v>
          </cell>
          <cell r="F433">
            <v>132.626068984081</v>
          </cell>
          <cell r="G433">
            <v>185.675788544743</v>
          </cell>
          <cell r="H433">
            <v>170.02894982493601</v>
          </cell>
          <cell r="I433">
            <v>154.38211110512901</v>
          </cell>
          <cell r="J433">
            <v>138.735272385321</v>
          </cell>
          <cell r="K433">
            <v>123.088433665514</v>
          </cell>
          <cell r="L433">
            <v>109.90751284479499</v>
          </cell>
          <cell r="M433">
            <v>98.138070491291401</v>
          </cell>
          <cell r="N433">
            <v>87.628958480337403</v>
          </cell>
          <cell r="O433">
            <v>78.245214379164594</v>
          </cell>
        </row>
        <row r="434">
          <cell r="A434" t="str">
            <v>TPAVDKEREXT</v>
          </cell>
          <cell r="B434" t="str">
            <v>VAR_fout</v>
          </cell>
          <cell r="C434" t="str">
            <v>TPAVD</v>
          </cell>
          <cell r="D434">
            <v>1.0930817228491501</v>
          </cell>
          <cell r="E434">
            <v>1.3845636984571901</v>
          </cell>
          <cell r="F434">
            <v>1.82178666186924</v>
          </cell>
          <cell r="G434">
            <v>2.5504916008893299</v>
          </cell>
          <cell r="H434">
            <v>2.33556249759528</v>
          </cell>
          <cell r="I434">
            <v>2.1206333943012199</v>
          </cell>
          <cell r="J434">
            <v>1.90570429100716</v>
          </cell>
          <cell r="K434">
            <v>1.6907751877131001</v>
          </cell>
          <cell r="L434">
            <v>1.5097185830329001</v>
          </cell>
          <cell r="M434">
            <v>1.34805041883642</v>
          </cell>
          <cell r="N434">
            <v>1.2036944846200199</v>
          </cell>
          <cell r="O434">
            <v>1.0747969008127001</v>
          </cell>
        </row>
        <row r="435">
          <cell r="A435" t="str">
            <v>TPAVDKEREXT</v>
          </cell>
          <cell r="B435" t="str">
            <v>VAR_fin</v>
          </cell>
          <cell r="C435" t="str">
            <v>TKER</v>
          </cell>
          <cell r="D435">
            <v>1.0930817228491501</v>
          </cell>
          <cell r="E435">
            <v>1.3845636984571901</v>
          </cell>
          <cell r="F435">
            <v>1.82178666186924</v>
          </cell>
          <cell r="G435">
            <v>2.5504916008893299</v>
          </cell>
          <cell r="H435">
            <v>2.33556249759528</v>
          </cell>
          <cell r="I435">
            <v>2.1206333943012199</v>
          </cell>
          <cell r="J435">
            <v>1.90570429100716</v>
          </cell>
          <cell r="K435">
            <v>1.6907751877131001</v>
          </cell>
          <cell r="L435">
            <v>1.5097185830329001</v>
          </cell>
          <cell r="M435">
            <v>1.34805041883642</v>
          </cell>
          <cell r="N435">
            <v>1.2036944846200199</v>
          </cell>
          <cell r="O435">
            <v>1.0747969008127001</v>
          </cell>
        </row>
        <row r="436">
          <cell r="A436" t="str">
            <v>TPAVDKEREXT</v>
          </cell>
          <cell r="B436" t="str">
            <v>VAR_ncap</v>
          </cell>
          <cell r="C436" t="str">
            <v>-</v>
          </cell>
          <cell r="D436">
            <v>0.216733013443558</v>
          </cell>
          <cell r="E436">
            <v>2.22925605103576</v>
          </cell>
          <cell r="F436">
            <v>1.4041984549789399</v>
          </cell>
          <cell r="G436">
            <v>0.89797134924543898</v>
          </cell>
          <cell r="H436">
            <v>1.22646582093955</v>
          </cell>
          <cell r="I436">
            <v>0.63613033526146401</v>
          </cell>
          <cell r="J436">
            <v>0.65408115504952002</v>
          </cell>
          <cell r="K436">
            <v>0.63098759752757505</v>
          </cell>
          <cell r="L436">
            <v>0.63142072531295201</v>
          </cell>
          <cell r="M436">
            <v>0.79553836181525495</v>
          </cell>
          <cell r="N436">
            <v>0.65217121279893997</v>
          </cell>
          <cell r="O436">
            <v>0.59783302831186003</v>
          </cell>
        </row>
        <row r="437">
          <cell r="A437" t="str">
            <v>TPAVDKEREXT</v>
          </cell>
          <cell r="B437" t="str">
            <v>VAR_cap</v>
          </cell>
          <cell r="C437" t="str">
            <v>-</v>
          </cell>
          <cell r="D437">
            <v>1.3098147362927079</v>
          </cell>
          <cell r="E437">
            <v>3.5390707873284701</v>
          </cell>
          <cell r="F437">
            <v>3.9979118553832826</v>
          </cell>
          <cell r="G437">
            <v>3.6495367997662602</v>
          </cell>
          <cell r="H437">
            <v>3.6723068989737104</v>
          </cell>
          <cell r="I437">
            <v>2.8095564321464637</v>
          </cell>
          <cell r="J437">
            <v>2.0841918712626697</v>
          </cell>
          <cell r="K437">
            <v>1.9816011859527298</v>
          </cell>
          <cell r="L437">
            <v>1.6716277830502702</v>
          </cell>
          <cell r="M437">
            <v>1.7105325468275099</v>
          </cell>
          <cell r="N437">
            <v>1.5887476882163603</v>
          </cell>
          <cell r="O437">
            <v>1.3536972118265</v>
          </cell>
        </row>
        <row r="438">
          <cell r="A438" t="str">
            <v>T_C-ICE-GSL-S1</v>
          </cell>
          <cell r="B438" t="str">
            <v>VAR_fout</v>
          </cell>
          <cell r="C438" t="str">
            <v>CO2_T</v>
          </cell>
          <cell r="D438">
            <v>36.683169214120923</v>
          </cell>
          <cell r="E438">
            <v>40.651385963053507</v>
          </cell>
          <cell r="F438">
            <v>28.312554723500476</v>
          </cell>
          <cell r="G438">
            <v>21.549530870154566</v>
          </cell>
          <cell r="H438">
            <v>1.2941305458463279</v>
          </cell>
          <cell r="I438">
            <v>0.18985289070377287</v>
          </cell>
          <cell r="J438">
            <v>0.1191149531465107</v>
          </cell>
          <cell r="K438">
            <v>7.6136160531103003E-2</v>
          </cell>
          <cell r="L438">
            <v>3.9623248766772617E-2</v>
          </cell>
          <cell r="M438">
            <v>3.7072720289052605E-2</v>
          </cell>
          <cell r="N438">
            <v>4.1423612030011256E-2</v>
          </cell>
          <cell r="O438">
            <v>5.3749396304226094E-2</v>
          </cell>
        </row>
        <row r="439">
          <cell r="A439" t="str">
            <v>T_C-ICE-GSL-S1</v>
          </cell>
          <cell r="B439" t="str">
            <v>VAR_fout</v>
          </cell>
          <cell r="C439" t="str">
            <v>TPCAR</v>
          </cell>
          <cell r="D439">
            <v>0.33930876372379726</v>
          </cell>
          <cell r="E439">
            <v>0.37241081592190822</v>
          </cell>
          <cell r="F439">
            <v>0.25959863794697152</v>
          </cell>
          <cell r="G439">
            <v>0.19964088876289063</v>
          </cell>
          <cell r="H439">
            <v>1.0713083419227189E-2</v>
          </cell>
          <cell r="I439">
            <v>1.6271956123072384E-3</v>
          </cell>
          <cell r="J439">
            <v>1.0796507418490032E-3</v>
          </cell>
          <cell r="K439">
            <v>7.3492865575128046E-4</v>
          </cell>
          <cell r="L439">
            <v>4.1649036473901318E-4</v>
          </cell>
          <cell r="M439">
            <v>4.3262837869755878E-4</v>
          </cell>
          <cell r="N439">
            <v>5.0452393288749468E-4</v>
          </cell>
          <cell r="O439">
            <v>6.663055510400922E-4</v>
          </cell>
        </row>
        <row r="440">
          <cell r="A440" t="str">
            <v>T_C-ICE-GSL-S1</v>
          </cell>
          <cell r="B440" t="str">
            <v>VAR_fin</v>
          </cell>
          <cell r="C440" t="str">
            <v>TGSL</v>
          </cell>
          <cell r="D440">
            <v>0.49706191347047263</v>
          </cell>
          <cell r="E440">
            <v>0.55083178811725586</v>
          </cell>
          <cell r="F440">
            <v>0.38363895289295968</v>
          </cell>
          <cell r="G440">
            <v>0.29199906328122599</v>
          </cell>
          <cell r="H440">
            <v>1.7535644252660246E-2</v>
          </cell>
          <cell r="I440">
            <v>2.5725323943600665E-3</v>
          </cell>
          <cell r="J440">
            <v>1.6140237553727756E-3</v>
          </cell>
          <cell r="K440">
            <v>1.0316552917493645E-3</v>
          </cell>
          <cell r="L440">
            <v>5.3690038979366684E-4</v>
          </cell>
          <cell r="M440">
            <v>5.0234038332049621E-4</v>
          </cell>
          <cell r="N440">
            <v>5.6129555596221242E-4</v>
          </cell>
          <cell r="O440">
            <v>7.283116030382935E-4</v>
          </cell>
        </row>
        <row r="441">
          <cell r="A441" t="str">
            <v>T_C-ICE-GSL-S1</v>
          </cell>
          <cell r="B441" t="str">
            <v>VAR_ncap</v>
          </cell>
          <cell r="C441" t="str">
            <v>-</v>
          </cell>
          <cell r="E441">
            <v>3.36382974068199E-5</v>
          </cell>
          <cell r="F441">
            <v>1.11451229850832E-4</v>
          </cell>
          <cell r="G441">
            <v>1.27671802086905E-4</v>
          </cell>
          <cell r="H441">
            <v>8.2781604442705095E-5</v>
          </cell>
          <cell r="I441">
            <v>1.02875984495888E-4</v>
          </cell>
          <cell r="J441">
            <v>2.62209398967767E-5</v>
          </cell>
          <cell r="K441">
            <v>2.4949198797949502E-5</v>
          </cell>
          <cell r="L441">
            <v>1.7596263704753101E-5</v>
          </cell>
          <cell r="M441">
            <v>2.7926890224365199E-5</v>
          </cell>
          <cell r="N441">
            <v>3.0050265565506701E-5</v>
          </cell>
          <cell r="O441">
            <v>3.8462617161227002E-5</v>
          </cell>
        </row>
        <row r="442">
          <cell r="A442" t="str">
            <v>T_C-ICE-GSL-S1</v>
          </cell>
          <cell r="B442" t="str">
            <v>VAR_cap</v>
          </cell>
          <cell r="C442" t="str">
            <v>-</v>
          </cell>
          <cell r="D442">
            <v>3.654159736963232E-2</v>
          </cell>
          <cell r="E442">
            <v>3.9790158360936238E-2</v>
          </cell>
          <cell r="F442">
            <v>3.9434093653075167E-2</v>
          </cell>
          <cell r="G442">
            <v>3.032977084109973E-2</v>
          </cell>
          <cell r="H442">
            <v>1.6191105224406122E-3</v>
          </cell>
          <cell r="I442">
            <v>2.4079323137584784E-4</v>
          </cell>
          <cell r="J442">
            <v>1.6005343591002399E-4</v>
          </cell>
          <cell r="K442">
            <v>1.0714010838410025E-4</v>
          </cell>
          <cell r="L442">
            <v>5.9954603260067384E-5</v>
          </cell>
          <cell r="M442">
            <v>6.0901869490866641E-5</v>
          </cell>
          <cell r="N442">
            <v>7.2045830261430833E-5</v>
          </cell>
          <cell r="O442">
            <v>9.6396392818886973E-5</v>
          </cell>
        </row>
        <row r="443">
          <cell r="A443" t="str">
            <v>V2G</v>
          </cell>
          <cell r="B443" t="str">
            <v>VAR_fout</v>
          </cell>
          <cell r="C443" t="str">
            <v>ELC35</v>
          </cell>
          <cell r="G443">
            <v>0.97170837750698102</v>
          </cell>
          <cell r="H443">
            <v>0.91035687201829407</v>
          </cell>
          <cell r="I443">
            <v>0.78289371206080172</v>
          </cell>
          <cell r="J443">
            <v>0.57196132857420134</v>
          </cell>
          <cell r="K443">
            <v>1.5623433634030457</v>
          </cell>
          <cell r="L443">
            <v>2.2197904359466292</v>
          </cell>
          <cell r="M443">
            <v>2.5733289027699713</v>
          </cell>
          <cell r="N443">
            <v>2.5546486121483598</v>
          </cell>
          <cell r="O443">
            <v>2.4155038687150814</v>
          </cell>
        </row>
        <row r="444">
          <cell r="A444" t="str">
            <v>V2G</v>
          </cell>
          <cell r="B444" t="str">
            <v>VAR_fin</v>
          </cell>
          <cell r="C444" t="str">
            <v>T-ELC-Bus_c_BatSTGout_S1</v>
          </cell>
          <cell r="G444">
            <v>1.7578846062809013E-3</v>
          </cell>
          <cell r="H444">
            <v>5.9130413343203804E-3</v>
          </cell>
          <cell r="I444">
            <v>3.0008224371544843E-3</v>
          </cell>
          <cell r="J444">
            <v>3.822190413342301E-3</v>
          </cell>
          <cell r="K444">
            <v>3.7084211430873596E-3</v>
          </cell>
          <cell r="L444">
            <v>3.052477697612836E-3</v>
          </cell>
          <cell r="M444">
            <v>4.5309561666999299E-3</v>
          </cell>
          <cell r="N444">
            <v>3.9296186967119097E-3</v>
          </cell>
          <cell r="O444">
            <v>6.0394402135125081E-3</v>
          </cell>
        </row>
        <row r="445">
          <cell r="A445" t="str">
            <v>V2G</v>
          </cell>
          <cell r="B445" t="str">
            <v>VAR_fin</v>
          </cell>
          <cell r="C445" t="str">
            <v>T-ELC-Bus_c_BatSTGout_S2</v>
          </cell>
          <cell r="G445">
            <v>1.577018083136307E-3</v>
          </cell>
          <cell r="H445">
            <v>3.0410937013062339E-3</v>
          </cell>
          <cell r="I445">
            <v>2.4515875857229678E-3</v>
          </cell>
          <cell r="J445">
            <v>2.9634776619210301E-3</v>
          </cell>
          <cell r="K445">
            <v>3.6147596137566787E-3</v>
          </cell>
          <cell r="L445">
            <v>2.7480707248044769E-3</v>
          </cell>
          <cell r="M445">
            <v>4.0436274587985653E-3</v>
          </cell>
          <cell r="N445">
            <v>3.4291356985754157E-3</v>
          </cell>
          <cell r="O445">
            <v>4.7860810879038519E-3</v>
          </cell>
        </row>
        <row r="446">
          <cell r="A446" t="str">
            <v>V2G</v>
          </cell>
          <cell r="B446" t="str">
            <v>VAR_fin</v>
          </cell>
          <cell r="C446" t="str">
            <v>T-ELC-Bus_c_BatSTGout_S3</v>
          </cell>
          <cell r="G446">
            <v>3.0619910111317203E-4</v>
          </cell>
          <cell r="H446">
            <v>2.6640770086091311E-4</v>
          </cell>
          <cell r="I446">
            <v>2.6706898952567524E-4</v>
          </cell>
          <cell r="J446">
            <v>5.6408231158277438E-4</v>
          </cell>
          <cell r="K446">
            <v>8.7487749306502352E-4</v>
          </cell>
          <cell r="L446">
            <v>8.2383560887091926E-4</v>
          </cell>
          <cell r="M446">
            <v>1.0638192166166659E-3</v>
          </cell>
          <cell r="N446">
            <v>1.2808670549784499E-3</v>
          </cell>
          <cell r="O446">
            <v>2.5962416088423125E-3</v>
          </cell>
        </row>
        <row r="447">
          <cell r="A447" t="str">
            <v>V2G</v>
          </cell>
          <cell r="B447" t="str">
            <v>VAR_fin</v>
          </cell>
          <cell r="C447" t="str">
            <v>T-ELC-Bus_c_BatSTGout_S4</v>
          </cell>
          <cell r="G447">
            <v>2.8188364643566045E-4</v>
          </cell>
          <cell r="H447">
            <v>2.7015210228005851E-4</v>
          </cell>
          <cell r="I447">
            <v>4.0516476878611464E-4</v>
          </cell>
          <cell r="J447">
            <v>4.4130408589302653E-4</v>
          </cell>
          <cell r="K447">
            <v>7.5886484250711609E-4</v>
          </cell>
          <cell r="L447">
            <v>7.1339804633871668E-4</v>
          </cell>
          <cell r="M447">
            <v>7.6469367946830301E-4</v>
          </cell>
          <cell r="N447">
            <v>9.4698412814989564E-4</v>
          </cell>
          <cell r="O447">
            <v>1.3545505376628029E-3</v>
          </cell>
        </row>
        <row r="448">
          <cell r="A448" t="str">
            <v>V2G</v>
          </cell>
          <cell r="B448" t="str">
            <v>VAR_fin</v>
          </cell>
          <cell r="C448" t="str">
            <v>T-ELC-car-BatSTGOut_S1</v>
          </cell>
          <cell r="G448">
            <v>2.9968711361573325E-2</v>
          </cell>
          <cell r="H448">
            <v>2.9030875191063454E-2</v>
          </cell>
          <cell r="I448">
            <v>0.18771773640644779</v>
          </cell>
          <cell r="J448">
            <v>0.15689254351435528</v>
          </cell>
          <cell r="K448">
            <v>0.41548998378120705</v>
          </cell>
          <cell r="L448">
            <v>0.4993149838452518</v>
          </cell>
          <cell r="M448">
            <v>0.60580822213870866</v>
          </cell>
          <cell r="N448">
            <v>0.70368900236833398</v>
          </cell>
          <cell r="O448">
            <v>0.77332012872416156</v>
          </cell>
        </row>
        <row r="449">
          <cell r="A449" t="str">
            <v>V2G</v>
          </cell>
          <cell r="B449" t="str">
            <v>VAR_fin</v>
          </cell>
          <cell r="C449" t="str">
            <v>T-ELC-car-BatSTGOut_S2</v>
          </cell>
          <cell r="G449">
            <v>0.15107801500955778</v>
          </cell>
          <cell r="H449">
            <v>0.10771900271247342</v>
          </cell>
          <cell r="I449">
            <v>9.0594067330698719E-2</v>
          </cell>
          <cell r="J449">
            <v>5.5860273026308964E-2</v>
          </cell>
          <cell r="K449">
            <v>0.11432984485197205</v>
          </cell>
          <cell r="L449">
            <v>0.18364174643859923</v>
          </cell>
          <cell r="M449">
            <v>0.22409124585236018</v>
          </cell>
          <cell r="N449">
            <v>0.22449259873489591</v>
          </cell>
          <cell r="O449">
            <v>0.25511186899370758</v>
          </cell>
        </row>
        <row r="450">
          <cell r="A450" t="str">
            <v>V2G</v>
          </cell>
          <cell r="B450" t="str">
            <v>VAR_fin</v>
          </cell>
          <cell r="C450" t="str">
            <v>T-ELC-car-BatSTGOut_S3</v>
          </cell>
          <cell r="G450">
            <v>0.14848921820477431</v>
          </cell>
          <cell r="H450">
            <v>0.10049742253459963</v>
          </cell>
          <cell r="I450">
            <v>8.7258521235018219E-2</v>
          </cell>
          <cell r="J450">
            <v>5.6475195725834239E-2</v>
          </cell>
          <cell r="K450">
            <v>0.12067563604649963</v>
          </cell>
          <cell r="L450">
            <v>0.18710844053456144</v>
          </cell>
          <cell r="M450">
            <v>0.22343950188875072</v>
          </cell>
          <cell r="N450">
            <v>0.22007948375477582</v>
          </cell>
          <cell r="O450">
            <v>0.25572762106827845</v>
          </cell>
        </row>
        <row r="451">
          <cell r="A451" t="str">
            <v>V2G</v>
          </cell>
          <cell r="B451" t="str">
            <v>VAR_fin</v>
          </cell>
          <cell r="C451" t="str">
            <v>T-ELC-car-BatSTGOut_S4</v>
          </cell>
          <cell r="G451">
            <v>0.25204079956816644</v>
          </cell>
          <cell r="H451">
            <v>0.21083808527776224</v>
          </cell>
          <cell r="I451">
            <v>0.13845105592534215</v>
          </cell>
          <cell r="J451">
            <v>7.2443606502096053E-2</v>
          </cell>
          <cell r="K451">
            <v>0.17821997576901707</v>
          </cell>
          <cell r="L451">
            <v>0.29950380670835519</v>
          </cell>
          <cell r="M451">
            <v>0.38298628791931544</v>
          </cell>
          <cell r="N451">
            <v>0.37168733050025543</v>
          </cell>
          <cell r="O451">
            <v>0.4392181629281614</v>
          </cell>
        </row>
        <row r="452">
          <cell r="A452" t="str">
            <v>V2G</v>
          </cell>
          <cell r="B452" t="str">
            <v>VAR_fin</v>
          </cell>
          <cell r="C452" t="str">
            <v>T-ELC-car-PlgSTGOut_S1</v>
          </cell>
          <cell r="G452">
            <v>4.0328493312936117E-4</v>
          </cell>
          <cell r="H452">
            <v>1.1449706204759822E-3</v>
          </cell>
          <cell r="I452">
            <v>1.7950892432969374E-3</v>
          </cell>
          <cell r="J452">
            <v>2.5005487019594129E-3</v>
          </cell>
          <cell r="K452">
            <v>5.3179914235198219E-3</v>
          </cell>
          <cell r="L452">
            <v>5.926321993207688E-3</v>
          </cell>
          <cell r="M452">
            <v>7.3301802079825222E-3</v>
          </cell>
          <cell r="N452">
            <v>7.2507816435434152E-3</v>
          </cell>
          <cell r="O452">
            <v>9.7404173261909418E-3</v>
          </cell>
        </row>
        <row r="453">
          <cell r="A453" t="str">
            <v>V2G</v>
          </cell>
          <cell r="B453" t="str">
            <v>VAR_fin</v>
          </cell>
          <cell r="C453" t="str">
            <v>T-ELC-car-PlgSTGOut_S2</v>
          </cell>
          <cell r="G453">
            <v>2.0884635481206956E-4</v>
          </cell>
          <cell r="H453">
            <v>4.7629752107352508E-4</v>
          </cell>
          <cell r="I453">
            <v>8.6173153026733223E-4</v>
          </cell>
          <cell r="J453">
            <v>1.3560092594534403E-3</v>
          </cell>
          <cell r="K453">
            <v>3.4635982801675389E-3</v>
          </cell>
          <cell r="L453">
            <v>5.6864825280556093E-3</v>
          </cell>
          <cell r="M453">
            <v>3.0188464460127163E-3</v>
          </cell>
          <cell r="N453">
            <v>2.4670727746104303E-3</v>
          </cell>
          <cell r="O453">
            <v>4.0102186343642767E-3</v>
          </cell>
        </row>
        <row r="454">
          <cell r="A454" t="str">
            <v>V2G</v>
          </cell>
          <cell r="B454" t="str">
            <v>VAR_fin</v>
          </cell>
          <cell r="C454" t="str">
            <v>T-ELC-car-PlgSTGOut_S3</v>
          </cell>
          <cell r="G454">
            <v>0.37009747223773287</v>
          </cell>
          <cell r="H454">
            <v>0.1931056994184244</v>
          </cell>
          <cell r="I454">
            <v>4.7393082549908642E-2</v>
          </cell>
          <cell r="J454">
            <v>5.5420587276110378E-2</v>
          </cell>
          <cell r="K454">
            <v>0.21169645539286147</v>
          </cell>
          <cell r="L454">
            <v>0.46956512679726042</v>
          </cell>
          <cell r="M454">
            <v>0.5050706194473028</v>
          </cell>
          <cell r="N454">
            <v>0.51631563221512589</v>
          </cell>
          <cell r="O454">
            <v>4.4074138442937186E-2</v>
          </cell>
        </row>
        <row r="455">
          <cell r="A455" t="str">
            <v>V2G</v>
          </cell>
          <cell r="B455" t="str">
            <v>VAR_fin</v>
          </cell>
          <cell r="C455" t="str">
            <v>T-ELC-TWSTGout_S1</v>
          </cell>
          <cell r="G455">
            <v>2.3862211061220881E-3</v>
          </cell>
          <cell r="H455">
            <v>4.4934998910030576E-3</v>
          </cell>
          <cell r="I455">
            <v>4.1227640281938146E-3</v>
          </cell>
          <cell r="J455">
            <v>4.436756419298863E-3</v>
          </cell>
          <cell r="K455">
            <v>9.1079568009752032E-3</v>
          </cell>
          <cell r="L455">
            <v>6.6538770445759461E-3</v>
          </cell>
          <cell r="M455">
            <v>1.18156877003401E-2</v>
          </cell>
          <cell r="N455">
            <v>8.7658399146449493E-3</v>
          </cell>
          <cell r="O455">
            <v>1.9709399179572661E-2</v>
          </cell>
        </row>
        <row r="456">
          <cell r="A456" t="str">
            <v>V2G</v>
          </cell>
          <cell r="B456" t="str">
            <v>VAR_fin</v>
          </cell>
          <cell r="C456" t="str">
            <v>T-ELC-car-PlgSTGOut_S4</v>
          </cell>
          <cell r="G456">
            <v>1.7780656155141734E-4</v>
          </cell>
          <cell r="H456">
            <v>0.22759270521820507</v>
          </cell>
          <cell r="I456">
            <v>0.19204247318697565</v>
          </cell>
          <cell r="J456">
            <v>0.13339038338071263</v>
          </cell>
          <cell r="K456">
            <v>0.44469350031557525</v>
          </cell>
          <cell r="L456">
            <v>0.51484303420293387</v>
          </cell>
          <cell r="M456">
            <v>0.53817785447608946</v>
          </cell>
          <cell r="N456">
            <v>0.43430412314292077</v>
          </cell>
          <cell r="O456">
            <v>0.4911779050119674</v>
          </cell>
        </row>
        <row r="457">
          <cell r="A457" t="str">
            <v>V2G</v>
          </cell>
          <cell r="B457" t="str">
            <v>VAR_fin</v>
          </cell>
          <cell r="C457" t="str">
            <v>T-ELC-TWSTGout_S2</v>
          </cell>
          <cell r="G457">
            <v>3.1236888966319353E-3</v>
          </cell>
          <cell r="H457">
            <v>5.3797566137518222E-3</v>
          </cell>
          <cell r="I457">
            <v>5.2121189707479542E-3</v>
          </cell>
          <cell r="J457">
            <v>4.8876449849696666E-3</v>
          </cell>
          <cell r="K457">
            <v>9.8835809014700248E-3</v>
          </cell>
          <cell r="L457">
            <v>8.5622996310249465E-3</v>
          </cell>
          <cell r="M457">
            <v>1.3872722269548591E-2</v>
          </cell>
          <cell r="N457">
            <v>1.0650180414059776E-2</v>
          </cell>
          <cell r="O457">
            <v>2.2060815368303188E-2</v>
          </cell>
        </row>
        <row r="458">
          <cell r="A458" t="str">
            <v>V2G</v>
          </cell>
          <cell r="B458" t="str">
            <v>VAR_fin</v>
          </cell>
          <cell r="C458" t="str">
            <v>T-ELC-TWSTGout_S3</v>
          </cell>
          <cell r="G458">
            <v>3.7641667471243444E-3</v>
          </cell>
          <cell r="H458">
            <v>8.9241276046009739E-3</v>
          </cell>
          <cell r="I458">
            <v>8.6342372985056658E-3</v>
          </cell>
          <cell r="J458">
            <v>7.5246052122944201E-3</v>
          </cell>
          <cell r="K458">
            <v>1.6072093828748465E-2</v>
          </cell>
          <cell r="L458">
            <v>1.2418012727227444E-2</v>
          </cell>
          <cell r="M458">
            <v>1.7679010886464872E-2</v>
          </cell>
          <cell r="N458">
            <v>1.7438075396951812E-2</v>
          </cell>
          <cell r="O458">
            <v>3.1558512233601406E-2</v>
          </cell>
        </row>
        <row r="459">
          <cell r="A459" t="str">
            <v>V2G</v>
          </cell>
          <cell r="B459" t="str">
            <v>VAR_fin</v>
          </cell>
          <cell r="C459" t="str">
            <v>T-ELC-TWSTGout_S4</v>
          </cell>
          <cell r="G459">
            <v>4.4027194448662647E-3</v>
          </cell>
          <cell r="H459">
            <v>9.1014168720273472E-3</v>
          </cell>
          <cell r="I459">
            <v>1.0198104286843129E-2</v>
          </cell>
          <cell r="J459">
            <v>1.0346421659952438E-2</v>
          </cell>
          <cell r="K459">
            <v>1.902451340542257E-2</v>
          </cell>
          <cell r="L459">
            <v>1.5607579197777858E-2</v>
          </cell>
          <cell r="M459">
            <v>2.3571073362178382E-2</v>
          </cell>
          <cell r="N459">
            <v>2.2331259074532935E-2</v>
          </cell>
          <cell r="O459">
            <v>4.1392918203100093E-2</v>
          </cell>
        </row>
        <row r="460">
          <cell r="A460" t="str">
            <v>V2G</v>
          </cell>
          <cell r="B460" t="str">
            <v>VAR_fin</v>
          </cell>
          <cell r="C460" t="str">
            <v>T-ELC-Bus_u_BatSTGout_S1</v>
          </cell>
          <cell r="G460">
            <v>1.4222508362114067E-4</v>
          </cell>
          <cell r="H460">
            <v>2.7790003224805425E-4</v>
          </cell>
          <cell r="I460">
            <v>2.348246608519777E-4</v>
          </cell>
          <cell r="J460">
            <v>3.1965600805482745E-4</v>
          </cell>
          <cell r="K460">
            <v>7.3106238548429909E-4</v>
          </cell>
          <cell r="L460">
            <v>4.9976311076552074E-4</v>
          </cell>
          <cell r="M460">
            <v>9.2845658261644058E-4</v>
          </cell>
          <cell r="N460">
            <v>7.198588810759072E-4</v>
          </cell>
          <cell r="O460">
            <v>1.8197483011149259E-3</v>
          </cell>
        </row>
        <row r="461">
          <cell r="A461" t="str">
            <v>V2G</v>
          </cell>
          <cell r="B461" t="str">
            <v>VAR_fin</v>
          </cell>
          <cell r="C461" t="str">
            <v>T-ELC-Bus_u_BatSTGout_S2</v>
          </cell>
          <cell r="G461">
            <v>1.2168026207924711E-4</v>
          </cell>
          <cell r="H461">
            <v>2.3329672724596473E-4</v>
          </cell>
          <cell r="I461">
            <v>2.1550367623513584E-4</v>
          </cell>
          <cell r="J461">
            <v>2.8793927281560726E-4</v>
          </cell>
          <cell r="K461">
            <v>6.5458300888227049E-4</v>
          </cell>
          <cell r="L461">
            <v>4.5749962579947283E-4</v>
          </cell>
          <cell r="M461">
            <v>8.6428190355190154E-4</v>
          </cell>
          <cell r="N461">
            <v>6.3671779723168331E-4</v>
          </cell>
          <cell r="O461">
            <v>1.556510170527564E-3</v>
          </cell>
        </row>
        <row r="462">
          <cell r="A462" t="str">
            <v>V2G</v>
          </cell>
          <cell r="B462" t="str">
            <v>VAR_fin</v>
          </cell>
          <cell r="C462" t="str">
            <v>T-ELC-Bus_u_BatSTGout_S3</v>
          </cell>
          <cell r="G462">
            <v>5.798342335899956E-5</v>
          </cell>
          <cell r="H462">
            <v>9.7268703787672052E-5</v>
          </cell>
          <cell r="I462">
            <v>1.008479952785122E-4</v>
          </cell>
          <cell r="J462">
            <v>1.4097439143416553E-4</v>
          </cell>
          <cell r="K462">
            <v>3.2742493535926518E-4</v>
          </cell>
          <cell r="L462">
            <v>2.1364164913731737E-4</v>
          </cell>
          <cell r="M462">
            <v>3.3442743633225178E-4</v>
          </cell>
          <cell r="N462">
            <v>2.7958675538015151E-4</v>
          </cell>
          <cell r="O462">
            <v>6.0845358940798673E-4</v>
          </cell>
        </row>
        <row r="463">
          <cell r="A463" t="str">
            <v>V2G</v>
          </cell>
          <cell r="B463" t="str">
            <v>VAR_fin</v>
          </cell>
          <cell r="C463" t="str">
            <v>T-ELC-Bus_u_BatSTGout_S4</v>
          </cell>
          <cell r="G463">
            <v>1.4068059697101116E-4</v>
          </cell>
          <cell r="H463">
            <v>1.8605847543198812E-4</v>
          </cell>
          <cell r="I463">
            <v>2.2543680893699511E-4</v>
          </cell>
          <cell r="J463">
            <v>2.5336483125330139E-4</v>
          </cell>
          <cell r="K463">
            <v>5.9805697866446416E-4</v>
          </cell>
          <cell r="L463">
            <v>4.341735700976588E-4</v>
          </cell>
          <cell r="M463">
            <v>5.9239520191848899E-4</v>
          </cell>
          <cell r="N463">
            <v>6.2142301326914041E-4</v>
          </cell>
          <cell r="O463">
            <v>1.1083291366478683E-3</v>
          </cell>
        </row>
        <row r="464">
          <cell r="A464" t="str">
            <v>V2G</v>
          </cell>
          <cell r="B464" t="str">
            <v>VAR_fin</v>
          </cell>
          <cell r="C464" t="str">
            <v>T-ELC-LGV_BatSTGout</v>
          </cell>
          <cell r="G464">
            <v>7.1008568778172833E-4</v>
          </cell>
          <cell r="H464">
            <v>8.8810183154236597E-4</v>
          </cell>
          <cell r="I464">
            <v>7.0686278264181447E-4</v>
          </cell>
          <cell r="J464">
            <v>8.115891939788635E-4</v>
          </cell>
          <cell r="K464">
            <v>1.6599686477984995E-3</v>
          </cell>
          <cell r="L464">
            <v>9.6894929261866236E-4</v>
          </cell>
          <cell r="M464">
            <v>1.8093284543085357E-3</v>
          </cell>
          <cell r="N464">
            <v>1.2686299925596721E-3</v>
          </cell>
          <cell r="O464">
            <v>2.9838081199152437E-3</v>
          </cell>
        </row>
        <row r="465">
          <cell r="A465" t="str">
            <v>V2G</v>
          </cell>
          <cell r="B465" t="str">
            <v>VAR_fin</v>
          </cell>
          <cell r="C465" t="str">
            <v>T-ELC-HGV_BatSTGout</v>
          </cell>
          <cell r="G465">
            <v>5.6185446009144235E-4</v>
          </cell>
          <cell r="H465">
            <v>9.9166298930337959E-4</v>
          </cell>
          <cell r="I465">
            <v>1.1239954766408913E-3</v>
          </cell>
          <cell r="J465">
            <v>9.490912027580637E-4</v>
          </cell>
          <cell r="K465">
            <v>1.6567385904116196E-3</v>
          </cell>
          <cell r="L465">
            <v>1.2158711374652459E-3</v>
          </cell>
          <cell r="M465">
            <v>1.7838367470082211E-3</v>
          </cell>
          <cell r="N465">
            <v>2.241291358359643E-3</v>
          </cell>
          <cell r="O465">
            <v>5.8366008632781676E-3</v>
          </cell>
        </row>
        <row r="466">
          <cell r="A466" t="str">
            <v>V2G</v>
          </cell>
          <cell r="B466" t="str">
            <v>VAR_ncap</v>
          </cell>
          <cell r="C466" t="str">
            <v>-</v>
          </cell>
          <cell r="G466">
            <v>0.24377725084031801</v>
          </cell>
          <cell r="H466">
            <v>3.0640345940787302E-2</v>
          </cell>
          <cell r="I466">
            <v>0.114291724000013</v>
          </cell>
          <cell r="J466">
            <v>0.275560873754499</v>
          </cell>
          <cell r="K466">
            <v>5.0413931730110598E-4</v>
          </cell>
          <cell r="L466">
            <v>0.28857239624308501</v>
          </cell>
          <cell r="M466">
            <v>0.52085242212911598</v>
          </cell>
          <cell r="N466">
            <v>0.73790691360863603</v>
          </cell>
          <cell r="O466">
            <v>0.327954450345049</v>
          </cell>
        </row>
        <row r="467">
          <cell r="A467" t="str">
            <v>V2G</v>
          </cell>
          <cell r="B467" t="str">
            <v>VAR_cap</v>
          </cell>
          <cell r="C467" t="str">
            <v>-</v>
          </cell>
          <cell r="G467">
            <v>0.24377725084031801</v>
          </cell>
          <cell r="H467">
            <v>0.27440992331374775</v>
          </cell>
          <cell r="I467">
            <v>0.34231566749775766</v>
          </cell>
          <cell r="J467">
            <v>0.42048304054614349</v>
          </cell>
          <cell r="K467">
            <v>0.39033641024698618</v>
          </cell>
          <cell r="L467">
            <v>0.54566835544245773</v>
          </cell>
          <cell r="M467">
            <v>0.80990939799777484</v>
          </cell>
          <cell r="N467">
            <v>1.4559112731751518</v>
          </cell>
          <cell r="O467">
            <v>1.5866917614560427</v>
          </cell>
        </row>
        <row r="468">
          <cell r="A468" t="str">
            <v>TPSHPELCEXT</v>
          </cell>
          <cell r="B468" t="str">
            <v>VAR_fout</v>
          </cell>
          <cell r="C468" t="str">
            <v>TPSHP</v>
          </cell>
          <cell r="E468">
            <v>4.5411217346278097E-6</v>
          </cell>
          <cell r="F468">
            <v>2.1664374999887301E-5</v>
          </cell>
          <cell r="G468">
            <v>3.7834472363513E-5</v>
          </cell>
          <cell r="H468">
            <v>1.7428980985110799E-4</v>
          </cell>
          <cell r="I468">
            <v>1.46643113802717</v>
          </cell>
          <cell r="J468">
            <v>3.2925101455066601</v>
          </cell>
          <cell r="K468">
            <v>4.0377980115369603</v>
          </cell>
          <cell r="L468">
            <v>4.0380067031855198</v>
          </cell>
          <cell r="M468">
            <v>10.535508976982801</v>
          </cell>
          <cell r="N468">
            <v>14.132312039673</v>
          </cell>
          <cell r="O468">
            <v>14.1322929819981</v>
          </cell>
        </row>
        <row r="469">
          <cell r="A469" t="str">
            <v>TPSHPELCEXT</v>
          </cell>
          <cell r="B469" t="str">
            <v>VAR_fin</v>
          </cell>
          <cell r="C469" t="str">
            <v>TELC</v>
          </cell>
          <cell r="E469">
            <v>1.8404546237257952E-6</v>
          </cell>
          <cell r="F469">
            <v>8.780275330350784E-6</v>
          </cell>
          <cell r="G469">
            <v>1.5333794966710099E-5</v>
          </cell>
          <cell r="H469">
            <v>7.0637279763444475E-5</v>
          </cell>
          <cell r="I469">
            <v>0.59432451409030462</v>
          </cell>
          <cell r="J469">
            <v>1.3344093981789062</v>
          </cell>
          <cell r="K469">
            <v>1.6364643923409719</v>
          </cell>
          <cell r="L469">
            <v>1.6365489722161475</v>
          </cell>
          <cell r="M469">
            <v>4.2698979113762858</v>
          </cell>
          <cell r="N469">
            <v>5.7276330733476426</v>
          </cell>
          <cell r="O469">
            <v>5.7276253495322393</v>
          </cell>
        </row>
        <row r="470">
          <cell r="A470" t="str">
            <v>TPSHPELCEXT</v>
          </cell>
          <cell r="B470" t="str">
            <v>VAR_ncap</v>
          </cell>
          <cell r="C470" t="str">
            <v>-</v>
          </cell>
          <cell r="D470">
            <v>1.0050796574989301E-6</v>
          </cell>
          <cell r="E470">
            <v>1.8097084855119399E-6</v>
          </cell>
          <cell r="F470">
            <v>2.0075594269879098E-6</v>
          </cell>
          <cell r="G470">
            <v>5.3000448563647402E-6</v>
          </cell>
          <cell r="H470">
            <v>1.5614731672226799E-4</v>
          </cell>
          <cell r="I470">
            <v>1.4662626739059099</v>
          </cell>
          <cell r="J470">
            <v>1.82609017568899</v>
          </cell>
          <cell r="K470">
            <v>0.74528437254949298</v>
          </cell>
          <cell r="L470">
            <v>0.194603019327415</v>
          </cell>
          <cell r="M470">
            <v>7.7695382850935903</v>
          </cell>
          <cell r="N470">
            <v>5.4229019564609002</v>
          </cell>
          <cell r="O470">
            <v>0.74526148425984995</v>
          </cell>
        </row>
        <row r="471">
          <cell r="A471" t="str">
            <v>TPSHPELCEXT</v>
          </cell>
          <cell r="B471" t="str">
            <v>VAR_cap</v>
          </cell>
          <cell r="C471" t="str">
            <v>-</v>
          </cell>
          <cell r="D471">
            <v>1.0050796574989301E-6</v>
          </cell>
          <cell r="E471">
            <v>1.3960474799727498E-6</v>
          </cell>
          <cell r="F471">
            <v>5.4010183352168029E-7</v>
          </cell>
          <cell r="G471">
            <v>4.3748219124217605E-6</v>
          </cell>
          <cell r="H471">
            <v>1.5757060395097527E-4</v>
          </cell>
          <cell r="I471">
            <v>1.4664192272928436</v>
          </cell>
          <cell r="J471">
            <v>3.2925050359135852</v>
          </cell>
          <cell r="K471">
            <v>4.0377766552370238</v>
          </cell>
          <cell r="L471">
            <v>4.0379967545777884</v>
          </cell>
          <cell r="M471">
            <v>10.535490779126174</v>
          </cell>
          <cell r="N471">
            <v>14.132302303004879</v>
          </cell>
          <cell r="O471">
            <v>14.132275342554358</v>
          </cell>
        </row>
        <row r="472">
          <cell r="A472" t="str">
            <v>TFLGV-ICEGSL</v>
          </cell>
          <cell r="B472" t="str">
            <v>VAR_fout</v>
          </cell>
          <cell r="C472" t="str">
            <v>CO2_T</v>
          </cell>
          <cell r="D472">
            <v>27.70399390343152</v>
          </cell>
          <cell r="E472">
            <v>42.648628773986765</v>
          </cell>
          <cell r="F472">
            <v>68.653041216678986</v>
          </cell>
          <cell r="G472">
            <v>108.85064343768353</v>
          </cell>
          <cell r="H472">
            <v>146.29222775341921</v>
          </cell>
          <cell r="I472">
            <v>87.422896825263152</v>
          </cell>
          <cell r="J472">
            <v>96.155888323175375</v>
          </cell>
          <cell r="K472">
            <v>105.9088328830276</v>
          </cell>
          <cell r="L472">
            <v>106.42575300701751</v>
          </cell>
          <cell r="M472">
            <v>107.708610782741</v>
          </cell>
          <cell r="N472">
            <v>107.72755534714227</v>
          </cell>
          <cell r="O472">
            <v>107.9328612853523</v>
          </cell>
        </row>
        <row r="473">
          <cell r="A473" t="str">
            <v>TFLGV-ICEGSL</v>
          </cell>
          <cell r="B473" t="str">
            <v>VAR_fout</v>
          </cell>
          <cell r="C473" t="str">
            <v>TFLGV</v>
          </cell>
          <cell r="D473">
            <v>0.1318490926000076</v>
          </cell>
          <cell r="E473">
            <v>0.20297373093878079</v>
          </cell>
          <cell r="F473">
            <v>0.32673416043196735</v>
          </cell>
          <cell r="G473">
            <v>0.51804294414055108</v>
          </cell>
          <cell r="H473">
            <v>0.69623526307998596</v>
          </cell>
          <cell r="I473">
            <v>0.41606382310989842</v>
          </cell>
          <cell r="J473">
            <v>0.45762595341850654</v>
          </cell>
          <cell r="K473">
            <v>0.50404225335262631</v>
          </cell>
          <cell r="L473">
            <v>0.50650238417464177</v>
          </cell>
          <cell r="M473">
            <v>0.5126077722372292</v>
          </cell>
          <cell r="N473">
            <v>0.51269793337553693</v>
          </cell>
          <cell r="O473">
            <v>0.51367502721091396</v>
          </cell>
        </row>
        <row r="474">
          <cell r="A474" t="str">
            <v>TFLGV-ICEGSL</v>
          </cell>
          <cell r="B474" t="str">
            <v>VAR_fin</v>
          </cell>
          <cell r="C474" t="str">
            <v>TGSL</v>
          </cell>
          <cell r="D474">
            <v>0.37539287132021076</v>
          </cell>
          <cell r="E474">
            <v>0.57789469883450884</v>
          </cell>
          <cell r="F474">
            <v>0.93025801106611183</v>
          </cell>
          <cell r="G474">
            <v>1.4749409679902923</v>
          </cell>
          <cell r="H474">
            <v>1.9822795088539191</v>
          </cell>
          <cell r="I474">
            <v>1.1845920979032967</v>
          </cell>
          <cell r="J474">
            <v>1.3029253160321868</v>
          </cell>
          <cell r="K474">
            <v>1.435079036355388</v>
          </cell>
          <cell r="L474">
            <v>1.4420833740788295</v>
          </cell>
          <cell r="M474">
            <v>1.4594662707688477</v>
          </cell>
          <cell r="N474">
            <v>1.4597229721835006</v>
          </cell>
          <cell r="O474">
            <v>1.4625048954654787</v>
          </cell>
        </row>
        <row r="475">
          <cell r="A475" t="str">
            <v>TFLGV-ICEGSL</v>
          </cell>
          <cell r="B475" t="str">
            <v>VAR_ncap</v>
          </cell>
          <cell r="C475" t="str">
            <v>-</v>
          </cell>
          <cell r="E475">
            <v>4.9202119972263299E-5</v>
          </cell>
          <cell r="F475">
            <v>1.2381862156651101E-2</v>
          </cell>
          <cell r="G475">
            <v>2.7489912015330801E-2</v>
          </cell>
          <cell r="H475">
            <v>3.5418389564346099E-2</v>
          </cell>
          <cell r="I475">
            <v>1.6039701622179301E-4</v>
          </cell>
          <cell r="J475">
            <v>2.69792410571872E-2</v>
          </cell>
          <cell r="K475">
            <v>2.30402700267812E-2</v>
          </cell>
          <cell r="L475">
            <v>1.4950105390136199E-2</v>
          </cell>
          <cell r="M475">
            <v>2.3442337197778901E-2</v>
          </cell>
          <cell r="N475">
            <v>2.4153935281268499E-2</v>
          </cell>
          <cell r="O475">
            <v>1.0179364800589201E-2</v>
          </cell>
        </row>
        <row r="476">
          <cell r="A476" t="str">
            <v>TFLGV-ICEGSL</v>
          </cell>
          <cell r="B476" t="str">
            <v>VAR_cap</v>
          </cell>
          <cell r="C476" t="str">
            <v>-</v>
          </cell>
          <cell r="D476">
            <v>1.243488945528822E-2</v>
          </cell>
          <cell r="E476">
            <v>1.4171202119972262E-2</v>
          </cell>
          <cell r="F476">
            <v>2.6553052347534589E-2</v>
          </cell>
          <cell r="G476">
            <v>4.7614131222167434E-2</v>
          </cell>
          <cell r="H476">
            <v>6.9252060561603671E-2</v>
          </cell>
          <cell r="I476">
            <v>4.1351552636726858E-2</v>
          </cell>
          <cell r="J476">
            <v>4.550443034957969E-2</v>
          </cell>
          <cell r="K476">
            <v>5.0074269104577178E-2</v>
          </cell>
          <cell r="L476">
            <v>5.0125897063390636E-2</v>
          </cell>
          <cell r="M476">
            <v>5.01969338931334E-2</v>
          </cell>
          <cell r="N476">
            <v>5.0244234767734118E-2</v>
          </cell>
          <cell r="O476">
            <v>5.0153574176914691E-2</v>
          </cell>
        </row>
        <row r="477">
          <cell r="A477" t="str">
            <v>T_C-ICE-GSL-S2</v>
          </cell>
          <cell r="B477" t="str">
            <v>VAR_fout</v>
          </cell>
          <cell r="C477" t="str">
            <v>CO2_T</v>
          </cell>
          <cell r="D477">
            <v>278.11965250991858</v>
          </cell>
          <cell r="E477">
            <v>391.67082131545175</v>
          </cell>
          <cell r="F477">
            <v>387.90269657448886</v>
          </cell>
          <cell r="G477">
            <v>304.39481739282661</v>
          </cell>
          <cell r="H477">
            <v>13.301371366005142</v>
          </cell>
          <cell r="I477">
            <v>0.88262765930584486</v>
          </cell>
          <cell r="J477">
            <v>0.38748095519926551</v>
          </cell>
          <cell r="K477">
            <v>0.19098737106100178</v>
          </cell>
          <cell r="L477">
            <v>9.7717200355694006E-2</v>
          </cell>
          <cell r="M477">
            <v>9.3097213556172592E-2</v>
          </cell>
          <cell r="N477">
            <v>0.10536809270457392</v>
          </cell>
          <cell r="O477">
            <v>0.1292138951000959</v>
          </cell>
        </row>
        <row r="478">
          <cell r="A478" t="str">
            <v>T_C-ICE-GSL-S2</v>
          </cell>
          <cell r="B478" t="str">
            <v>VAR_fout</v>
          </cell>
          <cell r="C478" t="str">
            <v>TPCAR</v>
          </cell>
          <cell r="D478">
            <v>2.284763977425694</v>
          </cell>
          <cell r="E478">
            <v>3.2079783132157216</v>
          </cell>
          <cell r="F478">
            <v>3.1765765677489064</v>
          </cell>
          <cell r="G478">
            <v>2.5119505714125241</v>
          </cell>
          <cell r="H478">
            <v>0.10781871795567113</v>
          </cell>
          <cell r="I478">
            <v>6.1285597508036376E-3</v>
          </cell>
          <cell r="J478">
            <v>2.7827355425350917E-3</v>
          </cell>
          <cell r="K478">
            <v>1.4812148073628296E-3</v>
          </cell>
          <cell r="L478">
            <v>8.2596430285165195E-4</v>
          </cell>
          <cell r="M478">
            <v>8.760273007959278E-4</v>
          </cell>
          <cell r="N478">
            <v>1.0344282813159215E-3</v>
          </cell>
          <cell r="O478">
            <v>1.2903559752439498E-3</v>
          </cell>
        </row>
        <row r="479">
          <cell r="A479" t="str">
            <v>T_C-ICE-GSL-S2</v>
          </cell>
          <cell r="B479" t="str">
            <v>VAR_fin</v>
          </cell>
          <cell r="C479" t="str">
            <v>TGSL</v>
          </cell>
          <cell r="D479">
            <v>3.7685589770991683</v>
          </cell>
          <cell r="E479">
            <v>5.3071927007513668</v>
          </cell>
          <cell r="F479">
            <v>5.2561340999253181</v>
          </cell>
          <cell r="G479">
            <v>4.1245910215830195</v>
          </cell>
          <cell r="H479">
            <v>0.18023538436321299</v>
          </cell>
          <cell r="I479">
            <v>1.1959724380838022E-2</v>
          </cell>
          <cell r="J479">
            <v>5.2504194471445064E-3</v>
          </cell>
          <cell r="K479">
            <v>2.5879047569241443E-3</v>
          </cell>
          <cell r="L479">
            <v>1.3240813056327096E-3</v>
          </cell>
          <cell r="M479">
            <v>1.2614798584847234E-3</v>
          </cell>
          <cell r="N479">
            <v>1.427751933666313E-3</v>
          </cell>
          <cell r="O479">
            <v>1.7508657872641706E-3</v>
          </cell>
        </row>
        <row r="480">
          <cell r="A480" t="str">
            <v>T_C-ICE-GSL-S2</v>
          </cell>
          <cell r="B480" t="str">
            <v>VAR_ncap</v>
          </cell>
          <cell r="C480" t="str">
            <v>-</v>
          </cell>
          <cell r="E480">
            <v>2.7417793905789201E-5</v>
          </cell>
          <cell r="F480">
            <v>9.9342238498275693E-4</v>
          </cell>
          <cell r="G480">
            <v>2.72736749702466E-4</v>
          </cell>
          <cell r="H480">
            <v>2.1152442337580199E-4</v>
          </cell>
          <cell r="I480">
            <v>1.40562155855358E-4</v>
          </cell>
          <cell r="J480">
            <v>3.3813636854441798E-5</v>
          </cell>
          <cell r="K480">
            <v>3.2753389091316E-5</v>
          </cell>
          <cell r="L480">
            <v>2.3288427362201601E-5</v>
          </cell>
          <cell r="M480">
            <v>3.9181652365687298E-5</v>
          </cell>
          <cell r="N480">
            <v>4.2083876554700599E-5</v>
          </cell>
          <cell r="O480">
            <v>4.74510053721421E-5</v>
          </cell>
        </row>
        <row r="481">
          <cell r="A481" t="str">
            <v>T_C-ICE-GSL-S2</v>
          </cell>
          <cell r="B481" t="str">
            <v>VAR_cap</v>
          </cell>
          <cell r="C481" t="str">
            <v>-</v>
          </cell>
          <cell r="D481">
            <v>0.21742994431720739</v>
          </cell>
          <cell r="E481">
            <v>0.24339913039368458</v>
          </cell>
          <cell r="F481">
            <v>0.24103412375152744</v>
          </cell>
          <cell r="G481">
            <v>0.19075499778060809</v>
          </cell>
          <cell r="H481">
            <v>1.1276039056258893E-2</v>
          </cell>
          <cell r="I481">
            <v>5.4259649063397508E-4</v>
          </cell>
          <cell r="J481">
            <v>2.7767081649220527E-4</v>
          </cell>
          <cell r="K481">
            <v>1.4341855407231784E-4</v>
          </cell>
          <cell r="L481">
            <v>7.9966091289920027E-5</v>
          </cell>
          <cell r="M481">
            <v>8.2687641888627472E-5</v>
          </cell>
          <cell r="N481">
            <v>9.9881537071942517E-5</v>
          </cell>
          <cell r="O481">
            <v>1.2868640098786908E-4</v>
          </cell>
        </row>
        <row r="482">
          <cell r="A482" t="str">
            <v>T_C-ICE-DSL-S1</v>
          </cell>
          <cell r="B482" t="str">
            <v>VAR_fout</v>
          </cell>
          <cell r="C482" t="str">
            <v>CO2_T</v>
          </cell>
          <cell r="D482">
            <v>0.3753052343114569</v>
          </cell>
          <cell r="E482">
            <v>0.45156777409128102</v>
          </cell>
          <cell r="F482">
            <v>0.35921255696715859</v>
          </cell>
          <cell r="G482">
            <v>0.31350842700449838</v>
          </cell>
          <cell r="H482">
            <v>0.18881728478603593</v>
          </cell>
          <cell r="I482">
            <v>3.275487329497667</v>
          </cell>
          <cell r="J482">
            <v>2.7253034090172399</v>
          </cell>
          <cell r="K482">
            <v>1.9533240251906354</v>
          </cell>
          <cell r="L482">
            <v>0.27259278659057024</v>
          </cell>
          <cell r="M482">
            <v>2.6231371371668269E-2</v>
          </cell>
          <cell r="N482">
            <v>1.5076933225654308E-2</v>
          </cell>
          <cell r="O482">
            <v>1.322756212966327E-2</v>
          </cell>
        </row>
        <row r="483">
          <cell r="A483" t="str">
            <v>T_C-ICE-DSL-S1</v>
          </cell>
          <cell r="B483" t="str">
            <v>VAR_fout</v>
          </cell>
          <cell r="C483" t="str">
            <v>TPCAR</v>
          </cell>
          <cell r="D483">
            <v>3.8419180353626856E-3</v>
          </cell>
          <cell r="E483">
            <v>4.7703164408162534E-3</v>
          </cell>
          <cell r="F483">
            <v>3.8202675318241542E-3</v>
          </cell>
          <cell r="G483">
            <v>3.2808710713821449E-3</v>
          </cell>
          <cell r="H483">
            <v>1.7517289752840559E-3</v>
          </cell>
          <cell r="I483">
            <v>3.0870120068350514E-2</v>
          </cell>
          <cell r="J483">
            <v>2.5723757792291989E-2</v>
          </cell>
          <cell r="K483">
            <v>1.8495713916267045E-2</v>
          </cell>
          <cell r="L483">
            <v>2.6204241654537897E-3</v>
          </cell>
          <cell r="M483">
            <v>2.9163456189328123E-4</v>
          </cell>
          <cell r="N483">
            <v>1.7629213129051794E-4</v>
          </cell>
          <cell r="O483">
            <v>1.6035528971768492E-4</v>
          </cell>
        </row>
        <row r="484">
          <cell r="A484" t="str">
            <v>T_C-ICE-DSL-S1</v>
          </cell>
          <cell r="B484" t="str">
            <v>VAR_fin</v>
          </cell>
          <cell r="C484" t="str">
            <v>TDSL</v>
          </cell>
          <cell r="D484">
            <v>5.1201259796924466E-3</v>
          </cell>
          <cell r="E484">
            <v>6.1605426206177618E-3</v>
          </cell>
          <cell r="F484">
            <v>4.9005805861822528E-3</v>
          </cell>
          <cell r="G484">
            <v>4.2770590314392728E-3</v>
          </cell>
          <cell r="H484">
            <v>2.5759520434657074E-3</v>
          </cell>
          <cell r="I484">
            <v>4.4686048151400592E-2</v>
          </cell>
          <cell r="J484">
            <v>3.718012836312732E-2</v>
          </cell>
          <cell r="K484">
            <v>2.664834959332377E-2</v>
          </cell>
          <cell r="L484">
            <v>3.7188647556694425E-3</v>
          </cell>
          <cell r="M484">
            <v>3.5786318378810831E-4</v>
          </cell>
          <cell r="N484">
            <v>2.0568803854917236E-4</v>
          </cell>
          <cell r="O484">
            <v>1.8045787352883032E-4</v>
          </cell>
        </row>
        <row r="485">
          <cell r="A485" t="str">
            <v>T_C-ICE-DSL-S1</v>
          </cell>
          <cell r="B485" t="str">
            <v>VAR_ncap</v>
          </cell>
          <cell r="C485" t="str">
            <v>-</v>
          </cell>
          <cell r="E485">
            <v>4.0914287042479502E-5</v>
          </cell>
          <cell r="F485">
            <v>6.1599732374052806E-5</v>
          </cell>
          <cell r="G485">
            <v>8.0124271897764294E-5</v>
          </cell>
          <cell r="H485">
            <v>1.41548323972097E-4</v>
          </cell>
          <cell r="I485">
            <v>4.6619616464501201E-3</v>
          </cell>
          <cell r="J485">
            <v>2.5370784334639099E-5</v>
          </cell>
          <cell r="K485">
            <v>3.7950980437237901E-5</v>
          </cell>
          <cell r="L485">
            <v>1.04172658247211E-5</v>
          </cell>
          <cell r="M485">
            <v>6.8441196841155303E-6</v>
          </cell>
          <cell r="N485">
            <v>6.5949514433037101E-6</v>
          </cell>
          <cell r="O485">
            <v>8.3876241909220104E-6</v>
          </cell>
        </row>
        <row r="486">
          <cell r="A486" t="str">
            <v>T_C-ICE-DSL-S1</v>
          </cell>
          <cell r="B486" t="str">
            <v>VAR_cap</v>
          </cell>
          <cell r="C486" t="str">
            <v>-</v>
          </cell>
          <cell r="D486">
            <v>4.4437778687351088E-4</v>
          </cell>
          <cell r="E486">
            <v>5.1332960745450182E-4</v>
          </cell>
          <cell r="F486">
            <v>5.6856626049126501E-4</v>
          </cell>
          <cell r="G486">
            <v>4.9125251776082853E-4</v>
          </cell>
          <cell r="H486">
            <v>2.593225966062744E-4</v>
          </cell>
          <cell r="I486">
            <v>4.686134426161997E-3</v>
          </cell>
          <cell r="J486">
            <v>3.9052649072712966E-3</v>
          </cell>
          <cell r="K486">
            <v>2.805799842546336E-3</v>
          </cell>
          <cell r="L486">
            <v>3.9440700516856278E-4</v>
          </cell>
          <cell r="M486">
            <v>4.0427013272661369E-5</v>
          </cell>
          <cell r="N486">
            <v>2.3672655683518259E-5</v>
          </cell>
          <cell r="O486">
            <v>2.1785774300111162E-5</v>
          </cell>
        </row>
        <row r="487">
          <cell r="A487" t="str">
            <v>T_C-ICE-GSL-S3</v>
          </cell>
          <cell r="B487" t="str">
            <v>VAR_fout</v>
          </cell>
          <cell r="C487" t="str">
            <v>CO2_T</v>
          </cell>
          <cell r="D487">
            <v>278.88981330924298</v>
          </cell>
          <cell r="E487">
            <v>423.69937707846185</v>
          </cell>
          <cell r="F487">
            <v>558.11058959033812</v>
          </cell>
          <cell r="G487">
            <v>462.44289595880571</v>
          </cell>
          <cell r="H487">
            <v>170.78373440550584</v>
          </cell>
          <cell r="I487">
            <v>71.722772965505101</v>
          </cell>
          <cell r="J487">
            <v>40.346192624850211</v>
          </cell>
          <cell r="K487">
            <v>1.2160883096097963</v>
          </cell>
          <cell r="L487">
            <v>0.26048978185724031</v>
          </cell>
          <cell r="M487">
            <v>0.16599096045367712</v>
          </cell>
          <cell r="N487">
            <v>0.17743524345527537</v>
          </cell>
          <cell r="O487">
            <v>0.19048298539502828</v>
          </cell>
        </row>
        <row r="488">
          <cell r="A488" t="str">
            <v>T_C-ICE-GSL-S3</v>
          </cell>
          <cell r="B488" t="str">
            <v>VAR_fout</v>
          </cell>
          <cell r="C488" t="str">
            <v>TPCAR</v>
          </cell>
          <cell r="D488">
            <v>1.9524974369843293</v>
          </cell>
          <cell r="E488">
            <v>2.9626056685162441</v>
          </cell>
          <cell r="F488">
            <v>3.8380445098271254</v>
          </cell>
          <cell r="G488">
            <v>3.1935053065418888</v>
          </cell>
          <cell r="H488">
            <v>1.1129658485713303</v>
          </cell>
          <cell r="I488">
            <v>0.45858930081280225</v>
          </cell>
          <cell r="J488">
            <v>0.25721891525829188</v>
          </cell>
          <cell r="K488">
            <v>8.4786734303926598E-3</v>
          </cell>
          <cell r="L488">
            <v>1.9721202352802033E-3</v>
          </cell>
          <cell r="M488">
            <v>1.4491309201682557E-3</v>
          </cell>
          <cell r="N488">
            <v>1.6185356453100777E-3</v>
          </cell>
          <cell r="O488">
            <v>1.7698148027922055E-3</v>
          </cell>
        </row>
        <row r="489">
          <cell r="A489" t="str">
            <v>T_C-ICE-GSL-S3</v>
          </cell>
          <cell r="B489" t="str">
            <v>VAR_fin</v>
          </cell>
          <cell r="C489" t="str">
            <v>TGSL</v>
          </cell>
          <cell r="D489">
            <v>3.7789947602878469</v>
          </cell>
          <cell r="E489">
            <v>5.7411839712528776</v>
          </cell>
          <cell r="F489">
            <v>7.5624741136902482</v>
          </cell>
          <cell r="G489">
            <v>6.2661639018808426</v>
          </cell>
          <cell r="H489">
            <v>2.3141427426220296</v>
          </cell>
          <cell r="I489">
            <v>0.9718532922155162</v>
          </cell>
          <cell r="J489">
            <v>0.54669637703049212</v>
          </cell>
          <cell r="K489">
            <v>1.6478161376826454E-2</v>
          </cell>
          <cell r="L489">
            <v>3.5296718408840163E-3</v>
          </cell>
          <cell r="M489">
            <v>2.2492000061473845E-3</v>
          </cell>
          <cell r="N489">
            <v>2.404271591534893E-3</v>
          </cell>
          <cell r="O489">
            <v>2.5810702628052623E-3</v>
          </cell>
        </row>
        <row r="490">
          <cell r="A490" t="str">
            <v>T_C-ICE-GSL-S3</v>
          </cell>
          <cell r="B490" t="str">
            <v>VAR_ncap</v>
          </cell>
          <cell r="C490" t="str">
            <v>-</v>
          </cell>
          <cell r="E490">
            <v>5.3019549687246399E-5</v>
          </cell>
          <cell r="F490">
            <v>6.4211585024573303E-2</v>
          </cell>
          <cell r="G490">
            <v>1.0956495621045901E-3</v>
          </cell>
          <cell r="H490">
            <v>2.7399554195812002E-2</v>
          </cell>
          <cell r="I490">
            <v>8.6784198207916804E-4</v>
          </cell>
          <cell r="J490">
            <v>5.07395106223268E-5</v>
          </cell>
          <cell r="K490">
            <v>5.0329451972534301E-5</v>
          </cell>
          <cell r="L490">
            <v>3.4799736827280698E-5</v>
          </cell>
          <cell r="M490">
            <v>5.34790488853645E-5</v>
          </cell>
          <cell r="N490">
            <v>5.5115483633127398E-5</v>
          </cell>
          <cell r="O490">
            <v>5.5082758431616798E-5</v>
          </cell>
        </row>
        <row r="491">
          <cell r="A491" t="str">
            <v>T_C-ICE-GSL-S3</v>
          </cell>
          <cell r="B491" t="str">
            <v>VAR_cap</v>
          </cell>
          <cell r="C491" t="str">
            <v>-</v>
          </cell>
          <cell r="D491">
            <v>0.1820117093944458</v>
          </cell>
          <cell r="E491">
            <v>0.20370624052373265</v>
          </cell>
          <cell r="F491">
            <v>0.26392576250329697</v>
          </cell>
          <cell r="G491">
            <v>0.21959526440637281</v>
          </cell>
          <cell r="H491">
            <v>7.6551473370863626E-2</v>
          </cell>
          <cell r="I491">
            <v>3.1547166932642215E-2</v>
          </cell>
          <cell r="J491">
            <v>1.7705307589791927E-2</v>
          </cell>
          <cell r="K491">
            <v>6.0349200224551623E-4</v>
          </cell>
          <cell r="L491">
            <v>1.684942774994204E-4</v>
          </cell>
          <cell r="M491">
            <v>1.1936344830289393E-4</v>
          </cell>
          <cell r="N491">
            <v>1.3655078048564927E-4</v>
          </cell>
          <cell r="O491">
            <v>1.6365064429732826E-4</v>
          </cell>
        </row>
        <row r="492">
          <cell r="A492" t="str">
            <v>T_C-ICE-DSL-S2</v>
          </cell>
          <cell r="B492" t="str">
            <v>VAR_fout</v>
          </cell>
          <cell r="C492" t="str">
            <v>CO2_T</v>
          </cell>
          <cell r="D492">
            <v>89.469839684888854</v>
          </cell>
          <cell r="E492">
            <v>94.07195409192822</v>
          </cell>
          <cell r="F492">
            <v>93.380424905983432</v>
          </cell>
          <cell r="G492">
            <v>55.995593485607039</v>
          </cell>
          <cell r="H492">
            <v>1.7188959818941965</v>
          </cell>
          <cell r="I492">
            <v>0.21006963702401887</v>
          </cell>
          <cell r="J492">
            <v>0.16595585677414701</v>
          </cell>
          <cell r="K492">
            <v>0.136562749287854</v>
          </cell>
          <cell r="L492">
            <v>7.9821172009121144E-2</v>
          </cell>
          <cell r="M492">
            <v>5.4178552868002779E-2</v>
          </cell>
          <cell r="N492">
            <v>3.1395640108440842E-2</v>
          </cell>
          <cell r="O492">
            <v>2.646889059458641E-2</v>
          </cell>
        </row>
        <row r="493">
          <cell r="A493" t="str">
            <v>T_C-ICE-DSL-S2</v>
          </cell>
          <cell r="B493" t="str">
            <v>VAR_fout</v>
          </cell>
          <cell r="C493" t="str">
            <v>TPCAR</v>
          </cell>
          <cell r="D493">
            <v>0.85021512946297251</v>
          </cell>
          <cell r="E493">
            <v>0.90319408921544708</v>
          </cell>
          <cell r="F493">
            <v>0.89543498684609757</v>
          </cell>
          <cell r="G493">
            <v>0.5779411472526832</v>
          </cell>
          <cell r="H493">
            <v>1.8794588879477724E-2</v>
          </cell>
          <cell r="I493">
            <v>1.542933504142885E-3</v>
          </cell>
          <cell r="J493">
            <v>1.2499212368839857E-3</v>
          </cell>
          <cell r="K493">
            <v>1.099672406323303E-3</v>
          </cell>
          <cell r="L493">
            <v>6.781510231373694E-4</v>
          </cell>
          <cell r="M493">
            <v>4.8485041768200302E-4</v>
          </cell>
          <cell r="N493">
            <v>2.9561082907722416E-4</v>
          </cell>
          <cell r="O493">
            <v>2.5830508660570981E-4</v>
          </cell>
        </row>
        <row r="494">
          <cell r="A494" t="str">
            <v>T_C-ICE-DSL-S2</v>
          </cell>
          <cell r="B494" t="str">
            <v>VAR_fin</v>
          </cell>
          <cell r="C494" t="str">
            <v>TDSL</v>
          </cell>
          <cell r="D494">
            <v>1.220598085742006</v>
          </cell>
          <cell r="E494">
            <v>1.2833827297670954</v>
          </cell>
          <cell r="F494">
            <v>1.2739484980352449</v>
          </cell>
          <cell r="G494">
            <v>0.76392351276407888</v>
          </cell>
          <cell r="H494">
            <v>2.345014982120322E-2</v>
          </cell>
          <cell r="I494">
            <v>2.8658886360711996E-3</v>
          </cell>
          <cell r="J494">
            <v>2.264063530343073E-3</v>
          </cell>
          <cell r="K494">
            <v>1.8630661567237933E-3</v>
          </cell>
          <cell r="L494">
            <v>1.0889655117206163E-3</v>
          </cell>
          <cell r="M494">
            <v>7.3913441839021539E-4</v>
          </cell>
          <cell r="N494">
            <v>4.2831705468541402E-4</v>
          </cell>
          <cell r="O494">
            <v>3.6110355517853247E-4</v>
          </cell>
        </row>
        <row r="495">
          <cell r="A495" t="str">
            <v>T_C-ICE-DSL-S2</v>
          </cell>
          <cell r="B495" t="str">
            <v>VAR_ncap</v>
          </cell>
          <cell r="C495" t="str">
            <v>-</v>
          </cell>
          <cell r="E495">
            <v>2.3318321549638599E-5</v>
          </cell>
          <cell r="F495">
            <v>5.6933202256728101E-5</v>
          </cell>
          <cell r="G495">
            <v>4.3112507029391898E-5</v>
          </cell>
          <cell r="H495">
            <v>6.0359501691720999E-5</v>
          </cell>
          <cell r="I495">
            <v>7.5190353150959204E-5</v>
          </cell>
          <cell r="J495">
            <v>2.4328774812291199E-5</v>
          </cell>
          <cell r="K495">
            <v>4.0566196615190103E-5</v>
          </cell>
          <cell r="L495">
            <v>1.1726759660127799E-5</v>
          </cell>
          <cell r="M495">
            <v>7.6907308474708492E-6</v>
          </cell>
          <cell r="N495">
            <v>7.3698312348402098E-6</v>
          </cell>
          <cell r="O495">
            <v>8.6175627496549002E-6</v>
          </cell>
        </row>
        <row r="496">
          <cell r="A496" t="str">
            <v>T_C-ICE-DSL-S2</v>
          </cell>
          <cell r="B496" t="str">
            <v>VAR_cap</v>
          </cell>
          <cell r="C496" t="str">
            <v>-</v>
          </cell>
          <cell r="D496">
            <v>6.4568884613326591E-2</v>
          </cell>
          <cell r="E496">
            <v>6.8527828098137442E-2</v>
          </cell>
          <cell r="F496">
            <v>6.7962282772471586E-2</v>
          </cell>
          <cell r="G496">
            <v>5.1569090636786705E-2</v>
          </cell>
          <cell r="H496">
            <v>1.8989069971340514E-3</v>
          </cell>
          <cell r="I496">
            <v>1.5064809322095561E-4</v>
          </cell>
          <cell r="J496">
            <v>1.2183468588794647E-4</v>
          </cell>
          <cell r="K496">
            <v>1.0467543043634028E-4</v>
          </cell>
          <cell r="L496">
            <v>6.5379692419824696E-5</v>
          </cell>
          <cell r="M496">
            <v>4.4440360261788522E-5</v>
          </cell>
          <cell r="N496">
            <v>2.6425218864579562E-5</v>
          </cell>
          <cell r="O496">
            <v>2.3638591730323194E-5</v>
          </cell>
        </row>
        <row r="497">
          <cell r="A497" t="str">
            <v>TPRLPH2OFCL</v>
          </cell>
          <cell r="B497" t="str">
            <v>VAR_fout</v>
          </cell>
          <cell r="C497" t="str">
            <v>TPRLP</v>
          </cell>
          <cell r="I497">
            <v>4.7977417500222031E-6</v>
          </cell>
          <cell r="J497">
            <v>6.2856561296323679E-6</v>
          </cell>
          <cell r="K497">
            <v>7.4736474426681911E-6</v>
          </cell>
          <cell r="L497">
            <v>7.6756233711170515E-6</v>
          </cell>
          <cell r="M497">
            <v>1.0401730440364714E-5</v>
          </cell>
          <cell r="N497">
            <v>9.7826151008857062E-6</v>
          </cell>
          <cell r="O497">
            <v>2.0108420831086387E-5</v>
          </cell>
        </row>
        <row r="498">
          <cell r="A498" t="str">
            <v>TPRLPH2OFCL</v>
          </cell>
          <cell r="B498" t="str">
            <v>VAR_fin</v>
          </cell>
          <cell r="C498" t="str">
            <v>TH2O</v>
          </cell>
          <cell r="I498">
            <v>2.6740457145556131E-4</v>
          </cell>
          <cell r="J498">
            <v>3.3737655935536559E-4</v>
          </cell>
          <cell r="K498">
            <v>3.8683320443899958E-4</v>
          </cell>
          <cell r="L498">
            <v>3.9728740317138199E-4</v>
          </cell>
          <cell r="M498">
            <v>5.3838968841169268E-4</v>
          </cell>
          <cell r="N498">
            <v>5.0634450933076706E-4</v>
          </cell>
          <cell r="O498">
            <v>1.0408043630594404E-3</v>
          </cell>
        </row>
        <row r="499">
          <cell r="A499" t="str">
            <v>TPRLPH2OFCL</v>
          </cell>
          <cell r="B499" t="str">
            <v>VAR_ncap</v>
          </cell>
          <cell r="C499" t="str">
            <v>-</v>
          </cell>
          <cell r="I499">
            <v>9.3569834988215304E-8</v>
          </cell>
          <cell r="J499">
            <v>1.3463508481872901E-8</v>
          </cell>
          <cell r="K499">
            <v>3.4442861422219803E-8</v>
          </cell>
          <cell r="M499">
            <v>4.9393739430374401E-8</v>
          </cell>
          <cell r="O499">
            <v>2.57820650247581E-7</v>
          </cell>
        </row>
        <row r="500">
          <cell r="A500" t="str">
            <v>TPRLPH2OFCL</v>
          </cell>
          <cell r="B500" t="str">
            <v>VAR_cap</v>
          </cell>
          <cell r="C500" t="str">
            <v>-</v>
          </cell>
          <cell r="I500">
            <v>9.3569834988215304E-8</v>
          </cell>
          <cell r="J500">
            <v>1.07033343470088E-7</v>
          </cell>
          <cell r="K500">
            <v>1.4147620489230801E-7</v>
          </cell>
          <cell r="L500">
            <v>1.4147620489230801E-7</v>
          </cell>
          <cell r="M500">
            <v>1.9086994432268199E-7</v>
          </cell>
          <cell r="N500">
            <v>1.7622158948504499E-7</v>
          </cell>
          <cell r="O500">
            <v>3.5512075958204898E-7</v>
          </cell>
        </row>
        <row r="501">
          <cell r="A501" t="str">
            <v>T_C-ICE-GSL-S4</v>
          </cell>
          <cell r="B501" t="str">
            <v>VAR_fout</v>
          </cell>
          <cell r="C501" t="str">
            <v>CO2_T</v>
          </cell>
          <cell r="D501">
            <v>288.05669491620512</v>
          </cell>
          <cell r="E501">
            <v>387.82322570676342</v>
          </cell>
          <cell r="F501">
            <v>978.5194885381602</v>
          </cell>
          <cell r="G501">
            <v>1881.8233686245651</v>
          </cell>
          <cell r="H501">
            <v>2372.1116856402332</v>
          </cell>
          <cell r="I501">
            <v>2178.2047263473855</v>
          </cell>
          <cell r="J501">
            <v>1914.951587515774</v>
          </cell>
          <cell r="K501">
            <v>1679.059462942346</v>
          </cell>
          <cell r="L501">
            <v>1499.3880579625315</v>
          </cell>
          <cell r="M501">
            <v>1331.3804092041651</v>
          </cell>
          <cell r="N501">
            <v>1216.3290896861629</v>
          </cell>
          <cell r="O501">
            <v>1129.6344148703499</v>
          </cell>
        </row>
        <row r="502">
          <cell r="A502" t="str">
            <v>T_C-ICE-GSL-S4</v>
          </cell>
          <cell r="B502" t="str">
            <v>VAR_fout</v>
          </cell>
          <cell r="C502" t="str">
            <v>TPCAR</v>
          </cell>
          <cell r="D502">
            <v>1.7182961424446286</v>
          </cell>
          <cell r="E502">
            <v>2.2770016530694117</v>
          </cell>
          <cell r="F502">
            <v>5.754901247725547</v>
          </cell>
          <cell r="G502">
            <v>11.131364229159811</v>
          </cell>
          <cell r="H502">
            <v>14.578355017722345</v>
          </cell>
          <cell r="I502">
            <v>14.145408089918293</v>
          </cell>
          <cell r="J502">
            <v>13.452144427912827</v>
          </cell>
          <cell r="K502">
            <v>12.792858556072106</v>
          </cell>
          <cell r="L502">
            <v>12.165879798586589</v>
          </cell>
          <cell r="M502">
            <v>11.569632633025154</v>
          </cell>
          <cell r="N502">
            <v>11.002606325591694</v>
          </cell>
          <cell r="O502">
            <v>10.464120437454405</v>
          </cell>
        </row>
        <row r="503">
          <cell r="A503" t="str">
            <v>T_C-ICE-GSL-S4</v>
          </cell>
          <cell r="B503" t="str">
            <v>VAR_fin</v>
          </cell>
          <cell r="C503" t="str">
            <v>TGSL</v>
          </cell>
          <cell r="D503">
            <v>3.9032072481870652</v>
          </cell>
          <cell r="E503">
            <v>5.2550572588992148</v>
          </cell>
          <cell r="F503">
            <v>13.259071660408665</v>
          </cell>
          <cell r="G503">
            <v>25.498961634479191</v>
          </cell>
          <cell r="H503">
            <v>32.142434764772794</v>
          </cell>
          <cell r="I503">
            <v>29.514969191698981</v>
          </cell>
          <cell r="J503">
            <v>25.947853489373625</v>
          </cell>
          <cell r="K503">
            <v>22.751483237701187</v>
          </cell>
          <cell r="L503">
            <v>20.316911354505841</v>
          </cell>
          <cell r="M503">
            <v>18.040384948565904</v>
          </cell>
          <cell r="N503">
            <v>16.481423979487307</v>
          </cell>
          <cell r="O503">
            <v>15.306699388487138</v>
          </cell>
        </row>
        <row r="504">
          <cell r="A504" t="str">
            <v>T_C-ICE-GSL-S4</v>
          </cell>
          <cell r="B504" t="str">
            <v>VAR_ncap</v>
          </cell>
          <cell r="C504" t="str">
            <v>-</v>
          </cell>
          <cell r="E504">
            <v>3.9061194696482702E-5</v>
          </cell>
          <cell r="F504">
            <v>0.28057627998773099</v>
          </cell>
          <cell r="G504">
            <v>0.51830735724041299</v>
          </cell>
          <cell r="H504">
            <v>0.57749564519612595</v>
          </cell>
          <cell r="I504">
            <v>0.459477667994516</v>
          </cell>
          <cell r="J504">
            <v>0.51620321147968695</v>
          </cell>
          <cell r="K504">
            <v>0.54937807371624903</v>
          </cell>
          <cell r="L504">
            <v>0.460972069295426</v>
          </cell>
          <cell r="M504">
            <v>0.44773628239661101</v>
          </cell>
          <cell r="N504">
            <v>0.42910903417202301</v>
          </cell>
          <cell r="O504">
            <v>0.300201697527749</v>
          </cell>
        </row>
        <row r="505">
          <cell r="A505" t="str">
            <v>T_C-ICE-GSL-S4</v>
          </cell>
          <cell r="B505" t="str">
            <v>VAR_cap</v>
          </cell>
          <cell r="C505" t="str">
            <v>-</v>
          </cell>
          <cell r="D505">
            <v>0.1570749236786077</v>
          </cell>
          <cell r="E505">
            <v>0.17930261213154988</v>
          </cell>
          <cell r="F505">
            <v>0.45324027495153801</v>
          </cell>
          <cell r="G505">
            <v>0.87656983034831704</v>
          </cell>
          <cell r="H505">
            <v>1.14806669891681</v>
          </cell>
          <cell r="I505">
            <v>1.2114383741157411</v>
          </cell>
          <cell r="J505">
            <v>1.2264399833919961</v>
          </cell>
          <cell r="K505">
            <v>1.2447844763888498</v>
          </cell>
          <cell r="L505">
            <v>1.2478334126633563</v>
          </cell>
          <cell r="M505">
            <v>1.2482734075970281</v>
          </cell>
          <cell r="N505">
            <v>1.2375439339875955</v>
          </cell>
          <cell r="O505">
            <v>1.1770469825257093</v>
          </cell>
        </row>
        <row r="506">
          <cell r="A506" t="str">
            <v>T_C-ICE-DSL-S3</v>
          </cell>
          <cell r="B506" t="str">
            <v>VAR_fout</v>
          </cell>
          <cell r="C506" t="str">
            <v>CO2_T</v>
          </cell>
          <cell r="D506">
            <v>368.98394985631211</v>
          </cell>
          <cell r="E506">
            <v>390.48406887342776</v>
          </cell>
          <cell r="F506">
            <v>386.77292278239867</v>
          </cell>
          <cell r="G506">
            <v>295.43412443567371</v>
          </cell>
          <cell r="H506">
            <v>10.28434511765284</v>
          </cell>
          <cell r="I506">
            <v>0.19388354455020207</v>
          </cell>
          <cell r="J506">
            <v>0.17300826002384909</v>
          </cell>
          <cell r="K506">
            <v>0.19169462227137452</v>
          </cell>
          <cell r="L506">
            <v>0.12524549369813803</v>
          </cell>
          <cell r="M506">
            <v>8.6636108009989013E-2</v>
          </cell>
          <cell r="N506">
            <v>4.3575229545853578E-2</v>
          </cell>
          <cell r="O506">
            <v>3.2888670822841706E-2</v>
          </cell>
        </row>
        <row r="507">
          <cell r="A507" t="str">
            <v>T_C-ICE-DSL-S3</v>
          </cell>
          <cell r="B507" t="str">
            <v>VAR_fout</v>
          </cell>
          <cell r="C507" t="str">
            <v>TPCAR</v>
          </cell>
          <cell r="D507">
            <v>2.6576669386781067</v>
          </cell>
          <cell r="E507">
            <v>2.8363316172987796</v>
          </cell>
          <cell r="F507">
            <v>2.806922309279118</v>
          </cell>
          <cell r="G507">
            <v>2.1813259118881763</v>
          </cell>
          <cell r="H507">
            <v>8.2753207045253005E-2</v>
          </cell>
          <cell r="I507">
            <v>1.3172461225107515E-3</v>
          </cell>
          <cell r="J507">
            <v>1.2212528268173508E-3</v>
          </cell>
          <cell r="K507">
            <v>1.4605769850722095E-3</v>
          </cell>
          <cell r="L507">
            <v>9.9581527790370433E-4</v>
          </cell>
          <cell r="M507">
            <v>7.1716000659666299E-4</v>
          </cell>
          <cell r="N507">
            <v>3.800464193174223E-4</v>
          </cell>
          <cell r="O507">
            <v>2.9864390938969454E-4</v>
          </cell>
        </row>
        <row r="508">
          <cell r="A508" t="str">
            <v>T_C-ICE-DSL-S3</v>
          </cell>
          <cell r="B508" t="str">
            <v>VAR_fin</v>
          </cell>
          <cell r="C508" t="str">
            <v>TDSL</v>
          </cell>
          <cell r="D508">
            <v>5.033887446880108</v>
          </cell>
          <cell r="E508">
            <v>5.3272042138257421</v>
          </cell>
          <cell r="F508">
            <v>5.2765746627885273</v>
          </cell>
          <cell r="G508">
            <v>4.0304791873898331</v>
          </cell>
          <cell r="H508">
            <v>0.14030484471559118</v>
          </cell>
          <cell r="I508">
            <v>2.6450688206030308E-3</v>
          </cell>
          <cell r="J508">
            <v>2.3602763986882509E-3</v>
          </cell>
          <cell r="K508">
            <v>2.6152063065671789E-3</v>
          </cell>
          <cell r="L508">
            <v>1.7086697639582271E-3</v>
          </cell>
          <cell r="M508">
            <v>1.1819387177351844E-3</v>
          </cell>
          <cell r="N508">
            <v>5.9447789284929921E-4</v>
          </cell>
          <cell r="O508">
            <v>4.4868582295827834E-4</v>
          </cell>
        </row>
        <row r="509">
          <cell r="A509" t="str">
            <v>T_C-ICE-DSL-S3</v>
          </cell>
          <cell r="B509" t="str">
            <v>VAR_ncap</v>
          </cell>
          <cell r="C509" t="str">
            <v>-</v>
          </cell>
          <cell r="E509">
            <v>2.7261526871609399E-5</v>
          </cell>
          <cell r="F509">
            <v>3.7149362706190399E-5</v>
          </cell>
          <cell r="G509">
            <v>3.01804118185745E-5</v>
          </cell>
          <cell r="H509">
            <v>4.0227699818926902E-5</v>
          </cell>
          <cell r="I509">
            <v>5.3617214577110202E-5</v>
          </cell>
          <cell r="J509">
            <v>2.7396972106894899E-5</v>
          </cell>
          <cell r="K509">
            <v>5.7661770589134897E-5</v>
          </cell>
          <cell r="L509">
            <v>1.4115385999461699E-5</v>
          </cell>
          <cell r="M509">
            <v>8.2406564580233205E-6</v>
          </cell>
          <cell r="N509">
            <v>7.7526993392456893E-6</v>
          </cell>
          <cell r="O509">
            <v>8.9650483275165201E-6</v>
          </cell>
        </row>
        <row r="510">
          <cell r="A510" t="str">
            <v>T_C-ICE-DSL-S3</v>
          </cell>
          <cell r="B510" t="str">
            <v>VAR_cap</v>
          </cell>
          <cell r="C510" t="str">
            <v>-</v>
          </cell>
          <cell r="D510">
            <v>0.18324065679495682</v>
          </cell>
          <cell r="E510">
            <v>0.19502342222591013</v>
          </cell>
          <cell r="F510">
            <v>0.19302468716498092</v>
          </cell>
          <cell r="G510">
            <v>0.15000091110098634</v>
          </cell>
          <cell r="H510">
            <v>5.7046351987930406E-3</v>
          </cell>
          <cell r="I510">
            <v>1.0438095811564554E-4</v>
          </cell>
          <cell r="J510">
            <v>9.4782064900451768E-5</v>
          </cell>
          <cell r="K510">
            <v>1.1140879838633613E-4</v>
          </cell>
          <cell r="L510">
            <v>8.269587767103804E-5</v>
          </cell>
          <cell r="M510">
            <v>5.7959743555471906E-5</v>
          </cell>
          <cell r="N510">
            <v>3.0418984316212464E-5</v>
          </cell>
          <cell r="O510">
            <v>2.4937689343473053E-5</v>
          </cell>
        </row>
        <row r="511">
          <cell r="A511" t="str">
            <v>T_C-ICE-DSL-S4</v>
          </cell>
          <cell r="B511" t="str">
            <v>VAR_fout</v>
          </cell>
          <cell r="C511" t="str">
            <v>CO2_T</v>
          </cell>
          <cell r="D511">
            <v>141.771775988949</v>
          </cell>
          <cell r="E511">
            <v>162.0586810639451</v>
          </cell>
          <cell r="F511">
            <v>159.29175739956494</v>
          </cell>
          <cell r="G511">
            <v>122.01451340812879</v>
          </cell>
          <cell r="H511">
            <v>8.0278191904625729</v>
          </cell>
          <cell r="I511">
            <v>0.14937497955688739</v>
          </cell>
          <cell r="J511">
            <v>0.14384968091856187</v>
          </cell>
          <cell r="K511">
            <v>0.17306272111469662</v>
          </cell>
          <cell r="L511">
            <v>0.12031094691914217</v>
          </cell>
          <cell r="M511">
            <v>8.145279506907295E-2</v>
          </cell>
          <cell r="N511">
            <v>3.7340991785175068E-2</v>
          </cell>
          <cell r="O511">
            <v>2.854302142865562E-2</v>
          </cell>
        </row>
        <row r="512">
          <cell r="A512" t="str">
            <v>T_C-ICE-DSL-S4</v>
          </cell>
          <cell r="B512" t="str">
            <v>VAR_fout</v>
          </cell>
          <cell r="C512" t="str">
            <v>TPCAR</v>
          </cell>
          <cell r="D512">
            <v>0.90149506823559167</v>
          </cell>
          <cell r="E512">
            <v>1.0076023432894217</v>
          </cell>
          <cell r="F512">
            <v>0.99259878567532978</v>
          </cell>
          <cell r="G512">
            <v>0.77167699774600218</v>
          </cell>
          <cell r="H512">
            <v>4.2836631515951649E-2</v>
          </cell>
          <cell r="I512">
            <v>9.5878120612492412E-4</v>
          </cell>
          <cell r="J512">
            <v>9.6070955482853947E-4</v>
          </cell>
          <cell r="K512">
            <v>1.2406588200273639E-3</v>
          </cell>
          <cell r="L512">
            <v>8.9789297177085916E-4</v>
          </cell>
          <cell r="M512">
            <v>6.3050193320713028E-4</v>
          </cell>
          <cell r="N512">
            <v>3.0360449425629449E-4</v>
          </cell>
          <cell r="O512">
            <v>2.4196373011641645E-4</v>
          </cell>
        </row>
        <row r="513">
          <cell r="A513" t="str">
            <v>T_C-ICE-DSL-S4</v>
          </cell>
          <cell r="B513" t="str">
            <v>VAR_fin</v>
          </cell>
          <cell r="C513" t="str">
            <v>TDSL</v>
          </cell>
          <cell r="D513">
            <v>1.9341306410497783</v>
          </cell>
          <cell r="E513">
            <v>2.2108960581711501</v>
          </cell>
          <cell r="F513">
            <v>2.173148122777147</v>
          </cell>
          <cell r="G513">
            <v>1.6645909059772008</v>
          </cell>
          <cell r="H513">
            <v>0.10952004352609222</v>
          </cell>
          <cell r="I513">
            <v>2.0378578384295694E-3</v>
          </cell>
          <cell r="J513">
            <v>1.9624785937048012E-3</v>
          </cell>
          <cell r="K513">
            <v>2.3610193876493421E-3</v>
          </cell>
          <cell r="L513">
            <v>1.6413498897563713E-3</v>
          </cell>
          <cell r="M513">
            <v>1.1112250350487427E-3</v>
          </cell>
          <cell r="N513">
            <v>5.0942690020702654E-4</v>
          </cell>
          <cell r="O513">
            <v>3.8940001949052636E-4</v>
          </cell>
        </row>
        <row r="514">
          <cell r="A514" t="str">
            <v>T_C-ICE-DSL-S4</v>
          </cell>
          <cell r="B514" t="str">
            <v>VAR_ncap</v>
          </cell>
          <cell r="C514" t="str">
            <v>-</v>
          </cell>
          <cell r="E514">
            <v>1.0226153077551599E-5</v>
          </cell>
          <cell r="F514">
            <v>1.7781111808360301E-5</v>
          </cell>
          <cell r="G514">
            <v>1.8184849863668901E-5</v>
          </cell>
          <cell r="H514">
            <v>3.2229293367092601E-5</v>
          </cell>
          <cell r="I514">
            <v>5.4291450544043302E-5</v>
          </cell>
          <cell r="J514">
            <v>2.74574995072869E-5</v>
          </cell>
          <cell r="K514">
            <v>6.1498879342894899E-5</v>
          </cell>
          <cell r="L514">
            <v>1.3774894997522001E-5</v>
          </cell>
          <cell r="M514">
            <v>7.5058120842082697E-6</v>
          </cell>
          <cell r="N514">
            <v>6.7630742463064502E-6</v>
          </cell>
          <cell r="O514">
            <v>9.0406660689364608E-6</v>
          </cell>
        </row>
        <row r="515">
          <cell r="A515" t="str">
            <v>T_C-ICE-DSL-S4</v>
          </cell>
          <cell r="B515" t="str">
            <v>VAR_cap</v>
          </cell>
          <cell r="C515" t="str">
            <v>-</v>
          </cell>
          <cell r="D515">
            <v>7.1261627596049676E-2</v>
          </cell>
          <cell r="E515">
            <v>7.9347640444130479E-2</v>
          </cell>
          <cell r="F515">
            <v>7.8228735280704467E-2</v>
          </cell>
          <cell r="G515">
            <v>6.1090307893436849E-2</v>
          </cell>
          <cell r="H515">
            <v>3.424196195376066E-3</v>
          </cell>
          <cell r="I515">
            <v>9.0708035562000298E-5</v>
          </cell>
          <cell r="J515">
            <v>9.0437421591315408E-5</v>
          </cell>
          <cell r="K515">
            <v>1.1563391663549302E-4</v>
          </cell>
          <cell r="L515">
            <v>8.5764849670299723E-5</v>
          </cell>
          <cell r="M515">
            <v>5.9253433493218389E-5</v>
          </cell>
          <cell r="N515">
            <v>2.8774470070940109E-5</v>
          </cell>
          <cell r="O515">
            <v>2.3284143509074171E-5</v>
          </cell>
        </row>
        <row r="516">
          <cell r="A516" t="str">
            <v>TFLGV-ICENGAExt</v>
          </cell>
          <cell r="B516" t="str">
            <v>VAR_fout</v>
          </cell>
          <cell r="C516" t="str">
            <v>CO2_T</v>
          </cell>
          <cell r="D516">
            <v>6.0491053448505401</v>
          </cell>
          <cell r="E516">
            <v>1.8274390061744299</v>
          </cell>
          <cell r="F516">
            <v>3.95027330412583</v>
          </cell>
          <cell r="G516">
            <v>9.7637392195524695E-4</v>
          </cell>
        </row>
        <row r="517">
          <cell r="A517" t="str">
            <v>TFLGV-ICENGAExt</v>
          </cell>
          <cell r="B517" t="str">
            <v>VAR_fout</v>
          </cell>
          <cell r="C517" t="str">
            <v>TFLGV</v>
          </cell>
          <cell r="D517">
            <v>2.9771814864152372E-2</v>
          </cell>
          <cell r="E517">
            <v>9.0779115005628682E-3</v>
          </cell>
          <cell r="F517">
            <v>1.9895016884471331E-2</v>
          </cell>
          <cell r="G517">
            <v>4.9173751199869829E-6</v>
          </cell>
        </row>
        <row r="518">
          <cell r="A518" t="str">
            <v>TFLGV-ICENGAExt</v>
          </cell>
          <cell r="B518" t="str">
            <v>VAR_fin</v>
          </cell>
          <cell r="C518" t="str">
            <v>TNGA</v>
          </cell>
          <cell r="D518">
            <v>0.10725364086614425</v>
          </cell>
          <cell r="E518">
            <v>3.2401400818695504E-2</v>
          </cell>
          <cell r="F518">
            <v>7.0040306810741679E-2</v>
          </cell>
          <cell r="G518">
            <v>1.7311594360908608E-5</v>
          </cell>
        </row>
        <row r="519">
          <cell r="A519" t="str">
            <v>TFLGV-ICENGAExt</v>
          </cell>
          <cell r="B519" t="str">
            <v>VAR_cap</v>
          </cell>
          <cell r="C519" t="str">
            <v>-</v>
          </cell>
          <cell r="D519">
            <v>2.0849351153279972E-3</v>
          </cell>
          <cell r="E519">
            <v>1.806880333586481E-3</v>
          </cell>
          <cell r="F519">
            <v>1.39E-3</v>
          </cell>
          <cell r="G519">
            <v>1.6627513378902718E-7</v>
          </cell>
        </row>
        <row r="520">
          <cell r="A520" t="str">
            <v>D-TGSL</v>
          </cell>
          <cell r="B520" t="str">
            <v>VAR_fout</v>
          </cell>
          <cell r="C520" t="str">
            <v>CO2</v>
          </cell>
          <cell r="D520">
            <v>5889.2485977946899</v>
          </cell>
          <cell r="E520">
            <v>5605.5403353283</v>
          </cell>
          <cell r="F520">
            <v>5886.5338381035699</v>
          </cell>
          <cell r="G520">
            <v>4312.0231908339101</v>
          </cell>
          <cell r="H520">
            <v>3306.8627439874399</v>
          </cell>
          <cell r="I520">
            <v>2845.7550286330902</v>
          </cell>
          <cell r="J520">
            <v>2450.54798438036</v>
          </cell>
          <cell r="K520">
            <v>2122.3063689873102</v>
          </cell>
          <cell r="L520">
            <v>1939.4066070685799</v>
          </cell>
          <cell r="M520">
            <v>1763.68612903236</v>
          </cell>
          <cell r="N520">
            <v>1629.83535316763</v>
          </cell>
          <cell r="O520">
            <v>1559.22608442813</v>
          </cell>
        </row>
        <row r="521">
          <cell r="A521" t="str">
            <v>D-TGSL</v>
          </cell>
          <cell r="B521" t="str">
            <v>VAR_fout</v>
          </cell>
          <cell r="C521" t="str">
            <v>TGSL</v>
          </cell>
          <cell r="D521">
            <v>83.180781403546462</v>
          </cell>
          <cell r="E521">
            <v>79.173585555741596</v>
          </cell>
          <cell r="F521">
            <v>83.142457041349502</v>
          </cell>
          <cell r="G521">
            <v>61.620463194366614</v>
          </cell>
          <cell r="H521">
            <v>46.999381811725513</v>
          </cell>
          <cell r="I521">
            <v>40.19440428866826</v>
          </cell>
          <cell r="J521">
            <v>34.612402416617556</v>
          </cell>
          <cell r="K521">
            <v>29.976825537327027</v>
          </cell>
          <cell r="L521">
            <v>27.392977302739659</v>
          </cell>
          <cell r="M521">
            <v>24.91161234213579</v>
          </cell>
          <cell r="N521">
            <v>23.020818394184271</v>
          </cell>
          <cell r="O521">
            <v>22.024626561108164</v>
          </cell>
        </row>
        <row r="522">
          <cell r="A522" t="str">
            <v>D-TGSL</v>
          </cell>
          <cell r="B522" t="str">
            <v>VAR_fin</v>
          </cell>
          <cell r="C522" t="str">
            <v>GSL</v>
          </cell>
          <cell r="D522">
            <v>79.800116501283014</v>
          </cell>
          <cell r="E522">
            <v>75.955831102009526</v>
          </cell>
          <cell r="F522">
            <v>79.763331139614763</v>
          </cell>
          <cell r="G522">
            <v>58.428498520784693</v>
          </cell>
          <cell r="H522">
            <v>44.808438265412477</v>
          </cell>
          <cell r="I522">
            <v>38.560366241640835</v>
          </cell>
          <cell r="J522">
            <v>33.205257240926265</v>
          </cell>
          <cell r="K522">
            <v>28.757538875166794</v>
          </cell>
          <cell r="L522">
            <v>26.279222318002475</v>
          </cell>
          <cell r="M522">
            <v>23.898186030248745</v>
          </cell>
          <cell r="N522">
            <v>22.084489880320223</v>
          </cell>
          <cell r="O522">
            <v>21.127724721248338</v>
          </cell>
        </row>
        <row r="523">
          <cell r="A523" t="str">
            <v>D-TGSL</v>
          </cell>
          <cell r="B523" t="str">
            <v>VAR_fin</v>
          </cell>
          <cell r="C523" t="str">
            <v>ETH</v>
          </cell>
          <cell r="D523">
            <v>4.6213314048730645</v>
          </cell>
          <cell r="E523">
            <v>4.3986523581724262</v>
          </cell>
          <cell r="F523">
            <v>4.6192207212503931</v>
          </cell>
          <cell r="G523">
            <v>4.1110539915700235</v>
          </cell>
          <cell r="H523">
            <v>2.8919534993406897</v>
          </cell>
          <cell r="I523">
            <v>2.2335497081647158</v>
          </cell>
          <cell r="J523">
            <v>1.9233995955779919</v>
          </cell>
          <cell r="K523">
            <v>1.666400054970774</v>
          </cell>
          <cell r="L523">
            <v>1.5223295019341514</v>
          </cell>
          <cell r="M523">
            <v>1.3849905224070735</v>
          </cell>
          <cell r="N523">
            <v>1.2796909624555939</v>
          </cell>
          <cell r="O523">
            <v>1.2254057868458326</v>
          </cell>
        </row>
        <row r="524">
          <cell r="A524" t="str">
            <v>T_TW-BEVELC-S1</v>
          </cell>
          <cell r="B524" t="str">
            <v>VAR_fout</v>
          </cell>
          <cell r="C524" t="str">
            <v>TPTWL</v>
          </cell>
          <cell r="D524">
            <v>1.7320727926344315E-2</v>
          </cell>
          <cell r="E524">
            <v>2.3841331782100243E-2</v>
          </cell>
          <cell r="F524">
            <v>2.4073169239527771E-2</v>
          </cell>
          <cell r="G524">
            <v>1.662725312376865E-2</v>
          </cell>
          <cell r="H524">
            <v>3.1490365133334313E-3</v>
          </cell>
          <cell r="I524">
            <v>4.2441115620415375E-3</v>
          </cell>
          <cell r="J524">
            <v>6.7357447840914117E-3</v>
          </cell>
          <cell r="K524">
            <v>1.3001335028492237E-2</v>
          </cell>
          <cell r="L524">
            <v>2.2525708514396132E-2</v>
          </cell>
          <cell r="M524">
            <v>2.9382914776662612E-2</v>
          </cell>
          <cell r="N524">
            <v>2.7511445192792566E-2</v>
          </cell>
          <cell r="O524">
            <v>3.778805287464166E-2</v>
          </cell>
        </row>
        <row r="525">
          <cell r="A525" t="str">
            <v>T_TW-BEVELC-S1</v>
          </cell>
          <cell r="B525" t="str">
            <v>VAR_fin</v>
          </cell>
          <cell r="C525" t="str">
            <v>T-ELC-TWSTGout_S1</v>
          </cell>
          <cell r="D525">
            <v>1.5605767933191521E-3</v>
          </cell>
          <cell r="E525">
            <v>2.1464595004069241E-3</v>
          </cell>
          <cell r="F525">
            <v>2.1669571664964362E-3</v>
          </cell>
          <cell r="G525">
            <v>1.4948998740004949E-3</v>
          </cell>
          <cell r="H525">
            <v>2.7444472522559024E-4</v>
          </cell>
          <cell r="I525">
            <v>3.6694486953599054E-4</v>
          </cell>
          <cell r="J525">
            <v>5.7577154721080411E-4</v>
          </cell>
          <cell r="K525">
            <v>1.095841007288798E-3</v>
          </cell>
          <cell r="L525">
            <v>1.8922767232818982E-3</v>
          </cell>
          <cell r="M525">
            <v>2.4662794942519545E-3</v>
          </cell>
          <cell r="N525">
            <v>2.3091961315598137E-3</v>
          </cell>
          <cell r="O525">
            <v>3.1717717810099072E-3</v>
          </cell>
        </row>
        <row r="526">
          <cell r="A526" t="str">
            <v>T_TW-BEVELC-S1</v>
          </cell>
          <cell r="B526" t="str">
            <v>VAR_ncap</v>
          </cell>
          <cell r="C526" t="str">
            <v>-</v>
          </cell>
          <cell r="D526">
            <v>7.6420895112891906E-5</v>
          </cell>
          <cell r="E526">
            <v>2.31033918523098E-4</v>
          </cell>
          <cell r="F526">
            <v>1.3185984916630201E-4</v>
          </cell>
          <cell r="G526">
            <v>2.2938892669533499E-4</v>
          </cell>
          <cell r="H526">
            <v>8.57393866014972E-4</v>
          </cell>
          <cell r="I526">
            <v>6.3586947821081497E-4</v>
          </cell>
          <cell r="J526">
            <v>1.35046346701317E-3</v>
          </cell>
          <cell r="K526">
            <v>3.1108294604418698E-3</v>
          </cell>
          <cell r="L526">
            <v>4.1602166097100598E-3</v>
          </cell>
          <cell r="M526">
            <v>4.6805208392737196E-3</v>
          </cell>
          <cell r="N526">
            <v>4.2882297856419302E-3</v>
          </cell>
          <cell r="O526">
            <v>6.2012655887780299E-3</v>
          </cell>
        </row>
        <row r="527">
          <cell r="A527" t="str">
            <v>T_TW-BEVELC-S1</v>
          </cell>
          <cell r="B527" t="str">
            <v>VAR_cap</v>
          </cell>
          <cell r="C527" t="str">
            <v>-</v>
          </cell>
          <cell r="D527">
            <v>6.0169944047861945E-3</v>
          </cell>
          <cell r="E527">
            <v>8.2021578343873247E-3</v>
          </cell>
          <cell r="F527">
            <v>8.3336957327463049E-3</v>
          </cell>
          <cell r="G527">
            <v>5.8083090579969633E-3</v>
          </cell>
          <cell r="H527">
            <v>1.1541690184066053E-3</v>
          </cell>
          <cell r="I527">
            <v>1.5412561655529914E-3</v>
          </cell>
          <cell r="J527">
            <v>2.4306805639705167E-3</v>
          </cell>
          <cell r="K527">
            <v>4.6781111879306463E-3</v>
          </cell>
          <cell r="L527">
            <v>7.8782089506500841E-3</v>
          </cell>
          <cell r="M527">
            <v>1.043391792849502E-2</v>
          </cell>
          <cell r="N527">
            <v>9.7052299129855024E-3</v>
          </cell>
          <cell r="O527">
            <v>1.3647209480332739E-2</v>
          </cell>
        </row>
        <row r="528">
          <cell r="A528" t="str">
            <v>T_TW-BEVELC-S2</v>
          </cell>
          <cell r="B528" t="str">
            <v>VAR_fout</v>
          </cell>
          <cell r="C528" t="str">
            <v>TPTWL</v>
          </cell>
          <cell r="D528">
            <v>2.2258498653837757E-3</v>
          </cell>
          <cell r="E528">
            <v>2.9384808253627953E-3</v>
          </cell>
          <cell r="F528">
            <v>3.0061445378760441E-3</v>
          </cell>
          <cell r="G528">
            <v>2.6802770758414659E-3</v>
          </cell>
          <cell r="H528">
            <v>1.0830099254227562E-3</v>
          </cell>
          <cell r="I528">
            <v>1.1588813220374747E-3</v>
          </cell>
          <cell r="J528">
            <v>1.6107336620560847E-3</v>
          </cell>
          <cell r="K528">
            <v>2.2198706433766533E-3</v>
          </cell>
          <cell r="L528">
            <v>2.6628330245858554E-3</v>
          </cell>
          <cell r="M528">
            <v>3.4724386329904279E-3</v>
          </cell>
          <cell r="N528">
            <v>3.2815535456995129E-3</v>
          </cell>
          <cell r="O528">
            <v>4.6024233831357293E-3</v>
          </cell>
        </row>
        <row r="529">
          <cell r="A529" t="str">
            <v>T_TW-BEVELC-S2</v>
          </cell>
          <cell r="B529" t="str">
            <v>VAR_fin</v>
          </cell>
          <cell r="C529" t="str">
            <v>T-ELC-TWSTGout_S2</v>
          </cell>
          <cell r="D529">
            <v>3.5417952685665285E-4</v>
          </cell>
          <cell r="E529">
            <v>4.6724489325867592E-4</v>
          </cell>
          <cell r="F529">
            <v>4.7766098004710627E-4</v>
          </cell>
          <cell r="G529">
            <v>4.2498128930030702E-4</v>
          </cell>
          <cell r="H529">
            <v>1.6774073503491479E-4</v>
          </cell>
          <cell r="I529">
            <v>1.7708111134476503E-4</v>
          </cell>
          <cell r="J529">
            <v>2.438315804433303E-4</v>
          </cell>
          <cell r="K529">
            <v>3.3164262990659877E-4</v>
          </cell>
          <cell r="L529">
            <v>3.9549347324007578E-4</v>
          </cell>
          <cell r="M529">
            <v>5.1469085032946585E-4</v>
          </cell>
          <cell r="N529">
            <v>4.8639753307410332E-4</v>
          </cell>
          <cell r="O529">
            <v>6.8217914123433769E-4</v>
          </cell>
        </row>
        <row r="530">
          <cell r="A530" t="str">
            <v>T_TW-BEVELC-S2</v>
          </cell>
          <cell r="B530" t="str">
            <v>VAR_ncap</v>
          </cell>
          <cell r="C530" t="str">
            <v>-</v>
          </cell>
          <cell r="D530">
            <v>3.2509372309658299E-5</v>
          </cell>
          <cell r="E530">
            <v>7.8151138847664002E-5</v>
          </cell>
          <cell r="F530">
            <v>6.5265845970611006E-5</v>
          </cell>
          <cell r="G530">
            <v>7.7760150150187898E-5</v>
          </cell>
          <cell r="H530">
            <v>2.16103716204155E-4</v>
          </cell>
          <cell r="I530">
            <v>1.73955572299153E-4</v>
          </cell>
          <cell r="J530">
            <v>2.5252666007471899E-4</v>
          </cell>
          <cell r="K530">
            <v>4.19953804426106E-4</v>
          </cell>
          <cell r="L530">
            <v>3.92823627887713E-4</v>
          </cell>
          <cell r="M530">
            <v>5.0957871693541404E-4</v>
          </cell>
          <cell r="N530">
            <v>5.2874100715545797E-4</v>
          </cell>
          <cell r="O530">
            <v>7.4104000213324897E-4</v>
          </cell>
        </row>
        <row r="531">
          <cell r="A531" t="str">
            <v>T_TW-BEVELC-S2</v>
          </cell>
          <cell r="B531" t="str">
            <v>VAR_cap</v>
          </cell>
          <cell r="C531" t="str">
            <v>-</v>
          </cell>
          <cell r="D531">
            <v>8.1729759047805244E-4</v>
          </cell>
          <cell r="E531">
            <v>1.0133943273700936E-3</v>
          </cell>
          <cell r="F531">
            <v>1.0785604455797657E-3</v>
          </cell>
          <cell r="G531">
            <v>9.9100416235053295E-4</v>
          </cell>
          <cell r="H531">
            <v>4.0976961856214436E-4</v>
          </cell>
          <cell r="I531">
            <v>4.3774040695536063E-4</v>
          </cell>
          <cell r="J531">
            <v>6.0859475037917574E-4</v>
          </cell>
          <cell r="K531">
            <v>8.4620159683424369E-4</v>
          </cell>
          <cell r="L531">
            <v>9.9736352895187928E-4</v>
          </cell>
          <cell r="M531">
            <v>1.3219049856294587E-3</v>
          </cell>
          <cell r="N531">
            <v>1.2417581021163843E-3</v>
          </cell>
          <cell r="O531">
            <v>1.7789484241741297E-3</v>
          </cell>
        </row>
        <row r="532">
          <cell r="A532" t="str">
            <v>TFRLFH2OFCL</v>
          </cell>
          <cell r="B532" t="str">
            <v>VAR_fout</v>
          </cell>
          <cell r="C532" t="str">
            <v>TFRLF</v>
          </cell>
          <cell r="I532">
            <v>1.3924239881828992E-6</v>
          </cell>
          <cell r="J532">
            <v>1.5343182533879567E-6</v>
          </cell>
          <cell r="K532">
            <v>2.5695051948092978E-6</v>
          </cell>
          <cell r="L532">
            <v>2.642946846010856E-6</v>
          </cell>
          <cell r="M532">
            <v>3.530472109534578E-6</v>
          </cell>
          <cell r="N532">
            <v>3.4062276606116057E-6</v>
          </cell>
          <cell r="O532">
            <v>9.734940130101269E-6</v>
          </cell>
        </row>
        <row r="533">
          <cell r="A533" t="str">
            <v>TFRLFH2OFCL</v>
          </cell>
          <cell r="B533" t="str">
            <v>VAR_fin</v>
          </cell>
          <cell r="C533" t="str">
            <v>TH2O</v>
          </cell>
          <cell r="I533">
            <v>1.9082475318649017E-4</v>
          </cell>
          <cell r="J533">
            <v>2.3192826018929519E-4</v>
          </cell>
          <cell r="K533">
            <v>4.3300673569210537E-4</v>
          </cell>
          <cell r="L533">
            <v>4.4538294326501376E-4</v>
          </cell>
          <cell r="M533">
            <v>5.9494653160841306E-4</v>
          </cell>
          <cell r="N533">
            <v>5.7400916072288964E-4</v>
          </cell>
          <cell r="O533">
            <v>1.6405083190369194E-3</v>
          </cell>
        </row>
        <row r="534">
          <cell r="A534" t="str">
            <v>TFRLFH2OFCL</v>
          </cell>
          <cell r="B534" t="str">
            <v>VAR_ncap</v>
          </cell>
          <cell r="C534" t="str">
            <v>-</v>
          </cell>
          <cell r="I534">
            <v>2.1048113131971099E-7</v>
          </cell>
          <cell r="J534">
            <v>2.0393853304580002E-8</v>
          </cell>
          <cell r="K534">
            <v>1.6166905754547401E-7</v>
          </cell>
          <cell r="M534">
            <v>1.4035924305033999E-7</v>
          </cell>
          <cell r="N534">
            <v>1.1778224447709999E-8</v>
          </cell>
          <cell r="O534">
            <v>6.5321130021307597E-7</v>
          </cell>
        </row>
        <row r="535">
          <cell r="A535" t="str">
            <v>TFRLFH2OFCL</v>
          </cell>
          <cell r="B535" t="str">
            <v>VAR_cap</v>
          </cell>
          <cell r="C535" t="str">
            <v>-</v>
          </cell>
          <cell r="I535">
            <v>2.1048113131971099E-7</v>
          </cell>
          <cell r="J535">
            <v>2.30874984624291E-7</v>
          </cell>
          <cell r="K535">
            <v>3.9254404216976498E-7</v>
          </cell>
          <cell r="L535">
            <v>3.9254404216976498E-7</v>
          </cell>
          <cell r="M535">
            <v>5.3290328522010603E-7</v>
          </cell>
          <cell r="N535">
            <v>5.1173069492515E-7</v>
          </cell>
          <cell r="O535">
            <v>9.87411678561181E-7</v>
          </cell>
        </row>
        <row r="536">
          <cell r="A536" t="str">
            <v>T_TW-BEVELC-S3</v>
          </cell>
          <cell r="B536" t="str">
            <v>VAR_fout</v>
          </cell>
          <cell r="C536" t="str">
            <v>TPTWL</v>
          </cell>
          <cell r="D536">
            <v>3.4355241470499756E-4</v>
          </cell>
          <cell r="E536">
            <v>6.5508774848607146E-4</v>
          </cell>
          <cell r="F536">
            <v>7.8739439521774174E-4</v>
          </cell>
          <cell r="G536">
            <v>8.8982662770166021E-4</v>
          </cell>
          <cell r="H536">
            <v>1.1946750342988388E-3</v>
          </cell>
          <cell r="I536">
            <v>1.22039197471108E-3</v>
          </cell>
          <cell r="J536">
            <v>1.1391015644933303E-3</v>
          </cell>
          <cell r="K536">
            <v>1.5253791792856346E-3</v>
          </cell>
          <cell r="L536">
            <v>1.8168307431098544E-3</v>
          </cell>
          <cell r="M536">
            <v>2.1376501159847323E-3</v>
          </cell>
          <cell r="N536">
            <v>2.4627151263173983E-3</v>
          </cell>
          <cell r="O536">
            <v>2.9562511254400438E-3</v>
          </cell>
        </row>
        <row r="537">
          <cell r="A537" t="str">
            <v>T_TW-BEVELC-S3</v>
          </cell>
          <cell r="B537" t="str">
            <v>VAR_fin</v>
          </cell>
          <cell r="C537" t="str">
            <v>T-ELC-TWSTGout_S3</v>
          </cell>
          <cell r="D537">
            <v>8.3995203034949352E-5</v>
          </cell>
          <cell r="E537">
            <v>1.5984670198813071E-4</v>
          </cell>
          <cell r="F537">
            <v>1.9165373428992093E-4</v>
          </cell>
          <cell r="G537">
            <v>2.1575641632558975E-4</v>
          </cell>
          <cell r="H537">
            <v>2.8702532279832285E-4</v>
          </cell>
          <cell r="I537">
            <v>2.887548319221237E-4</v>
          </cell>
          <cell r="J537">
            <v>2.6386473468595752E-4</v>
          </cell>
          <cell r="K537">
            <v>3.4940150253091635E-4</v>
          </cell>
          <cell r="L537">
            <v>4.1289365677365315E-4</v>
          </cell>
          <cell r="M537">
            <v>4.8258794440749386E-4</v>
          </cell>
          <cell r="N537">
            <v>5.5479153459083873E-4</v>
          </cell>
          <cell r="O537">
            <v>6.6597353505977398E-4</v>
          </cell>
        </row>
        <row r="538">
          <cell r="A538" t="str">
            <v>T_TW-BEVELC-S3</v>
          </cell>
          <cell r="B538" t="str">
            <v>VAR_ncap</v>
          </cell>
          <cell r="C538" t="str">
            <v>-</v>
          </cell>
          <cell r="D538">
            <v>2.1247047857770899E-5</v>
          </cell>
          <cell r="E538">
            <v>4.6058979963146097E-5</v>
          </cell>
          <cell r="F538">
            <v>5.2537507524436399E-5</v>
          </cell>
          <cell r="G538">
            <v>4.9483800724021302E-5</v>
          </cell>
          <cell r="H538">
            <v>1.1944604255328201E-4</v>
          </cell>
          <cell r="I538">
            <v>1.3246442362078699E-4</v>
          </cell>
          <cell r="J538">
            <v>1.3845209343575599E-4</v>
          </cell>
          <cell r="K538">
            <v>1.94499189394866E-4</v>
          </cell>
          <cell r="L538">
            <v>2.07308309804164E-4</v>
          </cell>
          <cell r="M538">
            <v>2.8056238843217498E-4</v>
          </cell>
          <cell r="N538">
            <v>2.5945121019193602E-4</v>
          </cell>
          <cell r="O538">
            <v>3.99013015280258E-4</v>
          </cell>
        </row>
        <row r="539">
          <cell r="A539" t="str">
            <v>T_TW-BEVELC-S3</v>
          </cell>
          <cell r="B539" t="str">
            <v>VAR_cap</v>
          </cell>
          <cell r="C539" t="str">
            <v>-</v>
          </cell>
          <cell r="D539">
            <v>1.2822467370938759E-4</v>
          </cell>
          <cell r="E539">
            <v>2.2916141568016317E-4</v>
          </cell>
          <cell r="F539">
            <v>2.8167502936316777E-4</v>
          </cell>
          <cell r="G539">
            <v>3.3080607760617615E-4</v>
          </cell>
          <cell r="H539">
            <v>4.4957547096788185E-4</v>
          </cell>
          <cell r="I539">
            <v>4.6227834267305572E-4</v>
          </cell>
          <cell r="J539">
            <v>4.3329948815199832E-4</v>
          </cell>
          <cell r="K539">
            <v>5.8455817927399528E-4</v>
          </cell>
          <cell r="L539">
            <v>6.9112289568582885E-4</v>
          </cell>
          <cell r="M539">
            <v>8.2047801311472711E-4</v>
          </cell>
          <cell r="N539">
            <v>9.4151593631846718E-4</v>
          </cell>
          <cell r="O539">
            <v>1.1459784984688582E-3</v>
          </cell>
        </row>
        <row r="540">
          <cell r="A540" t="str">
            <v>T_TW-BEVELC-S4</v>
          </cell>
          <cell r="B540" t="str">
            <v>VAR_fout</v>
          </cell>
          <cell r="C540" t="str">
            <v>TPTWL</v>
          </cell>
          <cell r="D540">
            <v>1.7768008289080554E-4</v>
          </cell>
          <cell r="E540">
            <v>3.5415690769745876E-4</v>
          </cell>
          <cell r="F540">
            <v>4.6431511561580624E-4</v>
          </cell>
          <cell r="G540">
            <v>5.5933999725654737E-4</v>
          </cell>
          <cell r="H540">
            <v>7.383467373833617E-4</v>
          </cell>
          <cell r="I540">
            <v>9.5504135330813059E-4</v>
          </cell>
          <cell r="J540">
            <v>1.0397233709241447E-3</v>
          </cell>
          <cell r="K540">
            <v>1.1641695475522206E-3</v>
          </cell>
          <cell r="L540">
            <v>1.3971041807627918E-3</v>
          </cell>
          <cell r="M540">
            <v>1.6450973868539567E-3</v>
          </cell>
          <cell r="N540">
            <v>1.8250159338642738E-3</v>
          </cell>
          <cell r="O540">
            <v>2.2304437093421236E-3</v>
          </cell>
        </row>
        <row r="541">
          <cell r="A541" t="str">
            <v>T_TW-BEVELC-S4</v>
          </cell>
          <cell r="B541" t="str">
            <v>VAR_fin</v>
          </cell>
          <cell r="C541" t="str">
            <v>T-ELC-TWSTGout_S4</v>
          </cell>
          <cell r="D541">
            <v>4.7191914721783889E-5</v>
          </cell>
          <cell r="E541">
            <v>9.3811377512148671E-5</v>
          </cell>
          <cell r="F541">
            <v>1.2255994122632705E-4</v>
          </cell>
          <cell r="G541">
            <v>1.468238511087829E-4</v>
          </cell>
          <cell r="H541">
            <v>1.9210053097827611E-4</v>
          </cell>
          <cell r="I541">
            <v>2.4614918419747989E-4</v>
          </cell>
          <cell r="J541">
            <v>2.6318419847578753E-4</v>
          </cell>
          <cell r="K541">
            <v>2.8832076256756818E-4</v>
          </cell>
          <cell r="L541">
            <v>3.4320143604429665E-4</v>
          </cell>
          <cell r="M541">
            <v>4.0139948670054904E-4</v>
          </cell>
          <cell r="N541">
            <v>4.4338161806931937E-4</v>
          </cell>
          <cell r="O541">
            <v>5.4087651453598015E-4</v>
          </cell>
        </row>
        <row r="542">
          <cell r="A542" t="str">
            <v>T_TW-BEVELC-S4</v>
          </cell>
          <cell r="B542" t="str">
            <v>VAR_ncap</v>
          </cell>
          <cell r="C542" t="str">
            <v>-</v>
          </cell>
          <cell r="D542">
            <v>5.3207895112900502E-5</v>
          </cell>
          <cell r="E542">
            <v>4.1828136352580797E-5</v>
          </cell>
          <cell r="F542">
            <v>4.1261391979375401E-5</v>
          </cell>
          <cell r="G542">
            <v>4.28827443211201E-5</v>
          </cell>
          <cell r="H542">
            <v>6.9118404718285006E-5</v>
          </cell>
          <cell r="I542">
            <v>8.2449009748142001E-5</v>
          </cell>
          <cell r="J542">
            <v>1.0890381286929301E-4</v>
          </cell>
          <cell r="K542">
            <v>1.41828364474222E-4</v>
          </cell>
          <cell r="L542">
            <v>1.29438806005199E-4</v>
          </cell>
          <cell r="M542">
            <v>1.6856325338792299E-4</v>
          </cell>
          <cell r="N542">
            <v>1.67022784467797E-4</v>
          </cell>
          <cell r="O542">
            <v>2.5534298230768E-4</v>
          </cell>
        </row>
        <row r="543">
          <cell r="A543" t="str">
            <v>T_TW-BEVELC-S4</v>
          </cell>
          <cell r="B543" t="str">
            <v>VAR_cap</v>
          </cell>
          <cell r="C543" t="str">
            <v>-</v>
          </cell>
          <cell r="D543">
            <v>6.6207895112900506E-5</v>
          </cell>
          <cell r="E543">
            <v>1.2195184902847864E-4</v>
          </cell>
          <cell r="F543">
            <v>1.6318153789364134E-4</v>
          </cell>
          <cell r="G543">
            <v>2.0573371041159982E-4</v>
          </cell>
          <cell r="H543">
            <v>2.7474366622524748E-4</v>
          </cell>
          <cell r="I543">
            <v>3.5692028246220265E-4</v>
          </cell>
          <cell r="J543">
            <v>3.9500408681955666E-4</v>
          </cell>
          <cell r="K543">
            <v>4.4493449117804785E-4</v>
          </cell>
          <cell r="L543">
            <v>5.3146651098597876E-4</v>
          </cell>
          <cell r="M543">
            <v>6.3077425871465708E-4</v>
          </cell>
          <cell r="N543">
            <v>6.9835733452405628E-4</v>
          </cell>
          <cell r="O543">
            <v>8.6191644984450703E-4</v>
          </cell>
        </row>
        <row r="544">
          <cell r="A544" t="str">
            <v>T_B_u-BeVELCEXT</v>
          </cell>
          <cell r="B544" t="str">
            <v>VAR_fout</v>
          </cell>
          <cell r="C544" t="str">
            <v>TPBSu</v>
          </cell>
          <cell r="D544">
            <v>1.5834151153198488E-3</v>
          </cell>
          <cell r="E544">
            <v>1.6056502106461927E-3</v>
          </cell>
          <cell r="F544">
            <v>1.0044069175699681E-3</v>
          </cell>
        </row>
        <row r="545">
          <cell r="A545" t="str">
            <v>T_B_u-BeVELCEXT</v>
          </cell>
          <cell r="B545" t="str">
            <v>VAR_fin</v>
          </cell>
          <cell r="C545" t="str">
            <v>TELC</v>
          </cell>
          <cell r="D545">
            <v>3.7784888151781905E-4</v>
          </cell>
          <cell r="E545">
            <v>4.759243755299141E-4</v>
          </cell>
          <cell r="F545">
            <v>4.6749858231236467E-4</v>
          </cell>
        </row>
        <row r="546">
          <cell r="A546" t="str">
            <v>T_B_u-BeVELCEXT</v>
          </cell>
          <cell r="B546" t="str">
            <v>VAR_cap</v>
          </cell>
          <cell r="C546" t="str">
            <v>-</v>
          </cell>
          <cell r="D546">
            <v>2.9998964320577918E-5</v>
          </cell>
          <cell r="E546">
            <v>3.02316440049444E-5</v>
          </cell>
          <cell r="F546">
            <v>1.8894777503090199E-5</v>
          </cell>
        </row>
        <row r="547">
          <cell r="A547" t="str">
            <v>T_B_u-HYBDSL-S1</v>
          </cell>
          <cell r="B547" t="str">
            <v>VAR_fout</v>
          </cell>
          <cell r="C547" t="str">
            <v>CO2_T</v>
          </cell>
          <cell r="E547">
            <v>0.27207830178987402</v>
          </cell>
          <cell r="F547">
            <v>0.30334008919379457</v>
          </cell>
          <cell r="G547">
            <v>2.434058514706524E-2</v>
          </cell>
          <cell r="H547">
            <v>5.5489354543196319E-2</v>
          </cell>
          <cell r="I547">
            <v>7.8461133778133421E-2</v>
          </cell>
          <cell r="J547">
            <v>0.15116886120271941</v>
          </cell>
          <cell r="K547">
            <v>0.35284047431689231</v>
          </cell>
          <cell r="L547">
            <v>0.63838019936617107</v>
          </cell>
          <cell r="M547">
            <v>2.1036439752772069</v>
          </cell>
          <cell r="N547">
            <v>17.253403415188288</v>
          </cell>
          <cell r="O547">
            <v>24.640728155375822</v>
          </cell>
        </row>
        <row r="548">
          <cell r="A548" t="str">
            <v>T_B_u-HYBDSL-S1</v>
          </cell>
          <cell r="B548" t="str">
            <v>VAR_fout</v>
          </cell>
          <cell r="C548" t="str">
            <v>TPBSu</v>
          </cell>
          <cell r="E548">
            <v>6.0322580394172925E-4</v>
          </cell>
          <cell r="F548">
            <v>6.7616808362863971E-4</v>
          </cell>
          <cell r="G548">
            <v>5.8222110623660114E-5</v>
          </cell>
          <cell r="H548">
            <v>1.4428500880127153E-4</v>
          </cell>
          <cell r="I548">
            <v>2.1300740697185756E-4</v>
          </cell>
          <cell r="J548">
            <v>4.32450912021176E-4</v>
          </cell>
          <cell r="K548">
            <v>1.0667289643038959E-3</v>
          </cell>
          <cell r="L548">
            <v>1.9533250029676818E-3</v>
          </cell>
          <cell r="M548">
            <v>6.4553706615996251E-3</v>
          </cell>
          <cell r="N548">
            <v>5.2944849759794792E-2</v>
          </cell>
          <cell r="O548">
            <v>7.561404661817997E-2</v>
          </cell>
        </row>
        <row r="549">
          <cell r="A549" t="str">
            <v>T_B_u-HYBDSL-S1</v>
          </cell>
          <cell r="B549" t="str">
            <v>VAR_fin</v>
          </cell>
          <cell r="C549" t="str">
            <v>TDSL</v>
          </cell>
          <cell r="E549">
            <v>3.7118458634362046E-3</v>
          </cell>
          <cell r="F549">
            <v>4.1383368239262548E-3</v>
          </cell>
          <cell r="G549">
            <v>3.3206801019188556E-4</v>
          </cell>
          <cell r="H549">
            <v>7.5701711518685205E-4</v>
          </cell>
          <cell r="I549">
            <v>1.0704111020209189E-3</v>
          </cell>
          <cell r="J549">
            <v>2.0623309850302785E-3</v>
          </cell>
          <cell r="K549">
            <v>4.8136490357011275E-3</v>
          </cell>
          <cell r="L549">
            <v>8.7091432382833626E-3</v>
          </cell>
          <cell r="M549">
            <v>2.8699099253440774E-2</v>
          </cell>
          <cell r="N549">
            <v>0.23538067414990818</v>
          </cell>
          <cell r="O549">
            <v>0.33616273063268404</v>
          </cell>
        </row>
        <row r="550">
          <cell r="A550" t="str">
            <v>T_B_u-HYBDSL-S1</v>
          </cell>
          <cell r="B550" t="str">
            <v>VAR_ncap</v>
          </cell>
          <cell r="C550" t="str">
            <v>-</v>
          </cell>
          <cell r="E550">
            <v>1.15061577779529E-5</v>
          </cell>
          <cell r="F550">
            <v>1.5385840630694199E-6</v>
          </cell>
          <cell r="G550">
            <v>5.8843856891957495E-7</v>
          </cell>
          <cell r="H550">
            <v>2.2707904070412001E-6</v>
          </cell>
          <cell r="I550">
            <v>2.1626478274407199E-6</v>
          </cell>
          <cell r="J550">
            <v>5.8338903899786296E-6</v>
          </cell>
          <cell r="K550">
            <v>1.62212511657608E-5</v>
          </cell>
          <cell r="L550">
            <v>2.2436379241341699E-5</v>
          </cell>
          <cell r="M550">
            <v>1.02080010558714E-4</v>
          </cell>
          <cell r="N550">
            <v>9.8312321711910506E-4</v>
          </cell>
          <cell r="O550">
            <v>7.4808692671245495E-4</v>
          </cell>
        </row>
        <row r="551">
          <cell r="A551" t="str">
            <v>T_B_u-HYBDSL-S1</v>
          </cell>
          <cell r="B551" t="str">
            <v>VAR_cap</v>
          </cell>
          <cell r="C551" t="str">
            <v>-</v>
          </cell>
          <cell r="E551">
            <v>1.15061577779529E-5</v>
          </cell>
          <cell r="F551">
            <v>1.3044741841022399E-5</v>
          </cell>
          <cell r="G551">
            <v>1.2517644489716995E-6</v>
          </cell>
          <cell r="H551">
            <v>3.0915202415605359E-6</v>
          </cell>
          <cell r="I551">
            <v>4.4990175931336934E-6</v>
          </cell>
          <cell r="J551">
            <v>9.1497379851606304E-6</v>
          </cell>
          <cell r="K551">
            <v>2.2793896079129501E-5</v>
          </cell>
          <cell r="L551">
            <v>4.1281776486495497E-5</v>
          </cell>
          <cell r="M551">
            <v>1.3279487812349657E-4</v>
          </cell>
          <cell r="N551">
            <v>1.0891719518786845E-3</v>
          </cell>
          <cell r="O551">
            <v>1.8000463144054314E-3</v>
          </cell>
        </row>
        <row r="552">
          <cell r="A552" t="str">
            <v>T_B_u-HYBDSL-S2</v>
          </cell>
          <cell r="B552" t="str">
            <v>VAR_fout</v>
          </cell>
          <cell r="C552" t="str">
            <v>CO2_T</v>
          </cell>
          <cell r="E552">
            <v>3.4509783403448797E-2</v>
          </cell>
          <cell r="F552">
            <v>5.5269902040832805E-2</v>
          </cell>
          <cell r="G552">
            <v>4.1829724229393933E-2</v>
          </cell>
          <cell r="H552">
            <v>6.0577435376202214E-2</v>
          </cell>
          <cell r="I552">
            <v>7.779662236643084E-2</v>
          </cell>
          <cell r="J552">
            <v>0.1268683857263285</v>
          </cell>
          <cell r="K552">
            <v>0.20447112185698479</v>
          </cell>
          <cell r="L552">
            <v>0.2986512229224339</v>
          </cell>
          <cell r="M552">
            <v>0.4626219759104091</v>
          </cell>
          <cell r="N552">
            <v>0.61656467070705379</v>
          </cell>
          <cell r="O552">
            <v>1.3758728414085151</v>
          </cell>
        </row>
        <row r="553">
          <cell r="A553" t="str">
            <v>T_B_u-HYBDSL-S2</v>
          </cell>
          <cell r="B553" t="str">
            <v>VAR_fout</v>
          </cell>
          <cell r="C553" t="str">
            <v>TPBSu</v>
          </cell>
          <cell r="E553">
            <v>5.4845572203149867E-5</v>
          </cell>
          <cell r="F553">
            <v>8.9464944549673864E-5</v>
          </cell>
          <cell r="G553">
            <v>7.1119643080774431E-5</v>
          </cell>
          <cell r="H553">
            <v>1.1162311777220102E-4</v>
          </cell>
          <cell r="I553">
            <v>1.5142143419317604E-4</v>
          </cell>
          <cell r="J553">
            <v>2.5897140878619449E-4</v>
          </cell>
          <cell r="K553">
            <v>4.40450828095784E-4</v>
          </cell>
          <cell r="L553">
            <v>6.5380203467556893E-4</v>
          </cell>
          <cell r="M553">
            <v>1.0175088892519391E-3</v>
          </cell>
          <cell r="N553">
            <v>1.3560964803034257E-3</v>
          </cell>
          <cell r="O553">
            <v>3.0261486040702112E-3</v>
          </cell>
        </row>
        <row r="554">
          <cell r="A554" t="str">
            <v>T_B_u-HYBDSL-S2</v>
          </cell>
          <cell r="B554" t="str">
            <v>VAR_fin</v>
          </cell>
          <cell r="C554" t="str">
            <v>TDSL</v>
          </cell>
          <cell r="E554">
            <v>4.7080195639084274E-4</v>
          </cell>
          <cell r="F554">
            <v>7.5402322020235715E-4</v>
          </cell>
          <cell r="G554">
            <v>5.7066472345694249E-4</v>
          </cell>
          <cell r="H554">
            <v>8.2643158766988051E-4</v>
          </cell>
          <cell r="I554">
            <v>1.0613454620249777E-3</v>
          </cell>
          <cell r="J554">
            <v>1.7308101736197622E-3</v>
          </cell>
          <cell r="K554">
            <v>2.7895105301089258E-3</v>
          </cell>
          <cell r="L554">
            <v>4.0743686619704577E-3</v>
          </cell>
          <cell r="M554">
            <v>6.3113502852716044E-3</v>
          </cell>
          <cell r="N554">
            <v>8.4115234748574907E-3</v>
          </cell>
          <cell r="O554">
            <v>1.8770434398479054E-2</v>
          </cell>
        </row>
        <row r="555">
          <cell r="A555" t="str">
            <v>T_B_u-HYBDSL-S2</v>
          </cell>
          <cell r="B555" t="str">
            <v>VAR_ncap</v>
          </cell>
          <cell r="C555" t="str">
            <v>-</v>
          </cell>
          <cell r="E555">
            <v>1.0807692924722301E-6</v>
          </cell>
          <cell r="F555">
            <v>6.7121101826753395E-7</v>
          </cell>
          <cell r="G555">
            <v>5.2075070517141805E-7</v>
          </cell>
          <cell r="H555">
            <v>1.4124005595021E-6</v>
          </cell>
          <cell r="I555">
            <v>1.4953552164285799E-6</v>
          </cell>
          <cell r="J555">
            <v>2.89653672408211E-6</v>
          </cell>
          <cell r="K555">
            <v>5.3366699892376499E-6</v>
          </cell>
          <cell r="L555">
            <v>6.0674187911380196E-6</v>
          </cell>
          <cell r="M555">
            <v>1.11034883601404E-5</v>
          </cell>
          <cell r="N555">
            <v>1.3949108485725299E-5</v>
          </cell>
          <cell r="O555">
            <v>3.6911080755483802E-5</v>
          </cell>
        </row>
        <row r="556">
          <cell r="A556" t="str">
            <v>T_B_u-HYBDSL-S2</v>
          </cell>
          <cell r="B556" t="str">
            <v>VAR_cap</v>
          </cell>
          <cell r="C556" t="str">
            <v>-</v>
          </cell>
          <cell r="E556">
            <v>1.0807692924722301E-6</v>
          </cell>
          <cell r="F556">
            <v>1.7519803107397601E-6</v>
          </cell>
          <cell r="G556">
            <v>1.3997866016096051E-6</v>
          </cell>
          <cell r="H556">
            <v>2.2569720043753976E-6</v>
          </cell>
          <cell r="I556">
            <v>3.01711182940826E-6</v>
          </cell>
          <cell r="J556">
            <v>5.1242371614461598E-6</v>
          </cell>
          <cell r="K556">
            <v>8.7440159242299299E-6</v>
          </cell>
          <cell r="L556">
            <v>1.27069818723293E-5</v>
          </cell>
          <cell r="M556">
            <v>1.99051169267269E-5</v>
          </cell>
          <cell r="N556">
            <v>2.6127269731382401E-5</v>
          </cell>
          <cell r="O556">
            <v>5.8353520873488203E-5</v>
          </cell>
        </row>
        <row r="557">
          <cell r="A557" t="str">
            <v>T_B_u-HYBDSL-S3</v>
          </cell>
          <cell r="B557" t="str">
            <v>VAR_fout</v>
          </cell>
          <cell r="C557" t="str">
            <v>CO2_T</v>
          </cell>
          <cell r="E557">
            <v>3.42644468284103</v>
          </cell>
          <cell r="F557">
            <v>43.159139929328973</v>
          </cell>
          <cell r="G557">
            <v>60.779552290583993</v>
          </cell>
          <cell r="H557">
            <v>64.838320355081493</v>
          </cell>
          <cell r="I557">
            <v>73.3246666315883</v>
          </cell>
          <cell r="J557">
            <v>79.181537865268979</v>
          </cell>
          <cell r="K557">
            <v>85.898605552238706</v>
          </cell>
          <cell r="L557">
            <v>91.993660970055572</v>
          </cell>
          <cell r="M557">
            <v>97.575473387013801</v>
          </cell>
          <cell r="N557">
            <v>75.035109946570799</v>
          </cell>
          <cell r="O557">
            <v>62.053727413896297</v>
          </cell>
        </row>
        <row r="558">
          <cell r="A558" t="str">
            <v>T_B_u-HYBDSL-S3</v>
          </cell>
          <cell r="B558" t="str">
            <v>VAR_fout</v>
          </cell>
          <cell r="C558" t="str">
            <v>TPBSu</v>
          </cell>
          <cell r="E558">
            <v>3.6571724068511068E-3</v>
          </cell>
          <cell r="F558">
            <v>4.8215654351427384E-2</v>
          </cell>
          <cell r="G558">
            <v>6.976686060324698E-2</v>
          </cell>
          <cell r="H558">
            <v>8.1971653685373944E-2</v>
          </cell>
          <cell r="I558">
            <v>9.5355168146548402E-2</v>
          </cell>
          <cell r="J558">
            <v>0.10949551651596336</v>
          </cell>
          <cell r="K558">
            <v>0.12387912009374207</v>
          </cell>
          <cell r="L558">
            <v>0.13582933267764802</v>
          </cell>
          <cell r="M558">
            <v>0.14463224597007876</v>
          </cell>
          <cell r="N558">
            <v>0.11122156113083906</v>
          </cell>
          <cell r="O558">
            <v>9.197977376025035E-2</v>
          </cell>
        </row>
        <row r="559">
          <cell r="A559" t="str">
            <v>T_B_u-HYBDSL-S3</v>
          </cell>
          <cell r="B559" t="str">
            <v>VAR_fin</v>
          </cell>
          <cell r="C559" t="str">
            <v>TDSL</v>
          </cell>
          <cell r="E559">
            <v>4.6745493626753572E-2</v>
          </cell>
          <cell r="F559">
            <v>0.58880136329234534</v>
          </cell>
          <cell r="G559">
            <v>0.82918898077195113</v>
          </cell>
          <cell r="H559">
            <v>0.88456098710888831</v>
          </cell>
          <cell r="I559">
            <v>1.0003365161198947</v>
          </cell>
          <cell r="J559">
            <v>1.0802392614634242</v>
          </cell>
          <cell r="K559">
            <v>1.1718772926635568</v>
          </cell>
          <cell r="L559">
            <v>1.2550294811740195</v>
          </cell>
          <cell r="M559">
            <v>1.3311797187860006</v>
          </cell>
          <cell r="N559">
            <v>1.0236713498850027</v>
          </cell>
          <cell r="O559">
            <v>0.84657199746106704</v>
          </cell>
        </row>
        <row r="560">
          <cell r="A560" t="str">
            <v>T_B_u-HYBDSL-S3</v>
          </cell>
          <cell r="B560" t="str">
            <v>VAR_ncap</v>
          </cell>
          <cell r="C560" t="str">
            <v>-</v>
          </cell>
          <cell r="E560">
            <v>6.8998076521750097E-5</v>
          </cell>
          <cell r="F560">
            <v>8.40304250453039E-4</v>
          </cell>
          <cell r="G560">
            <v>4.3448490877123899E-4</v>
          </cell>
          <cell r="H560">
            <v>1.2160746834243999E-3</v>
          </cell>
          <cell r="I560">
            <v>5.8217831446031004E-4</v>
          </cell>
          <cell r="J560">
            <v>1.3585485674046599E-3</v>
          </cell>
          <cell r="K560">
            <v>9.7778917738829498E-4</v>
          </cell>
          <cell r="L560">
            <v>1.37507586408281E-3</v>
          </cell>
          <cell r="M560">
            <v>1.6837645414933E-3</v>
          </cell>
          <cell r="N560">
            <v>4.1383489245492498E-4</v>
          </cell>
          <cell r="O560">
            <v>1.3211608541413499E-3</v>
          </cell>
        </row>
        <row r="561">
          <cell r="A561" t="str">
            <v>T_B_u-HYBDSL-S3</v>
          </cell>
          <cell r="B561" t="str">
            <v>VAR_cap</v>
          </cell>
          <cell r="C561" t="str">
            <v>-</v>
          </cell>
          <cell r="E561">
            <v>6.8998076521750097E-5</v>
          </cell>
          <cell r="F561">
            <v>9.09302326974789E-4</v>
          </cell>
          <cell r="G561">
            <v>1.3156700879787999E-3</v>
          </cell>
          <cell r="H561">
            <v>1.54592785934978E-3</v>
          </cell>
          <cell r="I561">
            <v>1.7982529978847099E-3</v>
          </cell>
          <cell r="J561">
            <v>2.0649803710998502E-3</v>
          </cell>
          <cell r="K561">
            <v>2.3363377447929499E-3</v>
          </cell>
          <cell r="L561">
            <v>2.5616115688816901E-3</v>
          </cell>
          <cell r="M561">
            <v>2.7276975567706099E-3</v>
          </cell>
          <cell r="N561">
            <v>2.0975994339482201E-3</v>
          </cell>
          <cell r="O561">
            <v>1.7349957465962801E-3</v>
          </cell>
        </row>
        <row r="562">
          <cell r="A562" t="str">
            <v>T_C-HY-GSL-S1</v>
          </cell>
          <cell r="B562" t="str">
            <v>VAR_fout</v>
          </cell>
          <cell r="C562" t="str">
            <v>CO2_T</v>
          </cell>
          <cell r="D562">
            <v>3.375676371771589</v>
          </cell>
          <cell r="E562">
            <v>3.9600812100846272</v>
          </cell>
          <cell r="F562">
            <v>2.7860359501273271</v>
          </cell>
          <cell r="G562">
            <v>2.1588775981756698</v>
          </cell>
          <cell r="H562">
            <v>19.453043097497119</v>
          </cell>
          <cell r="I562">
            <v>38.271359186768571</v>
          </cell>
          <cell r="J562">
            <v>29.940220526759141</v>
          </cell>
          <cell r="K562">
            <v>12.903174940726815</v>
          </cell>
          <cell r="L562">
            <v>1.8937815289252393</v>
          </cell>
          <cell r="M562">
            <v>9.3072524504322605</v>
          </cell>
          <cell r="N562">
            <v>32.546686341019743</v>
          </cell>
          <cell r="O562">
            <v>44.202131371727617</v>
          </cell>
        </row>
        <row r="563">
          <cell r="A563" t="str">
            <v>T_C-HY-GSL-S1</v>
          </cell>
          <cell r="B563" t="str">
            <v>VAR_fout</v>
          </cell>
          <cell r="C563" t="str">
            <v>TPCAR</v>
          </cell>
          <cell r="D563">
            <v>5.1875507682894235E-2</v>
          </cell>
          <cell r="E563">
            <v>6.2221037908121307E-2</v>
          </cell>
          <cell r="F563">
            <v>4.3659072738052918E-2</v>
          </cell>
          <cell r="G563">
            <v>3.506899466950239E-2</v>
          </cell>
          <cell r="H563">
            <v>0.24458237709756292</v>
          </cell>
          <cell r="I563">
            <v>0.49209453831448174</v>
          </cell>
          <cell r="J563">
            <v>0.3857398663327502</v>
          </cell>
          <cell r="K563">
            <v>0.16944290781926796</v>
          </cell>
          <cell r="L563">
            <v>2.5458862630158282E-2</v>
          </cell>
          <cell r="M563">
            <v>0.1485617570495753</v>
          </cell>
          <cell r="N563">
            <v>0.51967725735539194</v>
          </cell>
          <cell r="O563">
            <v>0.70580416027749271</v>
          </cell>
        </row>
        <row r="564">
          <cell r="A564" t="str">
            <v>T_C-HY-GSL-S1</v>
          </cell>
          <cell r="B564" t="str">
            <v>VAR_fin</v>
          </cell>
          <cell r="C564" t="str">
            <v>TGSL</v>
          </cell>
          <cell r="D564">
            <v>4.5740872246227617E-2</v>
          </cell>
          <cell r="E564">
            <v>5.3659636993016693E-2</v>
          </cell>
          <cell r="F564">
            <v>3.7751164635871526E-2</v>
          </cell>
          <cell r="G564">
            <v>2.9253083986120178E-2</v>
          </cell>
          <cell r="H564">
            <v>0.26359136988478504</v>
          </cell>
          <cell r="I564">
            <v>0.51858210280174166</v>
          </cell>
          <cell r="J564">
            <v>0.40569404507803786</v>
          </cell>
          <cell r="K564">
            <v>0.17483976884453695</v>
          </cell>
          <cell r="L564">
            <v>2.5660996326900252E-2</v>
          </cell>
          <cell r="M564">
            <v>0.12611453184867563</v>
          </cell>
          <cell r="N564">
            <v>0.44101201004091817</v>
          </cell>
          <cell r="O564">
            <v>0.59894486953560455</v>
          </cell>
        </row>
        <row r="565">
          <cell r="A565" t="str">
            <v>T_C-HY-GSL-S1</v>
          </cell>
          <cell r="B565" t="str">
            <v>VAR_ncap</v>
          </cell>
          <cell r="C565" t="str">
            <v>-</v>
          </cell>
          <cell r="E565">
            <v>9.0881813083405102E-5</v>
          </cell>
          <cell r="F565">
            <v>8.1949912842850298E-5</v>
          </cell>
          <cell r="G565">
            <v>5.1638533105252999E-5</v>
          </cell>
          <cell r="H565">
            <v>3.7509502368233201E-2</v>
          </cell>
          <cell r="I565">
            <v>4.3411356394197097E-2</v>
          </cell>
          <cell r="J565">
            <v>9.2003083806727596E-5</v>
          </cell>
          <cell r="K565">
            <v>8.8374434145747596E-5</v>
          </cell>
          <cell r="L565">
            <v>5.9422123232535202E-4</v>
          </cell>
          <cell r="M565">
            <v>2.24696443019121E-2</v>
          </cell>
          <cell r="N565">
            <v>7.8737939460533105E-2</v>
          </cell>
          <cell r="O565">
            <v>2.83291147112298E-2</v>
          </cell>
        </row>
        <row r="566">
          <cell r="A566" t="str">
            <v>T_C-HY-GSL-S1</v>
          </cell>
          <cell r="B566" t="str">
            <v>VAR_cap</v>
          </cell>
          <cell r="C566" t="str">
            <v>-</v>
          </cell>
          <cell r="D566">
            <v>5.668260671328436E-3</v>
          </cell>
          <cell r="E566">
            <v>6.6493910918793003E-3</v>
          </cell>
          <cell r="F566">
            <v>6.6176273123517955E-3</v>
          </cell>
          <cell r="G566">
            <v>5.3193679561765166E-3</v>
          </cell>
          <cell r="H566">
            <v>3.7161315309008715E-2</v>
          </cell>
          <cell r="I566">
            <v>7.4779479692233072E-2</v>
          </cell>
          <cell r="J566">
            <v>5.8617630866373754E-2</v>
          </cell>
          <cell r="K566">
            <v>2.574504915911997E-2</v>
          </cell>
          <cell r="L566">
            <v>3.8639669997351279E-3</v>
          </cell>
          <cell r="M566">
            <v>2.2570204166300595E-2</v>
          </cell>
          <cell r="N566">
            <v>7.8971217535182006E-2</v>
          </cell>
          <cell r="O566">
            <v>0.1072588998992719</v>
          </cell>
        </row>
        <row r="567">
          <cell r="A567" t="str">
            <v>T_B_u-HYBDSL-S4</v>
          </cell>
          <cell r="B567" t="str">
            <v>VAR_fout</v>
          </cell>
          <cell r="C567" t="str">
            <v>CO2_T</v>
          </cell>
          <cell r="E567">
            <v>1.7993193118319201E-3</v>
          </cell>
          <cell r="F567">
            <v>3.6220747934524603E-3</v>
          </cell>
          <cell r="G567">
            <v>2.6947953469372839E-3</v>
          </cell>
          <cell r="H567">
            <v>3.5999547156108399E-3</v>
          </cell>
          <cell r="I567">
            <v>6.0282379315961306E-3</v>
          </cell>
          <cell r="J567">
            <v>5.23227881567386E-3</v>
          </cell>
          <cell r="K567">
            <v>8.1060590497969709E-3</v>
          </cell>
          <cell r="L567">
            <v>7.9024481755267297E-3</v>
          </cell>
          <cell r="M567">
            <v>8.1488038216191265E-3</v>
          </cell>
          <cell r="N567">
            <v>1.2278751737381039E-2</v>
          </cell>
          <cell r="O567">
            <v>1.678464982625813E-2</v>
          </cell>
        </row>
        <row r="568">
          <cell r="A568" t="str">
            <v>T_B_u-HYBDSL-S4</v>
          </cell>
          <cell r="B568" t="str">
            <v>VAR_fout</v>
          </cell>
          <cell r="C568" t="str">
            <v>TPBSu</v>
          </cell>
          <cell r="E568">
            <v>1.2949070179257007E-6</v>
          </cell>
          <cell r="F568">
            <v>2.6661330468337417E-6</v>
          </cell>
          <cell r="G568">
            <v>2.1017150799537768E-6</v>
          </cell>
          <cell r="H568">
            <v>3.1087031554037511E-6</v>
          </cell>
          <cell r="I568">
            <v>5.3647934343580472E-6</v>
          </cell>
          <cell r="J568">
            <v>4.9392608732523025E-6</v>
          </cell>
          <cell r="K568">
            <v>7.9941039205051392E-6</v>
          </cell>
          <cell r="L568">
            <v>7.917045918372119E-6</v>
          </cell>
          <cell r="M568">
            <v>8.163856643231275E-6</v>
          </cell>
          <cell r="N568">
            <v>1.2301433576773512E-5</v>
          </cell>
          <cell r="O568">
            <v>1.6815655154793183E-5</v>
          </cell>
        </row>
        <row r="569">
          <cell r="A569" t="str">
            <v>T_B_u-HYBDSL-S4</v>
          </cell>
          <cell r="B569" t="str">
            <v>VAR_fin</v>
          </cell>
          <cell r="C569" t="str">
            <v>TDSL</v>
          </cell>
          <cell r="E569">
            <v>2.4547330311485887E-5</v>
          </cell>
          <cell r="F569">
            <v>4.9414390088028046E-5</v>
          </cell>
          <cell r="G569">
            <v>3.6763920149212603E-5</v>
          </cell>
          <cell r="H569">
            <v>4.9112615492644427E-5</v>
          </cell>
          <cell r="I569">
            <v>8.2240626624776629E-5</v>
          </cell>
          <cell r="J569">
            <v>7.1381702805918917E-5</v>
          </cell>
          <cell r="K569">
            <v>1.105874358771756E-4</v>
          </cell>
          <cell r="L569">
            <v>1.078096613305148E-4</v>
          </cell>
          <cell r="M569">
            <v>1.1117058419671393E-4</v>
          </cell>
          <cell r="N569">
            <v>1.6751366626713553E-4</v>
          </cell>
          <cell r="O569">
            <v>2.2898567293667293E-4</v>
          </cell>
        </row>
        <row r="570">
          <cell r="A570" t="str">
            <v>T_B_u-HYBDSL-S4</v>
          </cell>
          <cell r="B570" t="str">
            <v>VAR_ncap</v>
          </cell>
          <cell r="C570" t="str">
            <v>-</v>
          </cell>
          <cell r="E570">
            <v>4.5708515003073403E-8</v>
          </cell>
          <cell r="F570">
            <v>3.8635960197362399E-8</v>
          </cell>
          <cell r="G570">
            <v>2.94796429097529E-8</v>
          </cell>
          <cell r="H570">
            <v>7.2360805152750695E-8</v>
          </cell>
          <cell r="I570">
            <v>7.0378832939638196E-8</v>
          </cell>
          <cell r="J570">
            <v>8.3696378285984295E-8</v>
          </cell>
          <cell r="K570">
            <v>1.10999456578933E-7</v>
          </cell>
          <cell r="L570">
            <v>9.2497053939268196E-8</v>
          </cell>
          <cell r="M570">
            <v>1.4758068492849099E-7</v>
          </cell>
          <cell r="N570">
            <v>1.56276705476363E-7</v>
          </cell>
          <cell r="O570">
            <v>2.21689858826762E-7</v>
          </cell>
        </row>
        <row r="571">
          <cell r="A571" t="str">
            <v>T_B_u-HYBDSL-S4</v>
          </cell>
          <cell r="B571" t="str">
            <v>VAR_cap</v>
          </cell>
          <cell r="C571" t="str">
            <v>-</v>
          </cell>
          <cell r="E571">
            <v>4.5708515003073403E-8</v>
          </cell>
          <cell r="F571">
            <v>8.4344475200435795E-8</v>
          </cell>
          <cell r="G571">
            <v>7.1624749105233796E-8</v>
          </cell>
          <cell r="H571">
            <v>8.0005894062770496E-8</v>
          </cell>
          <cell r="I571">
            <v>1.2897322216939E-7</v>
          </cell>
          <cell r="J571">
            <v>1.2018857705467401E-7</v>
          </cell>
          <cell r="K571">
            <v>1.6748303170195301E-7</v>
          </cell>
          <cell r="L571">
            <v>1.7371499622785999E-7</v>
          </cell>
          <cell r="M571">
            <v>1.71568363593576E-7</v>
          </cell>
          <cell r="N571">
            <v>2.5707229285214401E-7</v>
          </cell>
          <cell r="O571">
            <v>3.2715519931725198E-7</v>
          </cell>
        </row>
        <row r="572">
          <cell r="A572" t="str">
            <v>TFRLFDSLEXT</v>
          </cell>
          <cell r="B572" t="str">
            <v>VAR_fout</v>
          </cell>
          <cell r="C572" t="str">
            <v>CO2_T</v>
          </cell>
          <cell r="D572">
            <v>29.033453915109199</v>
          </cell>
          <cell r="E572">
            <v>4.19721929148145E-2</v>
          </cell>
          <cell r="F572">
            <v>4.4726824359344997E-2</v>
          </cell>
          <cell r="G572">
            <v>4.6819269232657799E-2</v>
          </cell>
          <cell r="H572">
            <v>4.5556537689791302E-2</v>
          </cell>
          <cell r="I572">
            <v>4.5623539672232198E-2</v>
          </cell>
          <cell r="J572">
            <v>4.5869093279937601E-2</v>
          </cell>
          <cell r="K572">
            <v>3.9132141429868601E-2</v>
          </cell>
          <cell r="L572">
            <v>2.54209844559172E-2</v>
          </cell>
          <cell r="M572">
            <v>3.9437859692026997E-2</v>
          </cell>
          <cell r="N572">
            <v>4.0158111521543499E-2</v>
          </cell>
          <cell r="O572">
            <v>0.11411490151406201</v>
          </cell>
        </row>
        <row r="573">
          <cell r="A573" t="str">
            <v>TFRLFDSLEXT</v>
          </cell>
          <cell r="B573" t="str">
            <v>VAR_fout</v>
          </cell>
          <cell r="C573" t="str">
            <v>TFRLF</v>
          </cell>
          <cell r="D573">
            <v>1.6053851828993144E-3</v>
          </cell>
          <cell r="E573">
            <v>2.3208239982831986E-6</v>
          </cell>
          <cell r="F573">
            <v>2.4731394795321059E-6</v>
          </cell>
          <cell r="G573">
            <v>2.5888398025274964E-6</v>
          </cell>
          <cell r="H573">
            <v>2.5190179165464279E-6</v>
          </cell>
          <cell r="I573">
            <v>2.5227227458151039E-6</v>
          </cell>
          <cell r="J573">
            <v>2.53630046634985E-6</v>
          </cell>
          <cell r="K573">
            <v>2.1637852737162089E-6</v>
          </cell>
          <cell r="L573">
            <v>1.4056361292586417E-6</v>
          </cell>
          <cell r="M573">
            <v>2.1806897580963903E-6</v>
          </cell>
          <cell r="N573">
            <v>2.2205155955059773E-6</v>
          </cell>
          <cell r="O573">
            <v>6.3099062403785002E-6</v>
          </cell>
        </row>
        <row r="574">
          <cell r="A574" t="str">
            <v>TFRLFDSLEXT</v>
          </cell>
          <cell r="B574" t="str">
            <v>VAR_fin</v>
          </cell>
          <cell r="C574" t="str">
            <v>TDSL</v>
          </cell>
          <cell r="D574">
            <v>0.39609077646806617</v>
          </cell>
          <cell r="E574">
            <v>5.726083617300752E-4</v>
          </cell>
          <cell r="F574">
            <v>6.1018859971821303E-4</v>
          </cell>
          <cell r="G574">
            <v>6.3873491449737752E-4</v>
          </cell>
          <cell r="H574">
            <v>6.215080175960623E-4</v>
          </cell>
          <cell r="I574">
            <v>6.2242209648338614E-4</v>
          </cell>
          <cell r="J574">
            <v>6.25772077488917E-4</v>
          </cell>
          <cell r="K574">
            <v>5.3386277530516606E-4</v>
          </cell>
          <cell r="L574">
            <v>3.468074277751324E-4</v>
          </cell>
          <cell r="M574">
            <v>5.3803355650787141E-4</v>
          </cell>
          <cell r="N574">
            <v>5.478596387659409E-4</v>
          </cell>
          <cell r="O574">
            <v>1.5568199388002965E-3</v>
          </cell>
        </row>
        <row r="575">
          <cell r="A575" t="str">
            <v>TFRLFDSLEXT</v>
          </cell>
          <cell r="B575" t="str">
            <v>VAR_ncap</v>
          </cell>
          <cell r="C575" t="str">
            <v>-</v>
          </cell>
          <cell r="D575">
            <v>1.4821724107892201E-4</v>
          </cell>
          <cell r="K575">
            <v>2.0646338910760799E-7</v>
          </cell>
          <cell r="L575">
            <v>1.0580753875155101E-8</v>
          </cell>
          <cell r="M575">
            <v>1.2107775750250699E-7</v>
          </cell>
          <cell r="O575">
            <v>3.1214881591508902E-7</v>
          </cell>
        </row>
        <row r="576">
          <cell r="A576" t="str">
            <v>TFRLFDSLEXT</v>
          </cell>
          <cell r="B576" t="str">
            <v>VAR_cap</v>
          </cell>
          <cell r="C576" t="str">
            <v>-</v>
          </cell>
          <cell r="D576">
            <v>1.4821724107892201E-4</v>
          </cell>
          <cell r="E576">
            <v>3.8107361371100151E-7</v>
          </cell>
          <cell r="F576">
            <v>3.8097724251400888E-7</v>
          </cell>
          <cell r="G576">
            <v>3.8057419833801274E-7</v>
          </cell>
          <cell r="H576">
            <v>3.8042932316002353E-7</v>
          </cell>
          <cell r="I576">
            <v>3.793350341560215E-7</v>
          </cell>
          <cell r="J576">
            <v>3.7878569493100659E-7</v>
          </cell>
          <cell r="K576">
            <v>3.3533967392719891E-7</v>
          </cell>
          <cell r="L576">
            <v>2.17044142982763E-7</v>
          </cell>
          <cell r="M576">
            <v>3.3812190048527002E-7</v>
          </cell>
          <cell r="N576">
            <v>3.3812190048527002E-7</v>
          </cell>
          <cell r="O576">
            <v>6.5027071640035903E-7</v>
          </cell>
        </row>
        <row r="577">
          <cell r="A577" t="str">
            <v>T_C-HY-GSL-S2</v>
          </cell>
          <cell r="B577" t="str">
            <v>VAR_fout</v>
          </cell>
          <cell r="C577" t="str">
            <v>CO2_T</v>
          </cell>
          <cell r="D577">
            <v>10.231620949053829</v>
          </cell>
          <cell r="E577">
            <v>15.142924268356269</v>
          </cell>
          <cell r="F577">
            <v>19.950182327330687</v>
          </cell>
          <cell r="G577">
            <v>15.98928769490759</v>
          </cell>
          <cell r="H577">
            <v>80.698723405922507</v>
          </cell>
          <cell r="I577">
            <v>68.424049896783913</v>
          </cell>
          <cell r="J577">
            <v>48.362990648826639</v>
          </cell>
          <cell r="K577">
            <v>0.36288574773494386</v>
          </cell>
          <cell r="L577">
            <v>0.23318242536866521</v>
          </cell>
          <cell r="M577">
            <v>0.30353226912488462</v>
          </cell>
          <cell r="N577">
            <v>0.41878412584125396</v>
          </cell>
          <cell r="O577">
            <v>0.41971953287789759</v>
          </cell>
        </row>
        <row r="578">
          <cell r="A578" t="str">
            <v>T_C-HY-GSL-S2</v>
          </cell>
          <cell r="B578" t="str">
            <v>VAR_fout</v>
          </cell>
          <cell r="C578" t="str">
            <v>TPCAR</v>
          </cell>
          <cell r="D578">
            <v>0.2218153030335335</v>
          </cell>
          <cell r="E578">
            <v>0.38908457085593529</v>
          </cell>
          <cell r="F578">
            <v>0.50710001239081848</v>
          </cell>
          <cell r="G578">
            <v>0.41667951893920641</v>
          </cell>
          <cell r="H578">
            <v>0.92249876046932344</v>
          </cell>
          <cell r="I578">
            <v>0.71942499260854509</v>
          </cell>
          <cell r="J578">
            <v>0.50345413923522353</v>
          </cell>
          <cell r="K578">
            <v>4.1208389069676814E-3</v>
          </cell>
          <cell r="L578">
            <v>2.8048830722294475E-3</v>
          </cell>
          <cell r="M578">
            <v>3.9225056881485743E-3</v>
          </cell>
          <cell r="N578">
            <v>5.5472582959214117E-3</v>
          </cell>
          <cell r="O578">
            <v>5.605510758161787E-3</v>
          </cell>
        </row>
        <row r="579">
          <cell r="A579" t="str">
            <v>T_C-HY-GSL-S2</v>
          </cell>
          <cell r="B579" t="str">
            <v>VAR_fin</v>
          </cell>
          <cell r="C579" t="str">
            <v>TGSL</v>
          </cell>
          <cell r="D579">
            <v>0.13863985025818204</v>
          </cell>
          <cell r="E579">
            <v>0.20518867572298452</v>
          </cell>
          <cell r="F579">
            <v>0.27032767381206918</v>
          </cell>
          <cell r="G579">
            <v>0.21665701483614619</v>
          </cell>
          <cell r="H579">
            <v>1.0934786369366205</v>
          </cell>
          <cell r="I579">
            <v>0.92715514765289986</v>
          </cell>
          <cell r="J579">
            <v>0.65532507654236538</v>
          </cell>
          <cell r="K579">
            <v>4.9171510533190296E-3</v>
          </cell>
          <cell r="L579">
            <v>3.1596534602800169E-3</v>
          </cell>
          <cell r="M579">
            <v>4.1129033756759472E-3</v>
          </cell>
          <cell r="N579">
            <v>5.6745816509654965E-3</v>
          </cell>
          <cell r="O579">
            <v>5.687256543060939E-3</v>
          </cell>
        </row>
        <row r="580">
          <cell r="A580" t="str">
            <v>T_C-HY-GSL-S2</v>
          </cell>
          <cell r="B580" t="str">
            <v>VAR_ncap</v>
          </cell>
          <cell r="C580" t="str">
            <v>-</v>
          </cell>
          <cell r="E580">
            <v>2.9386691433090699E-4</v>
          </cell>
          <cell r="F580">
            <v>1.01963054657997E-2</v>
          </cell>
          <cell r="G580">
            <v>5.98842557033373E-5</v>
          </cell>
          <cell r="H580">
            <v>8.5170763408386599E-2</v>
          </cell>
          <cell r="I580">
            <v>3.4751718757602301E-4</v>
          </cell>
          <cell r="J580">
            <v>1.07325784212938E-4</v>
          </cell>
          <cell r="K580">
            <v>1.2228076313017299E-4</v>
          </cell>
          <cell r="L580">
            <v>9.6376817093942E-5</v>
          </cell>
          <cell r="M580">
            <v>2.2448271296100899E-4</v>
          </cell>
          <cell r="N580">
            <v>2.6908908966837702E-4</v>
          </cell>
          <cell r="O580">
            <v>9.0556268458443604E-5</v>
          </cell>
        </row>
        <row r="581">
          <cell r="A581" t="str">
            <v>T_C-HY-GSL-S2</v>
          </cell>
          <cell r="B581" t="str">
            <v>VAR_cap</v>
          </cell>
          <cell r="C581" t="str">
            <v>-</v>
          </cell>
          <cell r="D581">
            <v>1.7226446787954854E-2</v>
          </cell>
          <cell r="E581">
            <v>2.9520478814476978E-2</v>
          </cell>
          <cell r="F581">
            <v>3.8481810290121501E-2</v>
          </cell>
          <cell r="G581">
            <v>3.1621731233876578E-2</v>
          </cell>
          <cell r="H581">
            <v>9.3644140455292513E-2</v>
          </cell>
          <cell r="I581">
            <v>7.5519443950282386E-2</v>
          </cell>
          <cell r="J581">
            <v>5.3075760091480594E-2</v>
          </cell>
          <cell r="K581">
            <v>4.1520738440731155E-4</v>
          </cell>
          <cell r="L581">
            <v>2.8518884424573985E-4</v>
          </cell>
          <cell r="M581">
            <v>3.9633947205339578E-4</v>
          </cell>
          <cell r="N581">
            <v>5.6953741508278006E-4</v>
          </cell>
          <cell r="O581">
            <v>5.8407276987636734E-4</v>
          </cell>
        </row>
        <row r="582">
          <cell r="A582" t="str">
            <v>TPSHPNGAEXT</v>
          </cell>
          <cell r="B582" t="str">
            <v>VAR_ncap</v>
          </cell>
          <cell r="C582" t="str">
            <v>-</v>
          </cell>
          <cell r="D582">
            <v>2.56739047834337E-6</v>
          </cell>
          <cell r="E582">
            <v>3.9921555699979799E-6</v>
          </cell>
          <cell r="F582">
            <v>3.2423148657984801E-6</v>
          </cell>
          <cell r="G582">
            <v>4.8630318070012499E-6</v>
          </cell>
          <cell r="H582">
            <v>1.26432192776541E-5</v>
          </cell>
          <cell r="I582">
            <v>1.0475873219669E-4</v>
          </cell>
          <cell r="J582">
            <v>8.7035040628164206E-6</v>
          </cell>
          <cell r="K582">
            <v>1.3380326094580801E-5</v>
          </cell>
          <cell r="L582">
            <v>1.9759249268914099E-5</v>
          </cell>
          <cell r="M582">
            <v>8.4135157620814804E-5</v>
          </cell>
          <cell r="N582">
            <v>1.4805610376448599E-5</v>
          </cell>
          <cell r="O582">
            <v>2.4530471894801501E-5</v>
          </cell>
        </row>
        <row r="583">
          <cell r="A583" t="str">
            <v>TPSHPNGAEXT</v>
          </cell>
          <cell r="B583" t="str">
            <v>VAR_cap</v>
          </cell>
          <cell r="C583" t="str">
            <v>-</v>
          </cell>
          <cell r="D583">
            <v>2.56739047834337E-6</v>
          </cell>
          <cell r="E583">
            <v>4.4287530575861198E-6</v>
          </cell>
          <cell r="F583">
            <v>1.1607213652943101E-6</v>
          </cell>
          <cell r="G583">
            <v>3.9712131663102003E-6</v>
          </cell>
          <cell r="H583">
            <v>7.1944186069775006E-6</v>
          </cell>
          <cell r="I583">
            <v>1.1415906118828792E-4</v>
          </cell>
          <cell r="J583">
            <v>1.147304263624776E-4</v>
          </cell>
          <cell r="K583">
            <v>1.147940828762642E-4</v>
          </cell>
          <cell r="L583">
            <v>1.103405709243843E-4</v>
          </cell>
          <cell r="M583">
            <v>1.1137906630502609E-4</v>
          </cell>
          <cell r="N583">
            <v>1.1281756688732681E-4</v>
          </cell>
          <cell r="O583">
            <v>1.219325285799946E-4</v>
          </cell>
        </row>
        <row r="584">
          <cell r="A584" t="str">
            <v>T_C-HY-DSL-S1</v>
          </cell>
          <cell r="B584" t="str">
            <v>VAR_fout</v>
          </cell>
          <cell r="C584" t="str">
            <v>CO2_T</v>
          </cell>
          <cell r="D584">
            <v>2.4267255675465001E-3</v>
          </cell>
          <cell r="E584">
            <v>11.737341735429379</v>
          </cell>
          <cell r="F584">
            <v>7.8210030526072138</v>
          </cell>
          <cell r="G584">
            <v>6.3026946587354722</v>
          </cell>
          <cell r="H584">
            <v>57.090565538177763</v>
          </cell>
          <cell r="I584">
            <v>63.047248469925719</v>
          </cell>
          <cell r="J584">
            <v>77.163872669373802</v>
          </cell>
          <cell r="K584">
            <v>35.309875471525253</v>
          </cell>
          <cell r="L584">
            <v>37.523564152291755</v>
          </cell>
          <cell r="M584">
            <v>27.168353611618155</v>
          </cell>
          <cell r="N584">
            <v>7.1624244872365017E-2</v>
          </cell>
          <cell r="O584">
            <v>7.2107914579827792E-2</v>
          </cell>
        </row>
        <row r="585">
          <cell r="A585" t="str">
            <v>T_C-HY-DSL-S1</v>
          </cell>
          <cell r="B585" t="str">
            <v>VAR_fout</v>
          </cell>
          <cell r="C585" t="str">
            <v>TPCAR</v>
          </cell>
          <cell r="D585">
            <v>1.3846610591294723E-5</v>
          </cell>
          <cell r="E585">
            <v>0.27182558539771656</v>
          </cell>
          <cell r="F585">
            <v>0.18094644152357003</v>
          </cell>
          <cell r="G585">
            <v>0.14557363827539338</v>
          </cell>
          <cell r="H585">
            <v>0.74263330651163961</v>
          </cell>
          <cell r="I585">
            <v>0.80348379613882781</v>
          </cell>
          <cell r="J585">
            <v>1.0190108413518173</v>
          </cell>
          <cell r="K585">
            <v>0.48442354189292641</v>
          </cell>
          <cell r="L585">
            <v>0.54793046479016438</v>
          </cell>
          <cell r="M585">
            <v>0.43660349075013272</v>
          </cell>
          <cell r="N585">
            <v>1.1354297848820455E-3</v>
          </cell>
          <cell r="O585">
            <v>1.1589318480938408E-3</v>
          </cell>
        </row>
        <row r="586">
          <cell r="A586" t="str">
            <v>T_C-HY-DSL-S1</v>
          </cell>
          <cell r="B586" t="str">
            <v>VAR_fin</v>
          </cell>
          <cell r="C586" t="str">
            <v>TDSL</v>
          </cell>
          <cell r="D586">
            <v>3.3106760812366982E-5</v>
          </cell>
          <cell r="E586">
            <v>0.1601274452309604</v>
          </cell>
          <cell r="F586">
            <v>0.10669854096326323</v>
          </cell>
          <cell r="G586">
            <v>8.5984920310170368E-2</v>
          </cell>
          <cell r="H586">
            <v>0.77886173994785435</v>
          </cell>
          <cell r="I586">
            <v>0.86012617285028115</v>
          </cell>
          <cell r="J586">
            <v>1.052713133279316</v>
          </cell>
          <cell r="K586">
            <v>0.48171726427728823</v>
          </cell>
          <cell r="L586">
            <v>0.51191765555650481</v>
          </cell>
          <cell r="M586">
            <v>0.37064602471511798</v>
          </cell>
          <cell r="N586">
            <v>9.7713840207864946E-4</v>
          </cell>
          <cell r="O586">
            <v>9.8373689740556569E-4</v>
          </cell>
        </row>
        <row r="587">
          <cell r="A587" t="str">
            <v>T_C-HY-DSL-S1</v>
          </cell>
          <cell r="B587" t="str">
            <v>VAR_ncap</v>
          </cell>
          <cell r="C587" t="str">
            <v>-</v>
          </cell>
          <cell r="E587">
            <v>2.9431624293590399E-2</v>
          </cell>
          <cell r="F587">
            <v>1.16339668408321E-4</v>
          </cell>
          <cell r="G587">
            <v>4.0831910677326703E-5</v>
          </cell>
          <cell r="H587">
            <v>0.107487194577531</v>
          </cell>
          <cell r="I587">
            <v>2.93914814988156E-2</v>
          </cell>
          <cell r="J587">
            <v>6.7167982098523302E-2</v>
          </cell>
          <cell r="K587">
            <v>8.8853330665754704E-5</v>
          </cell>
          <cell r="L587">
            <v>4.5013665244118102E-2</v>
          </cell>
          <cell r="M587">
            <v>6.6250065194894903E-2</v>
          </cell>
          <cell r="N587">
            <v>7.10858422919194E-5</v>
          </cell>
          <cell r="O587">
            <v>4.8345355595799502E-5</v>
          </cell>
        </row>
        <row r="588">
          <cell r="A588" t="str">
            <v>T_C-HY-DSL-S1</v>
          </cell>
          <cell r="B588" t="str">
            <v>VAR_cap</v>
          </cell>
          <cell r="C588" t="str">
            <v>-</v>
          </cell>
          <cell r="D588">
            <v>1.5999999999999999E-6</v>
          </cell>
          <cell r="E588">
            <v>2.9041396637608602E-2</v>
          </cell>
          <cell r="F588">
            <v>2.7493948743386454E-2</v>
          </cell>
          <cell r="G588">
            <v>2.2120127890086137E-2</v>
          </cell>
          <cell r="H588">
            <v>0.11285473640559647</v>
          </cell>
          <cell r="I588">
            <v>0.12210332276386802</v>
          </cell>
          <cell r="J588">
            <v>0.15485941681538401</v>
          </cell>
          <cell r="K588">
            <v>7.3613914498726368E-2</v>
          </cell>
          <cell r="L588">
            <v>8.3266398910011336E-2</v>
          </cell>
          <cell r="M588">
            <v>6.634553301155191E-2</v>
          </cell>
          <cell r="N588">
            <v>1.6617765295670606E-4</v>
          </cell>
          <cell r="O588">
            <v>1.6843871715190029E-4</v>
          </cell>
        </row>
        <row r="589">
          <cell r="A589" t="str">
            <v>T_C-HY-GSL-S3</v>
          </cell>
          <cell r="B589" t="str">
            <v>VAR_fout</v>
          </cell>
          <cell r="C589" t="str">
            <v>CO2_T</v>
          </cell>
          <cell r="D589">
            <v>7.5836868045854793</v>
          </cell>
          <cell r="E589">
            <v>82.415822196738617</v>
          </cell>
          <cell r="F589">
            <v>77.970053722694587</v>
          </cell>
          <cell r="G589">
            <v>62.349174267909788</v>
          </cell>
          <cell r="H589">
            <v>19.783413499799067</v>
          </cell>
          <cell r="I589">
            <v>0.12531641554652356</v>
          </cell>
          <cell r="J589">
            <v>0.13905452096720339</v>
          </cell>
          <cell r="K589">
            <v>0.1673337330096315</v>
          </cell>
          <cell r="L589">
            <v>0.15417433019777427</v>
          </cell>
          <cell r="M589">
            <v>0.17090497087287831</v>
          </cell>
          <cell r="N589">
            <v>0.16777629682456069</v>
          </cell>
          <cell r="O589">
            <v>0.1495231561816458</v>
          </cell>
        </row>
        <row r="590">
          <cell r="A590" t="str">
            <v>T_C-HY-GSL-S3</v>
          </cell>
          <cell r="B590" t="str">
            <v>VAR_fout</v>
          </cell>
          <cell r="C590" t="str">
            <v>TPCAR</v>
          </cell>
          <cell r="D590">
            <v>0.20245970141616595</v>
          </cell>
          <cell r="E590">
            <v>2.7809359565040923</v>
          </cell>
          <cell r="F590">
            <v>2.6278432173505863</v>
          </cell>
          <cell r="G590">
            <v>2.1163493157942086</v>
          </cell>
          <cell r="H590">
            <v>0.68168566954616494</v>
          </cell>
          <cell r="I590">
            <v>1.2251197746355415E-3</v>
          </cell>
          <cell r="J590">
            <v>1.3791798720086566E-3</v>
          </cell>
          <cell r="K590">
            <v>1.7541773134027948E-3</v>
          </cell>
          <cell r="L590">
            <v>1.6902402130626274E-3</v>
          </cell>
          <cell r="M590">
            <v>1.9675003082180952E-3</v>
          </cell>
          <cell r="N590">
            <v>1.9897561961580087E-3</v>
          </cell>
          <cell r="O590">
            <v>1.8007813073076884E-3</v>
          </cell>
        </row>
        <row r="591">
          <cell r="A591" t="str">
            <v>T_C-HY-GSL-S3</v>
          </cell>
          <cell r="B591" t="str">
            <v>VAR_fin</v>
          </cell>
          <cell r="C591" t="str">
            <v>TGSL</v>
          </cell>
          <cell r="D591">
            <v>0.10275998380197145</v>
          </cell>
          <cell r="E591">
            <v>1.1167455582213908</v>
          </cell>
          <cell r="F591">
            <v>1.0565047929904414</v>
          </cell>
          <cell r="G591">
            <v>0.84483975972777414</v>
          </cell>
          <cell r="H591">
            <v>0.26806793360161324</v>
          </cell>
          <cell r="I591">
            <v>1.698054411199507E-3</v>
          </cell>
          <cell r="J591">
            <v>1.8842076011816205E-3</v>
          </cell>
          <cell r="K591">
            <v>2.267394756228067E-3</v>
          </cell>
          <cell r="L591">
            <v>2.0890830650104929E-3</v>
          </cell>
          <cell r="M591">
            <v>2.3157855131826334E-3</v>
          </cell>
          <cell r="N591">
            <v>2.2733915558883549E-3</v>
          </cell>
          <cell r="O591">
            <v>2.026059026851568E-3</v>
          </cell>
        </row>
        <row r="592">
          <cell r="A592" t="str">
            <v>T_C-HY-GSL-S3</v>
          </cell>
          <cell r="B592" t="str">
            <v>VAR_ncap</v>
          </cell>
          <cell r="C592" t="str">
            <v>-</v>
          </cell>
          <cell r="E592">
            <v>0.16750676850148599</v>
          </cell>
          <cell r="F592">
            <v>3.3648169746796203E-5</v>
          </cell>
          <cell r="G592">
            <v>1.8642884261983001E-5</v>
          </cell>
          <cell r="H592">
            <v>3.4705409020398403E-5</v>
          </cell>
          <cell r="I592">
            <v>4.9402172119580299E-5</v>
          </cell>
          <cell r="J592">
            <v>4.1859756732370499E-5</v>
          </cell>
          <cell r="K592">
            <v>6.8359447231452298E-5</v>
          </cell>
          <cell r="L592">
            <v>5.4548785375562301E-5</v>
          </cell>
          <cell r="M592">
            <v>6.3685405381936404E-5</v>
          </cell>
          <cell r="N592">
            <v>6.0662375324815799E-5</v>
          </cell>
          <cell r="O592">
            <v>4.4924376514283698E-5</v>
          </cell>
        </row>
        <row r="593">
          <cell r="A593" t="str">
            <v>T_C-HY-GSL-S3</v>
          </cell>
          <cell r="B593" t="str">
            <v>VAR_cap</v>
          </cell>
          <cell r="C593" t="str">
            <v>-</v>
          </cell>
          <cell r="D593">
            <v>1.4248200707256733E-2</v>
          </cell>
          <cell r="E593">
            <v>0.19121144318644681</v>
          </cell>
          <cell r="F593">
            <v>0.18070341622185079</v>
          </cell>
          <cell r="G593">
            <v>0.14552497424002689</v>
          </cell>
          <cell r="H593">
            <v>4.6884781035273708E-2</v>
          </cell>
          <cell r="I593">
            <v>8.990237598850233E-5</v>
          </cell>
          <cell r="J593">
            <v>1.0183367160174299E-4</v>
          </cell>
          <cell r="K593">
            <v>1.3156358233063173E-4</v>
          </cell>
          <cell r="L593">
            <v>1.3988136457741368E-4</v>
          </cell>
          <cell r="M593">
            <v>1.6044167293933741E-4</v>
          </cell>
          <cell r="N593">
            <v>1.6727245838087898E-4</v>
          </cell>
          <cell r="O593">
            <v>1.6923854213292888E-4</v>
          </cell>
        </row>
        <row r="594">
          <cell r="A594" t="str">
            <v>T_C-HY-DSL-S2</v>
          </cell>
          <cell r="B594" t="str">
            <v>VAR_fout</v>
          </cell>
          <cell r="C594" t="str">
            <v>CO2_T</v>
          </cell>
          <cell r="D594">
            <v>0.20253843387687992</v>
          </cell>
          <cell r="E594">
            <v>43.215340765204445</v>
          </cell>
          <cell r="F594">
            <v>59.771790112405924</v>
          </cell>
          <cell r="G594">
            <v>49.476807385142202</v>
          </cell>
          <cell r="H594">
            <v>23.53994988830059</v>
          </cell>
          <cell r="I594">
            <v>1.8965898171756934</v>
          </cell>
          <cell r="J594">
            <v>0.73337210895631699</v>
          </cell>
          <cell r="K594">
            <v>0.52127693176163903</v>
          </cell>
          <cell r="L594">
            <v>0.37781387236330383</v>
          </cell>
          <cell r="M594">
            <v>0.43968129162376335</v>
          </cell>
          <cell r="N594">
            <v>29.668498404905606</v>
          </cell>
          <cell r="O594">
            <v>34.208762289004532</v>
          </cell>
        </row>
        <row r="595">
          <cell r="A595" t="str">
            <v>T_C-HY-DSL-S2</v>
          </cell>
          <cell r="B595" t="str">
            <v>VAR_fout</v>
          </cell>
          <cell r="C595" t="str">
            <v>TPCAR</v>
          </cell>
          <cell r="D595">
            <v>3.2418619277392387E-3</v>
          </cell>
          <cell r="E595">
            <v>1.5803801313965853</v>
          </cell>
          <cell r="F595">
            <v>1.9970531930429882</v>
          </cell>
          <cell r="G595">
            <v>1.6423758930620109</v>
          </cell>
          <cell r="H595">
            <v>0.73231031911679134</v>
          </cell>
          <cell r="I595">
            <v>4.2300509163395686E-2</v>
          </cell>
          <cell r="J595">
            <v>8.1499174219557893E-3</v>
          </cell>
          <cell r="K595">
            <v>6.0242288757582415E-3</v>
          </cell>
          <cell r="L595">
            <v>4.5004403996498658E-3</v>
          </cell>
          <cell r="M595">
            <v>5.7786929141816195E-3</v>
          </cell>
          <cell r="N595">
            <v>0.39872694696858979</v>
          </cell>
          <cell r="O595">
            <v>0.45979903330229499</v>
          </cell>
        </row>
        <row r="596">
          <cell r="A596" t="str">
            <v>T_C-HY-DSL-S2</v>
          </cell>
          <cell r="B596" t="str">
            <v>VAR_fin</v>
          </cell>
          <cell r="C596" t="str">
            <v>TDSL</v>
          </cell>
          <cell r="D596">
            <v>2.7631437090979497E-3</v>
          </cell>
          <cell r="E596">
            <v>0.58956808683771356</v>
          </cell>
          <cell r="F596">
            <v>0.81544051995096756</v>
          </cell>
          <cell r="G596">
            <v>0.67499055095692162</v>
          </cell>
          <cell r="H596">
            <v>0.32114529179127727</v>
          </cell>
          <cell r="I596">
            <v>2.5874349483979469E-2</v>
          </cell>
          <cell r="J596">
            <v>1.000507652055002E-2</v>
          </cell>
          <cell r="K596">
            <v>7.1115543214411809E-3</v>
          </cell>
          <cell r="L596">
            <v>5.1543502368799994E-3</v>
          </cell>
          <cell r="M596">
            <v>5.9983805132846285E-3</v>
          </cell>
          <cell r="N596">
            <v>0.40475441207238172</v>
          </cell>
          <cell r="O596">
            <v>0.46669525633021169</v>
          </cell>
        </row>
        <row r="597">
          <cell r="A597" t="str">
            <v>T_C-HY-DSL-S2</v>
          </cell>
          <cell r="B597" t="str">
            <v>VAR_ncap</v>
          </cell>
          <cell r="C597" t="str">
            <v>-</v>
          </cell>
          <cell r="E597">
            <v>0.12099814367665999</v>
          </cell>
          <cell r="F597">
            <v>3.89981824761539E-2</v>
          </cell>
          <cell r="G597">
            <v>4.4380548056246197E-5</v>
          </cell>
          <cell r="H597">
            <v>3.9849814096139702E-4</v>
          </cell>
          <cell r="I597">
            <v>1.8797087189670301E-4</v>
          </cell>
          <cell r="J597">
            <v>4.6190080296340497E-4</v>
          </cell>
          <cell r="K597">
            <v>1.20387896303587E-4</v>
          </cell>
          <cell r="L597">
            <v>9.7973141713558794E-5</v>
          </cell>
          <cell r="M597">
            <v>4.1937320925588E-4</v>
          </cell>
          <cell r="N597">
            <v>4.1540353920766597E-2</v>
          </cell>
          <cell r="O597">
            <v>6.5072214348225197E-3</v>
          </cell>
        </row>
        <row r="598">
          <cell r="A598" t="str">
            <v>T_C-HY-DSL-S2</v>
          </cell>
          <cell r="B598" t="str">
            <v>VAR_cap</v>
          </cell>
          <cell r="C598" t="str">
            <v>-</v>
          </cell>
          <cell r="D598">
            <v>2.5973759056279415E-4</v>
          </cell>
          <cell r="E598">
            <v>0.11990792887271838</v>
          </cell>
          <cell r="F598">
            <v>0.15152640979810425</v>
          </cell>
          <cell r="G598">
            <v>0.12463082714983419</v>
          </cell>
          <cell r="H598">
            <v>5.5681423347496879E-2</v>
          </cell>
          <cell r="I598">
            <v>4.4090521728838462E-3</v>
          </cell>
          <cell r="J598">
            <v>8.4266560976050959E-4</v>
          </cell>
          <cell r="K598">
            <v>6.1603798082517493E-4</v>
          </cell>
          <cell r="L598">
            <v>4.6388423431496887E-4</v>
          </cell>
          <cell r="M598">
            <v>5.9166406036341977E-4</v>
          </cell>
          <cell r="N598">
            <v>4.2036617710357362E-2</v>
          </cell>
          <cell r="O598">
            <v>4.8466899593773323E-2</v>
          </cell>
        </row>
        <row r="599">
          <cell r="A599" t="str">
            <v>D-T-ELC-Bus_c_S1</v>
          </cell>
          <cell r="B599" t="str">
            <v>VAR_fout</v>
          </cell>
          <cell r="C599" t="str">
            <v>T-ELC-Bus_c_BatSTGin_S1</v>
          </cell>
          <cell r="D599">
            <v>2.5012609771627402E-4</v>
          </cell>
          <cell r="E599">
            <v>3.6347487416981121E-4</v>
          </cell>
          <cell r="F599">
            <v>5.9154765335300212E-4</v>
          </cell>
          <cell r="G599">
            <v>0.14610682105707157</v>
          </cell>
          <cell r="H599">
            <v>0.14127448254096428</v>
          </cell>
          <cell r="I599">
            <v>0.13762064352520137</v>
          </cell>
          <cell r="J599">
            <v>0.13156332348578648</v>
          </cell>
          <cell r="K599">
            <v>0.12036378215871665</v>
          </cell>
          <cell r="L599">
            <v>0.11923786432571275</v>
          </cell>
          <cell r="M599">
            <v>0.11867471473684202</v>
          </cell>
          <cell r="N599">
            <v>0.12111404774938063</v>
          </cell>
          <cell r="O599">
            <v>0.11846236626686245</v>
          </cell>
        </row>
        <row r="600">
          <cell r="A600" t="str">
            <v>D-T-ELC-Bus_c_S1</v>
          </cell>
          <cell r="B600" t="str">
            <v>VAR_fin</v>
          </cell>
          <cell r="C600" t="str">
            <v>TELC</v>
          </cell>
          <cell r="D600">
            <v>2.5012609771627402E-4</v>
          </cell>
          <cell r="E600">
            <v>3.6347487416981121E-4</v>
          </cell>
          <cell r="F600">
            <v>5.9154765335300212E-4</v>
          </cell>
          <cell r="G600">
            <v>0.14610682105707157</v>
          </cell>
          <cell r="H600">
            <v>0.14127448254096428</v>
          </cell>
          <cell r="I600">
            <v>0.13762064352520137</v>
          </cell>
          <cell r="J600">
            <v>0.13156332348578648</v>
          </cell>
          <cell r="K600">
            <v>0.12036378215871665</v>
          </cell>
          <cell r="L600">
            <v>0.11923786432571275</v>
          </cell>
          <cell r="M600">
            <v>0.11867471473684202</v>
          </cell>
          <cell r="N600">
            <v>0.12111404774938063</v>
          </cell>
          <cell r="O600">
            <v>0.11846236626686245</v>
          </cell>
        </row>
        <row r="601">
          <cell r="A601" t="str">
            <v>D-T-ELC-Bus_c_S1</v>
          </cell>
          <cell r="B601" t="str">
            <v>VAR_ncap</v>
          </cell>
          <cell r="C601" t="str">
            <v>-</v>
          </cell>
          <cell r="D601">
            <v>3.3033593167390898E-5</v>
          </cell>
          <cell r="E601">
            <v>1.32666764130899E-5</v>
          </cell>
          <cell r="F601">
            <v>2.7345789395291301E-5</v>
          </cell>
          <cell r="G601">
            <v>1.8349352307611599E-2</v>
          </cell>
          <cell r="H601">
            <v>1.42894461311913E-4</v>
          </cell>
          <cell r="I601">
            <v>1.31995707533987E-2</v>
          </cell>
          <cell r="J601">
            <v>3.04710400537742E-3</v>
          </cell>
          <cell r="K601">
            <v>7.3099685722720796E-3</v>
          </cell>
          <cell r="L601">
            <v>6.0010578205912397E-3</v>
          </cell>
          <cell r="M601">
            <v>4.58926404160375E-3</v>
          </cell>
          <cell r="N601">
            <v>8.9840725081062802E-3</v>
          </cell>
          <cell r="O601">
            <v>2.1359945053158499E-3</v>
          </cell>
        </row>
        <row r="602">
          <cell r="A602" t="str">
            <v>D-T-ELC-Bus_c_S1</v>
          </cell>
          <cell r="B602" t="str">
            <v>VAR_cap</v>
          </cell>
          <cell r="C602" t="str">
            <v>-</v>
          </cell>
          <cell r="D602">
            <v>3.3033593167390898E-5</v>
          </cell>
          <cell r="E602">
            <v>4.6300269580480803E-5</v>
          </cell>
          <cell r="F602">
            <v>7.3646058975772094E-5</v>
          </cell>
          <cell r="G602">
            <v>1.8412377572400999E-2</v>
          </cell>
          <cell r="H602">
            <v>1.8506257214544599E-2</v>
          </cell>
          <cell r="I602">
            <v>1.7195773011134102E-2</v>
          </cell>
          <cell r="J602">
            <v>1.63207671082417E-2</v>
          </cell>
          <cell r="K602">
            <v>1.4866009482286601E-2</v>
          </cell>
          <cell r="L602">
            <v>1.46816462528026E-2</v>
          </cell>
          <cell r="M602">
            <v>1.4335538929923499E-2</v>
          </cell>
          <cell r="N602">
            <v>1.4636255452494E-2</v>
          </cell>
          <cell r="O602">
            <v>1.42171907547574E-2</v>
          </cell>
        </row>
        <row r="603">
          <cell r="A603" t="str">
            <v>T_C-HY-GSL-S4</v>
          </cell>
          <cell r="B603" t="str">
            <v>VAR_fout</v>
          </cell>
          <cell r="C603" t="str">
            <v>CO2_T</v>
          </cell>
          <cell r="D603">
            <v>6.6937248153594897</v>
          </cell>
          <cell r="E603">
            <v>10.005342462184432</v>
          </cell>
          <cell r="F603">
            <v>9.6181055964769424</v>
          </cell>
          <cell r="G603">
            <v>7.9861877631958684</v>
          </cell>
          <cell r="H603">
            <v>1.2920043528412322</v>
          </cell>
          <cell r="I603">
            <v>0.3798179285547883</v>
          </cell>
          <cell r="J603">
            <v>0.51613406034528553</v>
          </cell>
          <cell r="K603">
            <v>83.759077430569334</v>
          </cell>
          <cell r="L603">
            <v>78.560036443634829</v>
          </cell>
          <cell r="M603">
            <v>62.308743885502942</v>
          </cell>
          <cell r="N603">
            <v>20.558834018661894</v>
          </cell>
          <cell r="O603">
            <v>0.33587436816991512</v>
          </cell>
        </row>
        <row r="604">
          <cell r="A604" t="str">
            <v>T_C-HY-GSL-S4</v>
          </cell>
          <cell r="B604" t="str">
            <v>VAR_fout</v>
          </cell>
          <cell r="C604" t="str">
            <v>TPCAR</v>
          </cell>
          <cell r="D604">
            <v>0.10386542321906614</v>
          </cell>
          <cell r="E604">
            <v>0.17988624555070765</v>
          </cell>
          <cell r="F604">
            <v>0.17244939389816935</v>
          </cell>
          <cell r="G604">
            <v>0.14457870819269306</v>
          </cell>
          <cell r="H604">
            <v>2.6503283088774865E-2</v>
          </cell>
          <cell r="I604">
            <v>3.6331061620755709E-3</v>
          </cell>
          <cell r="J604">
            <v>5.0667687026979139E-3</v>
          </cell>
          <cell r="K604">
            <v>0.88824774615746438</v>
          </cell>
          <cell r="L604">
            <v>0.84479676804750048</v>
          </cell>
          <cell r="M604">
            <v>0.6725934598553337</v>
          </cell>
          <cell r="N604">
            <v>0.22612088410575898</v>
          </cell>
          <cell r="O604">
            <v>3.9164101893309393E-3</v>
          </cell>
        </row>
        <row r="605">
          <cell r="A605" t="str">
            <v>T_C-HY-GSL-S4</v>
          </cell>
          <cell r="B605" t="str">
            <v>VAR_fin</v>
          </cell>
          <cell r="C605" t="str">
            <v>TGSL</v>
          </cell>
          <cell r="D605">
            <v>9.0700878256903636E-2</v>
          </cell>
          <cell r="E605">
            <v>0.13557374610005996</v>
          </cell>
          <cell r="F605">
            <v>0.13032663409860337</v>
          </cell>
          <cell r="G605">
            <v>0.10821392633056717</v>
          </cell>
          <cell r="H605">
            <v>1.7506834049339177E-2</v>
          </cell>
          <cell r="I605">
            <v>5.1465843977613552E-3</v>
          </cell>
          <cell r="J605">
            <v>6.993686454543146E-3</v>
          </cell>
          <cell r="K605">
            <v>1.1349468486527008</v>
          </cell>
          <cell r="L605">
            <v>1.0644991388026397</v>
          </cell>
          <cell r="M605">
            <v>0.84429192256778962</v>
          </cell>
          <cell r="N605">
            <v>0.27857498670273556</v>
          </cell>
          <cell r="O605">
            <v>4.5511432001343445E-3</v>
          </cell>
        </row>
        <row r="606">
          <cell r="A606" t="str">
            <v>T_C-HY-GSL-S4</v>
          </cell>
          <cell r="B606" t="str">
            <v>VAR_ncap</v>
          </cell>
          <cell r="C606" t="str">
            <v>-</v>
          </cell>
          <cell r="E606">
            <v>9.10035004148231E-5</v>
          </cell>
          <cell r="F606">
            <v>3.4103979337926403E-5</v>
          </cell>
          <cell r="G606">
            <v>2.2930732732020999E-5</v>
          </cell>
          <cell r="H606">
            <v>8.5329792749300797E-5</v>
          </cell>
          <cell r="I606">
            <v>2.1537737766671701E-4</v>
          </cell>
          <cell r="J606">
            <v>1.9995218926823201E-4</v>
          </cell>
          <cell r="K606">
            <v>7.7673016847047402E-2</v>
          </cell>
          <cell r="L606">
            <v>2.7416580348447499E-2</v>
          </cell>
          <cell r="M606">
            <v>1.2589008851919301E-4</v>
          </cell>
          <cell r="N606">
            <v>7.6144210825810295E-5</v>
          </cell>
          <cell r="O606">
            <v>2.3006497203992499E-4</v>
          </cell>
        </row>
        <row r="607">
          <cell r="A607" t="str">
            <v>T_C-HY-GSL-S4</v>
          </cell>
          <cell r="B607" t="str">
            <v>VAR_cap</v>
          </cell>
          <cell r="C607" t="str">
            <v>-</v>
          </cell>
          <cell r="D607">
            <v>8.3199039246641387E-3</v>
          </cell>
          <cell r="E607">
            <v>1.4169031457856016E-2</v>
          </cell>
          <cell r="F607">
            <v>1.3619725739094262E-2</v>
          </cell>
          <cell r="G607">
            <v>1.1411237913114118E-2</v>
          </cell>
          <cell r="H607">
            <v>2.1096132448885276E-3</v>
          </cell>
          <cell r="I607">
            <v>2.969030197657839E-4</v>
          </cell>
          <cell r="J607">
            <v>4.1989735845118699E-4</v>
          </cell>
          <cell r="K607">
            <v>7.6933150550839352E-2</v>
          </cell>
          <cell r="L607">
            <v>9.4916492879975306E-2</v>
          </cell>
          <cell r="M607">
            <v>7.5551313484775964E-2</v>
          </cell>
          <cell r="N607">
            <v>2.5411081349425983E-2</v>
          </cell>
          <cell r="O607">
            <v>4.3206084614804758E-4</v>
          </cell>
        </row>
        <row r="608">
          <cell r="A608" t="str">
            <v>T_C-HY-DSL-S3</v>
          </cell>
          <cell r="B608" t="str">
            <v>VAR_fout</v>
          </cell>
          <cell r="C608" t="str">
            <v>CO2_T</v>
          </cell>
          <cell r="D608">
            <v>2.1295172931972939</v>
          </cell>
          <cell r="E608">
            <v>3.3827727782859935</v>
          </cell>
          <cell r="F608">
            <v>3.2469379438018375</v>
          </cell>
          <cell r="G608">
            <v>2.4537408905111282</v>
          </cell>
          <cell r="H608">
            <v>0.5284175880250418</v>
          </cell>
          <cell r="I608">
            <v>0.10115736179969637</v>
          </cell>
          <cell r="J608">
            <v>0.12608407823155671</v>
          </cell>
          <cell r="K608">
            <v>0.1625220917300633</v>
          </cell>
          <cell r="L608">
            <v>0.15793885600421084</v>
          </cell>
          <cell r="M608">
            <v>0.19732177014717381</v>
          </cell>
          <cell r="N608">
            <v>0.25453086328100927</v>
          </cell>
          <cell r="O608">
            <v>0.38197165970474922</v>
          </cell>
        </row>
        <row r="609">
          <cell r="A609" t="str">
            <v>T_C-HY-DSL-S3</v>
          </cell>
          <cell r="B609" t="str">
            <v>VAR_fout</v>
          </cell>
          <cell r="C609" t="str">
            <v>TPCAR</v>
          </cell>
          <cell r="D609">
            <v>2.610608632258591E-2</v>
          </cell>
          <cell r="E609">
            <v>5.5189053474097444E-2</v>
          </cell>
          <cell r="F609">
            <v>5.2787324032795881E-2</v>
          </cell>
          <cell r="G609">
            <v>4.2189511485284471E-2</v>
          </cell>
          <cell r="H609">
            <v>1.0036432642971778E-2</v>
          </cell>
          <cell r="I609">
            <v>9.8922444697492205E-4</v>
          </cell>
          <cell r="J609">
            <v>1.2651087326682633E-3</v>
          </cell>
          <cell r="K609">
            <v>1.7181708792783836E-3</v>
          </cell>
          <cell r="L609">
            <v>1.742364728116632E-3</v>
          </cell>
          <cell r="M609">
            <v>2.3000768591919371E-3</v>
          </cell>
          <cell r="N609">
            <v>3.0522830081639927E-3</v>
          </cell>
          <cell r="O609">
            <v>4.6295709408144762E-3</v>
          </cell>
        </row>
        <row r="610">
          <cell r="A610" t="str">
            <v>T_C-HY-DSL-S3</v>
          </cell>
          <cell r="B610" t="str">
            <v>VAR_fin</v>
          </cell>
          <cell r="C610" t="str">
            <v>TDSL</v>
          </cell>
          <cell r="D610">
            <v>2.9052077669813051E-2</v>
          </cell>
          <cell r="E610">
            <v>4.6149696838826706E-2</v>
          </cell>
          <cell r="F610">
            <v>4.4296561306982722E-2</v>
          </cell>
          <cell r="G610">
            <v>3.3475319106563831E-2</v>
          </cell>
          <cell r="H610">
            <v>7.208971187244775E-3</v>
          </cell>
          <cell r="I610">
            <v>1.3800458635702094E-3</v>
          </cell>
          <cell r="J610">
            <v>1.7201102077974988E-3</v>
          </cell>
          <cell r="K610">
            <v>2.2172181682136843E-3</v>
          </cell>
          <cell r="L610">
            <v>2.1546910778200679E-3</v>
          </cell>
          <cell r="M610">
            <v>2.6919750361142423E-3</v>
          </cell>
          <cell r="N610">
            <v>3.4724537964666985E-3</v>
          </cell>
          <cell r="O610">
            <v>5.2110731201193685E-3</v>
          </cell>
        </row>
        <row r="611">
          <cell r="A611" t="str">
            <v>T_C-HY-DSL-S3</v>
          </cell>
          <cell r="B611" t="str">
            <v>VAR_ncap</v>
          </cell>
          <cell r="C611" t="str">
            <v>-</v>
          </cell>
          <cell r="E611">
            <v>1.2434466147563501E-4</v>
          </cell>
          <cell r="F611">
            <v>3.0055791666364201E-5</v>
          </cell>
          <cell r="G611">
            <v>1.6037556085363899E-5</v>
          </cell>
          <cell r="H611">
            <v>2.9514337456065301E-5</v>
          </cell>
          <cell r="I611">
            <v>3.9062911473691898E-5</v>
          </cell>
          <cell r="J611">
            <v>4.80132074477685E-5</v>
          </cell>
          <cell r="K611">
            <v>6.7043751394964195E-5</v>
          </cell>
          <cell r="L611">
            <v>5.6813910407399899E-5</v>
          </cell>
          <cell r="M611">
            <v>8.9825520485277695E-5</v>
          </cell>
          <cell r="N611">
            <v>1.07052605332296E-4</v>
          </cell>
          <cell r="O611">
            <v>1.9689178278596499E-4</v>
          </cell>
        </row>
        <row r="612">
          <cell r="A612" t="str">
            <v>T_C-HY-DSL-S3</v>
          </cell>
          <cell r="B612" t="str">
            <v>VAR_cap</v>
          </cell>
          <cell r="C612" t="str">
            <v>-</v>
          </cell>
          <cell r="D612">
            <v>1.8560452890842532E-3</v>
          </cell>
          <cell r="E612">
            <v>3.797021168086515E-3</v>
          </cell>
          <cell r="F612">
            <v>3.6432950595996086E-3</v>
          </cell>
          <cell r="G612">
            <v>2.9107696536433822E-3</v>
          </cell>
          <cell r="H612">
            <v>7.0036553112728277E-4</v>
          </cell>
          <cell r="I612">
            <v>7.3818674095999035E-5</v>
          </cell>
          <cell r="J612">
            <v>9.6113244407411498E-5</v>
          </cell>
          <cell r="K612">
            <v>1.2932396107379025E-4</v>
          </cell>
          <cell r="L612">
            <v>1.4356459022495249E-4</v>
          </cell>
          <cell r="M612">
            <v>1.8803472624709193E-4</v>
          </cell>
          <cell r="N612">
            <v>2.4123813647110531E-4</v>
          </cell>
          <cell r="O612">
            <v>3.9374970183449253E-4</v>
          </cell>
        </row>
        <row r="613">
          <cell r="A613" t="str">
            <v>D-T-ELC-Bus_c_S2</v>
          </cell>
          <cell r="B613" t="str">
            <v>VAR_fout</v>
          </cell>
          <cell r="C613" t="str">
            <v>T-ELC-Bus_c_BatSTGin_S2</v>
          </cell>
          <cell r="D613">
            <v>5.6601043664758629E-4</v>
          </cell>
          <cell r="E613">
            <v>4.7954205531397162E-4</v>
          </cell>
          <cell r="F613">
            <v>7.6093169147870281E-4</v>
          </cell>
          <cell r="G613">
            <v>8.6493738088679759E-2</v>
          </cell>
          <cell r="H613">
            <v>9.0634071527500401E-2</v>
          </cell>
          <cell r="I613">
            <v>8.3681435790255873E-2</v>
          </cell>
          <cell r="J613">
            <v>8.2411065364022609E-2</v>
          </cell>
          <cell r="K613">
            <v>8.0711802175177733E-2</v>
          </cell>
          <cell r="L613">
            <v>7.590567865105341E-2</v>
          </cell>
          <cell r="M613">
            <v>7.5842341014386E-2</v>
          </cell>
          <cell r="N613">
            <v>6.8343055352839036E-2</v>
          </cell>
          <cell r="O613">
            <v>6.7338714509902642E-2</v>
          </cell>
        </row>
        <row r="614">
          <cell r="A614" t="str">
            <v>D-T-ELC-Bus_c_S2</v>
          </cell>
          <cell r="B614" t="str">
            <v>VAR_fin</v>
          </cell>
          <cell r="C614" t="str">
            <v>TELC</v>
          </cell>
          <cell r="D614">
            <v>5.6601043664758629E-4</v>
          </cell>
          <cell r="E614">
            <v>4.7954205531397162E-4</v>
          </cell>
          <cell r="F614">
            <v>7.6093169147870281E-4</v>
          </cell>
          <cell r="G614">
            <v>8.6493738088679759E-2</v>
          </cell>
          <cell r="H614">
            <v>9.0634071527500401E-2</v>
          </cell>
          <cell r="I614">
            <v>8.3681435790255873E-2</v>
          </cell>
          <cell r="J614">
            <v>8.2411065364022609E-2</v>
          </cell>
          <cell r="K614">
            <v>8.0711802175177733E-2</v>
          </cell>
          <cell r="L614">
            <v>7.590567865105341E-2</v>
          </cell>
          <cell r="M614">
            <v>7.5842341014386E-2</v>
          </cell>
          <cell r="N614">
            <v>6.8343055352839036E-2</v>
          </cell>
          <cell r="O614">
            <v>6.7338714509902642E-2</v>
          </cell>
        </row>
        <row r="615">
          <cell r="A615" t="str">
            <v>D-T-ELC-Bus_c_S2</v>
          </cell>
          <cell r="B615" t="str">
            <v>VAR_ncap</v>
          </cell>
          <cell r="C615" t="str">
            <v>-</v>
          </cell>
          <cell r="D615">
            <v>6.3512495007490196E-5</v>
          </cell>
          <cell r="E615">
            <v>1.0889706886474901E-5</v>
          </cell>
          <cell r="F615">
            <v>2.2268945156707901E-5</v>
          </cell>
          <cell r="G615">
            <v>1.0759772775115899E-2</v>
          </cell>
          <cell r="H615">
            <v>4.3725597446788502E-4</v>
          </cell>
          <cell r="I615">
            <v>7.6942437052063897E-3</v>
          </cell>
          <cell r="J615">
            <v>2.2466330169939302E-3</v>
          </cell>
          <cell r="K615">
            <v>5.0344715357243204E-3</v>
          </cell>
          <cell r="L615">
            <v>3.3259287835604601E-3</v>
          </cell>
          <cell r="M615">
            <v>3.34975743040823E-3</v>
          </cell>
          <cell r="N615">
            <v>4.4092803425135902E-3</v>
          </cell>
          <cell r="O615">
            <v>1.50141482751357E-3</v>
          </cell>
        </row>
        <row r="616">
          <cell r="A616" t="str">
            <v>D-T-ELC-Bus_c_S2</v>
          </cell>
          <cell r="B616" t="str">
            <v>VAR_cap</v>
          </cell>
          <cell r="C616" t="str">
            <v>-</v>
          </cell>
          <cell r="D616">
            <v>6.3512495007490196E-5</v>
          </cell>
          <cell r="E616">
            <v>7.4402201893965098E-5</v>
          </cell>
          <cell r="F616">
            <v>9.6671147050672999E-5</v>
          </cell>
          <cell r="G616">
            <v>1.08379604773367E-2</v>
          </cell>
          <cell r="H616">
            <v>1.12084381055415E-2</v>
          </cell>
          <cell r="I616">
            <v>1.03910190145829E-2</v>
          </cell>
          <cell r="J616">
            <v>1.01675987530525E-2</v>
          </cell>
          <cell r="K616">
            <v>9.9094369465382495E-3</v>
          </cell>
          <cell r="L616">
            <v>9.3709597966288496E-3</v>
          </cell>
          <cell r="M616">
            <v>9.2550664857401904E-3</v>
          </cell>
          <cell r="N616">
            <v>8.3481326756954001E-3</v>
          </cell>
          <cell r="O616">
            <v>8.1713219658229499E-3</v>
          </cell>
        </row>
        <row r="617">
          <cell r="A617" t="str">
            <v>T_C-HY-DSL-S4</v>
          </cell>
          <cell r="B617" t="str">
            <v>VAR_fout</v>
          </cell>
          <cell r="C617" t="str">
            <v>CO2_T</v>
          </cell>
          <cell r="D617">
            <v>2.5785434767904043</v>
          </cell>
          <cell r="E617">
            <v>5.2538060970378844</v>
          </cell>
          <cell r="F617">
            <v>4.9908716293295114</v>
          </cell>
          <cell r="G617">
            <v>4.1072281775081647</v>
          </cell>
          <cell r="H617">
            <v>1.0223038929793948</v>
          </cell>
          <cell r="I617">
            <v>0.22730883909717053</v>
          </cell>
          <cell r="J617">
            <v>8.3780162210810367</v>
          </cell>
          <cell r="K617">
            <v>83.702068237789661</v>
          </cell>
          <cell r="L617">
            <v>78.580996353777635</v>
          </cell>
          <cell r="M617">
            <v>54.798207273982804</v>
          </cell>
          <cell r="N617">
            <v>11.265338101871517</v>
          </cell>
          <cell r="O617">
            <v>2.9760583458605332</v>
          </cell>
        </row>
        <row r="618">
          <cell r="A618" t="str">
            <v>T_C-HY-DSL-S4</v>
          </cell>
          <cell r="B618" t="str">
            <v>VAR_fout</v>
          </cell>
          <cell r="C618" t="str">
            <v>TPCAR</v>
          </cell>
          <cell r="D618">
            <v>4.7336177541226439E-2</v>
          </cell>
          <cell r="E618">
            <v>0.11314331220376898</v>
          </cell>
          <cell r="F618">
            <v>0.10804155712246924</v>
          </cell>
          <cell r="G618">
            <v>9.0691891192656485E-2</v>
          </cell>
          <cell r="H618">
            <v>2.0900166429202616E-2</v>
          </cell>
          <cell r="I618">
            <v>2.1859428050091828E-3</v>
          </cell>
          <cell r="J618">
            <v>8.5335887918815967E-2</v>
          </cell>
          <cell r="K618">
            <v>0.88993443948776951</v>
          </cell>
          <cell r="L618">
            <v>0.84018700295139015</v>
          </cell>
          <cell r="M618">
            <v>0.58863586353226427</v>
          </cell>
          <cell r="N618">
            <v>0.12287524330790831</v>
          </cell>
          <cell r="O618">
            <v>3.4923441363739614E-2</v>
          </cell>
        </row>
        <row r="619">
          <cell r="A619" t="str">
            <v>T_C-HY-DSL-S4</v>
          </cell>
          <cell r="B619" t="str">
            <v>VAR_fin</v>
          </cell>
          <cell r="C619" t="str">
            <v>TDSL</v>
          </cell>
          <cell r="D619">
            <v>3.5177946477358869E-2</v>
          </cell>
          <cell r="E619">
            <v>7.1675390136942518E-2</v>
          </cell>
          <cell r="F619">
            <v>6.8088289622503573E-2</v>
          </cell>
          <cell r="G619">
            <v>5.6033126569006296E-2</v>
          </cell>
          <cell r="H619">
            <v>1.3946847107495134E-2</v>
          </cell>
          <cell r="I619">
            <v>3.1010755674920993E-3</v>
          </cell>
          <cell r="J619">
            <v>0.11429762920983692</v>
          </cell>
          <cell r="K619">
            <v>1.1419108900107728</v>
          </cell>
          <cell r="L619">
            <v>1.0720463349765028</v>
          </cell>
          <cell r="M619">
            <v>0.74758809377875468</v>
          </cell>
          <cell r="N619">
            <v>0.15368810507328143</v>
          </cell>
          <cell r="O619">
            <v>4.0601068838479325E-2</v>
          </cell>
        </row>
        <row r="620">
          <cell r="A620" t="str">
            <v>T_C-HY-DSL-S4</v>
          </cell>
          <cell r="B620" t="str">
            <v>VAR_ncap</v>
          </cell>
          <cell r="C620" t="str">
            <v>-</v>
          </cell>
          <cell r="E620">
            <v>1.44161639024764E-4</v>
          </cell>
          <cell r="F620">
            <v>3.5361659557289002E-5</v>
          </cell>
          <cell r="G620">
            <v>1.98024011733399E-5</v>
          </cell>
          <cell r="H620">
            <v>6.5543582393503695E-5</v>
          </cell>
          <cell r="I620">
            <v>1.1781144780538099E-4</v>
          </cell>
          <cell r="J620">
            <v>9.6990288931427492E-3</v>
          </cell>
          <cell r="K620">
            <v>9.2923266388881501E-2</v>
          </cell>
          <cell r="L620">
            <v>8.5404774043234405E-3</v>
          </cell>
          <cell r="M620">
            <v>1.2633873641855199E-4</v>
          </cell>
          <cell r="N620">
            <v>7.5941633406688004E-5</v>
          </cell>
          <cell r="O620">
            <v>3.6809778549767398E-3</v>
          </cell>
        </row>
        <row r="621">
          <cell r="A621" t="str">
            <v>T_C-HY-DSL-S4</v>
          </cell>
          <cell r="B621" t="str">
            <v>VAR_cap</v>
          </cell>
          <cell r="C621" t="str">
            <v>-</v>
          </cell>
          <cell r="D621">
            <v>3.7726529038714287E-3</v>
          </cell>
          <cell r="E621">
            <v>8.9120849297562744E-3</v>
          </cell>
          <cell r="F621">
            <v>8.5306643985465537E-3</v>
          </cell>
          <cell r="G621">
            <v>7.164774117264459E-3</v>
          </cell>
          <cell r="H621">
            <v>1.6675381819075651E-3</v>
          </cell>
          <cell r="I621">
            <v>1.8377661776977939E-4</v>
          </cell>
          <cell r="J621">
            <v>9.4425725827841905E-3</v>
          </cell>
          <cell r="K621">
            <v>9.9871805716342299E-2</v>
          </cell>
          <cell r="L621">
            <v>9.4359968792055646E-2</v>
          </cell>
          <cell r="M621">
            <v>6.6101690213056438E-2</v>
          </cell>
          <cell r="N621">
            <v>1.3792257678096907E-2</v>
          </cell>
          <cell r="O621">
            <v>3.8832224836549607E-3</v>
          </cell>
        </row>
        <row r="622">
          <cell r="A622" t="str">
            <v>D-T-ELC-Bus_c_S3</v>
          </cell>
          <cell r="B622" t="str">
            <v>VAR_fout</v>
          </cell>
          <cell r="C622" t="str">
            <v>T-ELC-Bus_c_BatSTGin_S3</v>
          </cell>
          <cell r="D622">
            <v>2.9736820496719052E-4</v>
          </cell>
          <cell r="E622">
            <v>4.208021287207983E-4</v>
          </cell>
          <cell r="F622">
            <v>5.4900781995219784E-4</v>
          </cell>
          <cell r="G622">
            <v>9.8163088590704026E-4</v>
          </cell>
          <cell r="H622">
            <v>1.5858663553050502E-3</v>
          </cell>
          <cell r="I622">
            <v>2.3567115565412914E-3</v>
          </cell>
          <cell r="J622">
            <v>3.3648967117105577E-3</v>
          </cell>
          <cell r="K622">
            <v>4.6307901956536765E-3</v>
          </cell>
          <cell r="L622">
            <v>5.1959071422559653E-3</v>
          </cell>
          <cell r="M622">
            <v>7.2976759439230578E-3</v>
          </cell>
          <cell r="N622">
            <v>1.1550674266170681E-2</v>
          </cell>
          <cell r="O622">
            <v>2.6003677383947238E-2</v>
          </cell>
        </row>
        <row r="623">
          <cell r="A623" t="str">
            <v>D-T-ELC-Bus_c_S3</v>
          </cell>
          <cell r="B623" t="str">
            <v>VAR_fin</v>
          </cell>
          <cell r="C623" t="str">
            <v>TELC</v>
          </cell>
          <cell r="D623">
            <v>2.9736820496719052E-4</v>
          </cell>
          <cell r="E623">
            <v>4.208021287207983E-4</v>
          </cell>
          <cell r="F623">
            <v>5.4900781995219784E-4</v>
          </cell>
          <cell r="G623">
            <v>9.8163088590704026E-4</v>
          </cell>
          <cell r="H623">
            <v>1.5858663553050502E-3</v>
          </cell>
          <cell r="I623">
            <v>2.3567115565412914E-3</v>
          </cell>
          <cell r="J623">
            <v>3.3648967117105577E-3</v>
          </cell>
          <cell r="K623">
            <v>4.6307901956536765E-3</v>
          </cell>
          <cell r="L623">
            <v>5.1959071422559653E-3</v>
          </cell>
          <cell r="M623">
            <v>7.2976759439230578E-3</v>
          </cell>
          <cell r="N623">
            <v>1.1550674266170681E-2</v>
          </cell>
          <cell r="O623">
            <v>2.6003677383947238E-2</v>
          </cell>
        </row>
        <row r="624">
          <cell r="A624" t="str">
            <v>D-T-ELC-Bus_c_S3</v>
          </cell>
          <cell r="B624" t="str">
            <v>VAR_ncap</v>
          </cell>
          <cell r="C624" t="str">
            <v>-</v>
          </cell>
          <cell r="D624">
            <v>3.6476172266810999E-5</v>
          </cell>
          <cell r="E624">
            <v>1.3937867264195699E-5</v>
          </cell>
          <cell r="F624">
            <v>1.61759875512079E-5</v>
          </cell>
          <cell r="G624">
            <v>9.7354394746890005E-5</v>
          </cell>
          <cell r="H624">
            <v>1.5243676442488099E-4</v>
          </cell>
          <cell r="I624">
            <v>1.6037323662486101E-4</v>
          </cell>
          <cell r="J624">
            <v>2.7658657449011498E-4</v>
          </cell>
          <cell r="K624">
            <v>3.08713030882523E-4</v>
          </cell>
          <cell r="L624">
            <v>2.9468700287159502E-4</v>
          </cell>
          <cell r="M624">
            <v>6.6065091653770699E-4</v>
          </cell>
          <cell r="N624">
            <v>7.4133122243839498E-4</v>
          </cell>
          <cell r="O624">
            <v>2.3871904048894999E-3</v>
          </cell>
        </row>
        <row r="625">
          <cell r="A625" t="str">
            <v>D-T-ELC-Bus_c_S3</v>
          </cell>
          <cell r="B625" t="str">
            <v>VAR_cap</v>
          </cell>
          <cell r="C625" t="str">
            <v>-</v>
          </cell>
          <cell r="D625">
            <v>3.6476172266810999E-5</v>
          </cell>
          <cell r="E625">
            <v>5.0414039531006698E-5</v>
          </cell>
          <cell r="F625">
            <v>6.6590027082214602E-5</v>
          </cell>
          <cell r="G625">
            <v>1.38195852546462E-4</v>
          </cell>
          <cell r="H625">
            <v>2.2634648061818199E-4</v>
          </cell>
          <cell r="I625">
            <v>3.1281000104974201E-4</v>
          </cell>
          <cell r="J625">
            <v>4.3885327866204099E-4</v>
          </cell>
          <cell r="K625">
            <v>5.8529960537263804E-4</v>
          </cell>
          <cell r="L625">
            <v>6.4589868881766003E-4</v>
          </cell>
          <cell r="M625">
            <v>8.8437202131905798E-4</v>
          </cell>
          <cell r="N625">
            <v>1.4019821389760999E-3</v>
          </cell>
          <cell r="O625">
            <v>3.1285216273279001E-3</v>
          </cell>
        </row>
        <row r="626">
          <cell r="A626" t="str">
            <v>D-T-ELC-Bus_c_S4</v>
          </cell>
          <cell r="B626" t="str">
            <v>VAR_fout</v>
          </cell>
          <cell r="C626" t="str">
            <v>T-ELC-Bus_c_BatSTGin_S4</v>
          </cell>
          <cell r="D626">
            <v>5.1571765518078607E-6</v>
          </cell>
          <cell r="E626">
            <v>6.1124005661978176E-5</v>
          </cell>
          <cell r="F626">
            <v>1.2220634133637543E-4</v>
          </cell>
          <cell r="G626">
            <v>3.9490125834212218E-4</v>
          </cell>
          <cell r="H626">
            <v>3.8147776696402931E-4</v>
          </cell>
          <cell r="I626">
            <v>5.6908480277800019E-4</v>
          </cell>
          <cell r="J626">
            <v>5.926109589937693E-4</v>
          </cell>
          <cell r="K626">
            <v>9.5884318375211901E-4</v>
          </cell>
          <cell r="L626">
            <v>9.0058030693358337E-4</v>
          </cell>
          <cell r="M626">
            <v>9.5350843835108714E-4</v>
          </cell>
          <cell r="N626">
            <v>1.2064583976567249E-3</v>
          </cell>
          <cell r="O626">
            <v>1.7009587438844345E-3</v>
          </cell>
        </row>
        <row r="627">
          <cell r="A627" t="str">
            <v>D-T-ELC-Bus_c_S4</v>
          </cell>
          <cell r="B627" t="str">
            <v>VAR_fin</v>
          </cell>
          <cell r="C627" t="str">
            <v>TELC</v>
          </cell>
          <cell r="D627">
            <v>5.1571765518078607E-6</v>
          </cell>
          <cell r="E627">
            <v>6.1124005661978176E-5</v>
          </cell>
          <cell r="F627">
            <v>1.2220634133637543E-4</v>
          </cell>
          <cell r="G627">
            <v>3.9490125834212218E-4</v>
          </cell>
          <cell r="H627">
            <v>3.8147776696402931E-4</v>
          </cell>
          <cell r="I627">
            <v>5.6908480277800019E-4</v>
          </cell>
          <cell r="J627">
            <v>5.926109589937693E-4</v>
          </cell>
          <cell r="K627">
            <v>9.5884318375211901E-4</v>
          </cell>
          <cell r="L627">
            <v>9.0058030693358337E-4</v>
          </cell>
          <cell r="M627">
            <v>9.5350843835108714E-4</v>
          </cell>
          <cell r="N627">
            <v>1.2064583976567249E-3</v>
          </cell>
          <cell r="O627">
            <v>1.7009587438844345E-3</v>
          </cell>
        </row>
        <row r="628">
          <cell r="A628" t="str">
            <v>D-T-ELC-Bus_c_S4</v>
          </cell>
          <cell r="B628" t="str">
            <v>VAR_ncap</v>
          </cell>
          <cell r="C628" t="str">
            <v>-</v>
          </cell>
          <cell r="D628">
            <v>6.7389728986057598E-6</v>
          </cell>
          <cell r="E628">
            <v>5.9290449710104804E-6</v>
          </cell>
          <cell r="F628">
            <v>8.4748818737327696E-6</v>
          </cell>
          <cell r="G628">
            <v>6.1716356782453506E-5</v>
          </cell>
          <cell r="H628">
            <v>5.4009418534240398E-5</v>
          </cell>
          <cell r="I628">
            <v>7.0217839379147198E-5</v>
          </cell>
          <cell r="J628">
            <v>8.0368130908593699E-5</v>
          </cell>
          <cell r="K628">
            <v>1.05297669967837E-4</v>
          </cell>
          <cell r="L628">
            <v>9.6882371446419696E-5</v>
          </cell>
          <cell r="M628">
            <v>1.3412726080094001E-4</v>
          </cell>
          <cell r="N628">
            <v>1.36394824100024E-4</v>
          </cell>
          <cell r="O628">
            <v>2.0548935264849599E-4</v>
          </cell>
        </row>
        <row r="629">
          <cell r="A629" t="str">
            <v>D-T-ELC-Bus_c_S4</v>
          </cell>
          <cell r="B629" t="str">
            <v>VAR_cap</v>
          </cell>
          <cell r="C629" t="str">
            <v>-</v>
          </cell>
          <cell r="D629">
            <v>6.7389728986057598E-6</v>
          </cell>
          <cell r="E629">
            <v>1.26680178696162E-5</v>
          </cell>
          <cell r="F629">
            <v>2.1142899743349001E-5</v>
          </cell>
          <cell r="G629">
            <v>7.0752694851547898E-5</v>
          </cell>
          <cell r="H629">
            <v>7.0014600016552906E-5</v>
          </cell>
          <cell r="I629">
            <v>1.1395213565995E-4</v>
          </cell>
          <cell r="J629">
            <v>1.1677685274587501E-4</v>
          </cell>
          <cell r="K629">
            <v>1.5953513463041899E-4</v>
          </cell>
          <cell r="L629">
            <v>1.7392833496867799E-4</v>
          </cell>
          <cell r="M629">
            <v>1.59252203656893E-4</v>
          </cell>
          <cell r="N629">
            <v>2.28001906978695E-4</v>
          </cell>
          <cell r="O629">
            <v>2.9753715030971E-4</v>
          </cell>
        </row>
        <row r="630">
          <cell r="A630" t="str">
            <v>D-TH2O</v>
          </cell>
          <cell r="B630" t="str">
            <v>VAR_fout</v>
          </cell>
          <cell r="C630" t="str">
            <v>TH2Ointl</v>
          </cell>
          <cell r="K630">
            <v>4.7809703956951497E-6</v>
          </cell>
          <cell r="L630">
            <v>5.4620127768631403E-6</v>
          </cell>
          <cell r="M630">
            <v>2.9665658242357998E-6</v>
          </cell>
          <cell r="N630">
            <v>3.6153761645038801E-6</v>
          </cell>
          <cell r="O630">
            <v>5.26731359582687E-6</v>
          </cell>
        </row>
        <row r="631">
          <cell r="A631" t="str">
            <v>D-TH2O</v>
          </cell>
          <cell r="B631" t="str">
            <v>VAR_fout</v>
          </cell>
          <cell r="C631" t="str">
            <v>TH2O</v>
          </cell>
          <cell r="D631">
            <v>3.3091345609415597E-3</v>
          </cell>
          <cell r="E631">
            <v>3.0151199744987141E-3</v>
          </cell>
          <cell r="F631">
            <v>2.9328035872301511E-3</v>
          </cell>
          <cell r="G631">
            <v>4.1261287119592944E-4</v>
          </cell>
          <cell r="H631">
            <v>5.7210090574017153E-4</v>
          </cell>
          <cell r="I631">
            <v>1.2690709796058354E-3</v>
          </cell>
          <cell r="J631">
            <v>1.6013896931956412E-3</v>
          </cell>
          <cell r="K631">
            <v>2.2420431999243336E-3</v>
          </cell>
          <cell r="L631">
            <v>2.5114124634921377E-3</v>
          </cell>
          <cell r="M631">
            <v>3.1709483609906092E-3</v>
          </cell>
          <cell r="N631">
            <v>3.1790800452234187E-3</v>
          </cell>
          <cell r="O631">
            <v>5.2462325072992096E-3</v>
          </cell>
        </row>
        <row r="632">
          <cell r="A632" t="str">
            <v>D-TH2O</v>
          </cell>
          <cell r="B632" t="str">
            <v>VAR_fin</v>
          </cell>
          <cell r="C632" t="str">
            <v>H2</v>
          </cell>
          <cell r="D632">
            <v>3.3091345609415597E-3</v>
          </cell>
          <cell r="E632">
            <v>3.0151199744987141E-3</v>
          </cell>
          <cell r="F632">
            <v>2.9328035872301511E-3</v>
          </cell>
          <cell r="G632">
            <v>4.1261287119592944E-4</v>
          </cell>
          <cell r="H632">
            <v>5.7210090574017153E-4</v>
          </cell>
          <cell r="I632">
            <v>1.2690709796058354E-3</v>
          </cell>
          <cell r="J632">
            <v>1.6013896931956412E-3</v>
          </cell>
          <cell r="K632">
            <v>2.2468241703200282E-3</v>
          </cell>
          <cell r="L632">
            <v>2.5168804975452168E-3</v>
          </cell>
          <cell r="M632">
            <v>3.173930862009336E-3</v>
          </cell>
          <cell r="N632">
            <v>3.1827015486937992E-3</v>
          </cell>
          <cell r="O632">
            <v>5.2514998208950383E-3</v>
          </cell>
        </row>
        <row r="633">
          <cell r="A633" t="str">
            <v>D-TH2O</v>
          </cell>
          <cell r="B633" t="str">
            <v>VAR_ncap</v>
          </cell>
          <cell r="C633" t="str">
            <v>-</v>
          </cell>
          <cell r="D633">
            <v>6.1046029501648699E-4</v>
          </cell>
          <cell r="E633">
            <v>4.65356897376689E-7</v>
          </cell>
          <cell r="F633">
            <v>2.4050667537299401E-7</v>
          </cell>
          <cell r="G633">
            <v>1.43700752399366E-7</v>
          </cell>
          <cell r="H633">
            <v>6.5607060942041396E-7</v>
          </cell>
          <cell r="I633">
            <v>9.3342891715340292E-6</v>
          </cell>
          <cell r="J633">
            <v>4.9413536445816001E-5</v>
          </cell>
          <cell r="K633">
            <v>4.3809093162292002E-5</v>
          </cell>
          <cell r="L633">
            <v>1.4078420443384599E-4</v>
          </cell>
          <cell r="M633">
            <v>6.71704202197649E-4</v>
          </cell>
          <cell r="N633">
            <v>2.04972986471581E-4</v>
          </cell>
          <cell r="O633">
            <v>5.0532689139141202E-4</v>
          </cell>
        </row>
        <row r="634">
          <cell r="A634" t="str">
            <v>D-TH2O</v>
          </cell>
          <cell r="B634" t="str">
            <v>VAR_cap</v>
          </cell>
          <cell r="C634" t="str">
            <v>-</v>
          </cell>
          <cell r="D634">
            <v>6.1046029501648699E-4</v>
          </cell>
          <cell r="E634">
            <v>6.1092565191386405E-4</v>
          </cell>
          <cell r="F634">
            <v>6.1116615858923702E-4</v>
          </cell>
          <cell r="G634">
            <v>6.1130985934163603E-4</v>
          </cell>
          <cell r="H634">
            <v>6.1196592995105595E-4</v>
          </cell>
          <cell r="I634">
            <v>6.2130021912258995E-4</v>
          </cell>
          <cell r="J634">
            <v>6.7071375556840599E-4</v>
          </cell>
          <cell r="K634">
            <v>7.1452284873069801E-4</v>
          </cell>
          <cell r="L634">
            <v>8.5530705316454495E-4</v>
          </cell>
          <cell r="M634">
            <v>1.07463745098638E-3</v>
          </cell>
          <cell r="N634">
            <v>1.1208151271436099E-3</v>
          </cell>
          <cell r="O634">
            <v>1.6260012738835499E-3</v>
          </cell>
        </row>
        <row r="635">
          <cell r="A635" t="str">
            <v>TFHGV-HYBDSL</v>
          </cell>
          <cell r="B635" t="str">
            <v>VAR_fout</v>
          </cell>
          <cell r="C635" t="str">
            <v>CO2_T</v>
          </cell>
          <cell r="E635">
            <v>226.138312165222</v>
          </cell>
          <cell r="F635">
            <v>309.07593787056072</v>
          </cell>
          <cell r="G635">
            <v>822.40926313202067</v>
          </cell>
          <cell r="H635">
            <v>1084.238284520191</v>
          </cell>
          <cell r="I635">
            <v>1129.448965162291</v>
          </cell>
          <cell r="J635">
            <v>1175.2535259108879</v>
          </cell>
          <cell r="K635">
            <v>1220.824690384354</v>
          </cell>
          <cell r="L635">
            <v>1260.194326675695</v>
          </cell>
          <cell r="M635">
            <v>1304.001998707123</v>
          </cell>
          <cell r="N635">
            <v>1349.609961154579</v>
          </cell>
          <cell r="O635">
            <v>1399.3758818578649</v>
          </cell>
        </row>
        <row r="636">
          <cell r="A636" t="str">
            <v>TFHGV-HYBDSL</v>
          </cell>
          <cell r="B636" t="str">
            <v>VAR_fout</v>
          </cell>
          <cell r="C636" t="str">
            <v>TFHGV</v>
          </cell>
          <cell r="E636">
            <v>0.50431266068380332</v>
          </cell>
          <cell r="F636">
            <v>0.68927245051232966</v>
          </cell>
          <cell r="G636">
            <v>1.834060755517132</v>
          </cell>
          <cell r="H636">
            <v>2.4179675210546359</v>
          </cell>
          <cell r="I636">
            <v>2.5187921819784518</v>
          </cell>
          <cell r="J636">
            <v>2.6209412591578234</v>
          </cell>
          <cell r="K636">
            <v>2.7225698376416041</v>
          </cell>
          <cell r="L636">
            <v>2.8103683439545599</v>
          </cell>
          <cell r="M636">
            <v>2.9080641453824558</v>
          </cell>
          <cell r="N636">
            <v>3.0097747872901315</v>
          </cell>
          <cell r="O636">
            <v>3.1207581215201907</v>
          </cell>
        </row>
        <row r="637">
          <cell r="A637" t="str">
            <v>TFHGV-HYBDSL</v>
          </cell>
          <cell r="B637" t="str">
            <v>VAR_fin</v>
          </cell>
          <cell r="C637" t="str">
            <v>TDSL</v>
          </cell>
          <cell r="E637">
            <v>3.0851065779702838</v>
          </cell>
          <cell r="F637">
            <v>4.2165885111945496</v>
          </cell>
          <cell r="G637">
            <v>11.219771666194005</v>
          </cell>
          <cell r="H637">
            <v>14.791791057574244</v>
          </cell>
          <cell r="I637">
            <v>15.408580697984862</v>
          </cell>
          <cell r="J637">
            <v>16.033472386233139</v>
          </cell>
          <cell r="K637">
            <v>16.655179950673304</v>
          </cell>
          <cell r="L637">
            <v>17.192282765016309</v>
          </cell>
          <cell r="M637">
            <v>17.789931769537805</v>
          </cell>
          <cell r="N637">
            <v>18.412141352722749</v>
          </cell>
          <cell r="O637">
            <v>19.091076150857635</v>
          </cell>
        </row>
        <row r="638">
          <cell r="A638" t="str">
            <v>TFHGV-HYBDSL</v>
          </cell>
          <cell r="B638" t="str">
            <v>VAR_ncap</v>
          </cell>
          <cell r="C638" t="str">
            <v>-</v>
          </cell>
          <cell r="E638">
            <v>9.4873211364149695E-3</v>
          </cell>
          <cell r="F638">
            <v>3.4803119630632501E-3</v>
          </cell>
          <cell r="G638">
            <v>2.9077108592860099E-2</v>
          </cell>
          <cell r="H638">
            <v>3.9816718942929701E-2</v>
          </cell>
          <cell r="I638">
            <v>1.70877273084904E-2</v>
          </cell>
          <cell r="J638">
            <v>4.2473330522983202E-2</v>
          </cell>
          <cell r="K638">
            <v>2.46624040017158E-2</v>
          </cell>
          <cell r="L638">
            <v>3.7168380187274301E-2</v>
          </cell>
          <cell r="M638">
            <v>4.7493932424059103E-2</v>
          </cell>
          <cell r="N638">
            <v>2.66914300935275E-2</v>
          </cell>
          <cell r="O638">
            <v>4.3283355029811801E-2</v>
          </cell>
        </row>
        <row r="639">
          <cell r="A639" t="str">
            <v>TFHGV-HYBDSL</v>
          </cell>
          <cell r="B639" t="str">
            <v>VAR_cap</v>
          </cell>
          <cell r="C639" t="str">
            <v>-</v>
          </cell>
          <cell r="E639">
            <v>9.4873211364149695E-3</v>
          </cell>
          <cell r="F639">
            <v>1.2967633099478199E-2</v>
          </cell>
          <cell r="G639">
            <v>3.45036174697438E-2</v>
          </cell>
          <cell r="H639">
            <v>4.7357416810920899E-2</v>
          </cell>
          <cell r="I639">
            <v>4.9329440521447603E-2</v>
          </cell>
          <cell r="J639">
            <v>5.1333505030017303E-2</v>
          </cell>
          <cell r="K639">
            <v>5.3326076247155199E-2</v>
          </cell>
          <cell r="L639">
            <v>5.5213781188719002E-2</v>
          </cell>
          <cell r="M639">
            <v>5.7132973112956849E-2</v>
          </cell>
          <cell r="N639">
            <v>5.9129135730876102E-2</v>
          </cell>
          <cell r="O639">
            <v>6.1296409210927397E-2</v>
          </cell>
        </row>
        <row r="640">
          <cell r="A640" t="str">
            <v>D-TKER</v>
          </cell>
          <cell r="B640" t="str">
            <v>VAR_fout</v>
          </cell>
          <cell r="C640" t="str">
            <v>CO2</v>
          </cell>
          <cell r="D640">
            <v>80.676850963908095</v>
          </cell>
          <cell r="E640">
            <v>102.29843137456599</v>
          </cell>
          <cell r="F640">
            <v>134.44933521373</v>
          </cell>
          <cell r="G640">
            <v>117.304633032631</v>
          </cell>
          <cell r="H640">
            <v>84.656757904147995</v>
          </cell>
          <cell r="I640">
            <v>71.770764612426902</v>
          </cell>
          <cell r="J640">
            <v>46.670795205595702</v>
          </cell>
          <cell r="K640">
            <v>28.183688168621298</v>
          </cell>
          <cell r="L640">
            <v>14.325211223773699</v>
          </cell>
          <cell r="M640">
            <v>8.0022320931222007E-3</v>
          </cell>
          <cell r="N640">
            <v>4.9825914286887102E-3</v>
          </cell>
          <cell r="O640">
            <v>9.0919192051609598E-3</v>
          </cell>
        </row>
        <row r="641">
          <cell r="A641" t="str">
            <v>D-TKER</v>
          </cell>
          <cell r="B641" t="str">
            <v>VAR_fout</v>
          </cell>
          <cell r="C641" t="str">
            <v>TKER</v>
          </cell>
          <cell r="D641">
            <v>1.0919123010009799</v>
          </cell>
          <cell r="E641">
            <v>1.38454729276636</v>
          </cell>
          <cell r="F641">
            <v>1.81969029811231</v>
          </cell>
          <cell r="G641">
            <v>1.5876471409380799</v>
          </cell>
          <cell r="H641">
            <v>1.1457779302733899</v>
          </cell>
          <cell r="I641">
            <v>0.97137381784538801</v>
          </cell>
          <cell r="J641">
            <v>0.63166093834383397</v>
          </cell>
          <cell r="K641">
            <v>0.381449144720096</v>
          </cell>
          <cell r="L641">
            <v>0.193883055210887</v>
          </cell>
          <cell r="M641">
            <v>1.08305363354525E-4</v>
          </cell>
          <cell r="N641">
            <v>6.7436356363006605E-5</v>
          </cell>
          <cell r="O641">
            <v>1.2305361824624901E-4</v>
          </cell>
        </row>
        <row r="642">
          <cell r="A642" t="str">
            <v>D-TKER</v>
          </cell>
          <cell r="B642" t="str">
            <v>VAR_fin</v>
          </cell>
          <cell r="C642" t="str">
            <v>KER</v>
          </cell>
          <cell r="D642">
            <v>1.1081985022514804</v>
          </cell>
          <cell r="E642">
            <v>1.4051982331671331</v>
          </cell>
          <cell r="F642">
            <v>1.8468315276611209</v>
          </cell>
          <cell r="G642">
            <v>1.6113273768218674</v>
          </cell>
          <cell r="H642">
            <v>1.1628675536284052</v>
          </cell>
          <cell r="I642">
            <v>0.98586215126959842</v>
          </cell>
          <cell r="J642">
            <v>0.64108235172521733</v>
          </cell>
          <cell r="K642">
            <v>0.38713857374479593</v>
          </cell>
          <cell r="L642">
            <v>0.19677487944744107</v>
          </cell>
          <cell r="M642">
            <v>1.0992077050992006E-4</v>
          </cell>
          <cell r="N642">
            <v>6.8442189954515557E-5</v>
          </cell>
          <cell r="O642">
            <v>1.2488900007089188E-4</v>
          </cell>
        </row>
        <row r="643">
          <cell r="A643" t="str">
            <v>T_B_u-BEVELC-S1</v>
          </cell>
          <cell r="B643" t="str">
            <v>VAR_fout</v>
          </cell>
          <cell r="C643" t="str">
            <v>TPBSu</v>
          </cell>
          <cell r="D643">
            <v>1.8175443913629489E-7</v>
          </cell>
          <cell r="E643">
            <v>2.8220834269618777E-4</v>
          </cell>
          <cell r="F643">
            <v>6.3504200273778379E-4</v>
          </cell>
          <cell r="G643">
            <v>0.11029656421424112</v>
          </cell>
          <cell r="H643">
            <v>0.11503006841814445</v>
          </cell>
          <cell r="I643">
            <v>0.11985024405515675</v>
          </cell>
          <cell r="J643">
            <v>0.12381564591025758</v>
          </cell>
          <cell r="K643">
            <v>0.1273418509124476</v>
          </cell>
          <cell r="L643">
            <v>0.13007358305143749</v>
          </cell>
          <cell r="M643">
            <v>0.1293226027758059</v>
          </cell>
          <cell r="N643">
            <v>8.697731587051756E-2</v>
          </cell>
          <cell r="O643">
            <v>6.9055345456304373E-2</v>
          </cell>
        </row>
        <row r="644">
          <cell r="A644" t="str">
            <v>T_B_u-BEVELC-S1</v>
          </cell>
          <cell r="B644" t="str">
            <v>VAR_fin</v>
          </cell>
          <cell r="C644" t="str">
            <v>T-ELC-Bus_u_BatSTGout_S1</v>
          </cell>
          <cell r="D644">
            <v>4.7995166263384963E-7</v>
          </cell>
          <cell r="E644">
            <v>7.1915730850741232E-4</v>
          </cell>
          <cell r="F644">
            <v>1.5731419540677216E-3</v>
          </cell>
          <cell r="G644">
            <v>0.24659033806442171</v>
          </cell>
          <cell r="H644">
            <v>0.24422697495435602</v>
          </cell>
          <cell r="I644">
            <v>0.25388597931343265</v>
          </cell>
          <cell r="J644">
            <v>0.24894865354555851</v>
          </cell>
          <cell r="K644">
            <v>0.23949042265176931</v>
          </cell>
          <cell r="L644">
            <v>0.24181827945787668</v>
          </cell>
          <cell r="M644">
            <v>0.23844545926032931</v>
          </cell>
          <cell r="N644">
            <v>0.16036907379547644</v>
          </cell>
          <cell r="O644">
            <v>0.12732448317835479</v>
          </cell>
        </row>
        <row r="645">
          <cell r="A645" t="str">
            <v>T_B_u-BEVELC-S1</v>
          </cell>
          <cell r="B645" t="str">
            <v>VAR_ncap</v>
          </cell>
          <cell r="C645" t="str">
            <v>-</v>
          </cell>
          <cell r="E645">
            <v>5.4909545221567896E-6</v>
          </cell>
          <cell r="F645">
            <v>6.9185333047021001E-6</v>
          </cell>
          <cell r="G645">
            <v>2.5597815980495202E-3</v>
          </cell>
          <cell r="H645">
            <v>2.6232929899905801E-3</v>
          </cell>
          <cell r="I645">
            <v>1.01607056761856E-4</v>
          </cell>
          <cell r="J645">
            <v>1.3698267215797499E-3</v>
          </cell>
          <cell r="K645">
            <v>1.5370711158164501E-3</v>
          </cell>
          <cell r="L645">
            <v>8.8687035280223697E-4</v>
          </cell>
          <cell r="M645">
            <v>1.4003491796906499E-3</v>
          </cell>
          <cell r="N645">
            <v>7.4214657728118505E-4</v>
          </cell>
          <cell r="O645">
            <v>1.0477613739004001E-4</v>
          </cell>
        </row>
        <row r="646">
          <cell r="A646" t="str">
            <v>T_B_u-BEVELC-S1</v>
          </cell>
          <cell r="B646" t="str">
            <v>VAR_cap</v>
          </cell>
          <cell r="C646" t="str">
            <v>-</v>
          </cell>
          <cell r="D646">
            <v>3.02390998593531E-8</v>
          </cell>
          <cell r="E646">
            <v>5.5324453801033436E-6</v>
          </cell>
          <cell r="F646">
            <v>1.2425930458052998E-5</v>
          </cell>
          <cell r="G646">
            <v>2.5635465770514538E-3</v>
          </cell>
          <cell r="H646">
            <v>2.63192736480657E-3</v>
          </cell>
          <cell r="I646">
            <v>2.7055730194597339E-3</v>
          </cell>
          <cell r="J646">
            <v>2.8208919277413445E-3</v>
          </cell>
          <cell r="K646">
            <v>2.9415201521198588E-3</v>
          </cell>
          <cell r="L646">
            <v>3.039947100957713E-3</v>
          </cell>
          <cell r="M646">
            <v>3.0744358599658901E-3</v>
          </cell>
          <cell r="N646">
            <v>2.299460901882044E-3</v>
          </cell>
          <cell r="O646">
            <v>1.7910395384483418E-3</v>
          </cell>
        </row>
        <row r="647">
          <cell r="A647" t="str">
            <v>TPSHPH2OEXT</v>
          </cell>
          <cell r="B647" t="str">
            <v>VAR_fout</v>
          </cell>
          <cell r="C647" t="str">
            <v>TPSHP</v>
          </cell>
          <cell r="H647">
            <v>5.75637904236608E-5</v>
          </cell>
          <cell r="I647">
            <v>6.3752986114266302E-5</v>
          </cell>
          <cell r="J647">
            <v>8.8048926185580901E-5</v>
          </cell>
          <cell r="K647">
            <v>1.2656238113809901E-4</v>
          </cell>
          <cell r="L647">
            <v>1.32923349948916E-4</v>
          </cell>
          <cell r="M647">
            <v>1.59240969922028E-4</v>
          </cell>
          <cell r="N647">
            <v>1.6820005295812001E-4</v>
          </cell>
          <cell r="O647">
            <v>1.8498178947703799E-4</v>
          </cell>
        </row>
        <row r="648">
          <cell r="A648" t="str">
            <v>TPSHPH2OEXT</v>
          </cell>
          <cell r="B648" t="str">
            <v>VAR_fin</v>
          </cell>
          <cell r="C648" t="str">
            <v>TH2O</v>
          </cell>
          <cell r="H648">
            <v>3.2096174054404596E-5</v>
          </cell>
          <cell r="I648">
            <v>3.5547119530378566E-5</v>
          </cell>
          <cell r="J648">
            <v>4.9093946721656784E-5</v>
          </cell>
          <cell r="K648">
            <v>7.0568115543667183E-5</v>
          </cell>
          <cell r="L648">
            <v>7.4114837547274281E-5</v>
          </cell>
          <cell r="M648">
            <v>8.8788904441372603E-5</v>
          </cell>
          <cell r="N648">
            <v>9.3784271952406485E-5</v>
          </cell>
          <cell r="O648">
            <v>1.0314136140537844E-4</v>
          </cell>
        </row>
        <row r="649">
          <cell r="A649" t="str">
            <v>TPSHPH2OEXT</v>
          </cell>
          <cell r="B649" t="str">
            <v>VAR_ncap</v>
          </cell>
          <cell r="C649" t="str">
            <v>-</v>
          </cell>
          <cell r="H649">
            <v>5.3005722585032301E-5</v>
          </cell>
          <cell r="I649">
            <v>9.9847795338476096E-6</v>
          </cell>
          <cell r="J649">
            <v>2.5905289150057501E-5</v>
          </cell>
          <cell r="K649">
            <v>4.6009934218622701E-5</v>
          </cell>
          <cell r="L649">
            <v>5.1720788037986197E-5</v>
          </cell>
          <cell r="M649">
            <v>5.5340129985991103E-5</v>
          </cell>
          <cell r="N649">
            <v>3.7729962015955799E-5</v>
          </cell>
          <cell r="O649">
            <v>5.56894971443813E-5</v>
          </cell>
        </row>
        <row r="650">
          <cell r="A650" t="str">
            <v>TPSHPH2OEXT</v>
          </cell>
          <cell r="B650" t="str">
            <v>VAR_cap</v>
          </cell>
          <cell r="C650" t="str">
            <v>-</v>
          </cell>
          <cell r="H650">
            <v>5.3005722585032301E-5</v>
          </cell>
          <cell r="I650">
            <v>6.1455043466547826E-5</v>
          </cell>
          <cell r="J650">
            <v>8.4165607331138225E-5</v>
          </cell>
          <cell r="K650">
            <v>1.192908958732222E-4</v>
          </cell>
          <cell r="L650">
            <v>1.2987593564479558E-4</v>
          </cell>
          <cell r="M650">
            <v>1.5566127310763289E-4</v>
          </cell>
          <cell r="N650">
            <v>1.6615266147359801E-4</v>
          </cell>
          <cell r="O650">
            <v>1.8045694887137861E-4</v>
          </cell>
        </row>
        <row r="651">
          <cell r="A651" t="str">
            <v>T_B_u-BEVELC-S2</v>
          </cell>
          <cell r="B651" t="str">
            <v>VAR_fout</v>
          </cell>
          <cell r="C651" t="str">
            <v>TPBSu</v>
          </cell>
          <cell r="D651">
            <v>2.8963595683534257E-4</v>
          </cell>
          <cell r="E651">
            <v>4.6643145584582892E-4</v>
          </cell>
          <cell r="F651">
            <v>7.3662920893151221E-4</v>
          </cell>
          <cell r="G651">
            <v>3.9764561440513699E-2</v>
          </cell>
          <cell r="H651">
            <v>4.1461056340497557E-2</v>
          </cell>
          <cell r="I651">
            <v>4.3188647637196285E-2</v>
          </cell>
          <cell r="J651">
            <v>4.4593535757304355E-2</v>
          </cell>
          <cell r="K651">
            <v>4.5922526497933769E-2</v>
          </cell>
          <cell r="L651">
            <v>4.7010292730990125E-2</v>
          </cell>
          <cell r="M651">
            <v>4.8003138118602198E-2</v>
          </cell>
          <cell r="N651">
            <v>4.9162602149379321E-2</v>
          </cell>
          <cell r="O651">
            <v>4.9220171071236968E-2</v>
          </cell>
        </row>
        <row r="652">
          <cell r="A652" t="str">
            <v>T_B_u-BEVELC-S2</v>
          </cell>
          <cell r="B652" t="str">
            <v>VAR_fin</v>
          </cell>
          <cell r="C652" t="str">
            <v>T-ELC-Bus_u_BatSTGout_S2</v>
          </cell>
          <cell r="D652">
            <v>1.0525300342997487E-3</v>
          </cell>
          <cell r="E652">
            <v>1.677119112618537E-3</v>
          </cell>
          <cell r="F652">
            <v>2.5826025212509016E-3</v>
          </cell>
          <cell r="G652">
            <v>0.12274467262882142</v>
          </cell>
          <cell r="H652">
            <v>0.1220769398501293</v>
          </cell>
          <cell r="I652">
            <v>0.12574907858652326</v>
          </cell>
          <cell r="J652">
            <v>0.12465947981913175</v>
          </cell>
          <cell r="K652">
            <v>0.11974206471665486</v>
          </cell>
          <cell r="L652">
            <v>0.12081205080431744</v>
          </cell>
          <cell r="M652">
            <v>0.12232714811064621</v>
          </cell>
          <cell r="N652">
            <v>0.12528182844574032</v>
          </cell>
          <cell r="O652">
            <v>0.12542853223025668</v>
          </cell>
        </row>
        <row r="653">
          <cell r="A653" t="str">
            <v>T_B_u-BEVELC-S2</v>
          </cell>
          <cell r="B653" t="str">
            <v>VAR_ncap</v>
          </cell>
          <cell r="C653" t="str">
            <v>-</v>
          </cell>
          <cell r="E653">
            <v>1.3435012691551E-6</v>
          </cell>
          <cell r="F653">
            <v>4.8760873522869397E-6</v>
          </cell>
          <cell r="G653">
            <v>7.4198230422980701E-4</v>
          </cell>
          <cell r="H653">
            <v>7.0729175639287604E-4</v>
          </cell>
          <cell r="I653">
            <v>1.05988977824282E-4</v>
          </cell>
          <cell r="J653">
            <v>3.68928376924155E-4</v>
          </cell>
          <cell r="K653">
            <v>4.6211609465732402E-4</v>
          </cell>
          <cell r="L653">
            <v>2.5918391758467698E-4</v>
          </cell>
          <cell r="M653">
            <v>4.1079115731133901E-4</v>
          </cell>
          <cell r="N653">
            <v>4.7138036850798203E-4</v>
          </cell>
          <cell r="O653">
            <v>1.82032569599202E-4</v>
          </cell>
        </row>
        <row r="654">
          <cell r="A654" t="str">
            <v>T_B_u-BEVELC-S2</v>
          </cell>
          <cell r="B654" t="str">
            <v>VAR_cap</v>
          </cell>
          <cell r="C654" t="str">
            <v>-</v>
          </cell>
          <cell r="D654">
            <v>5.4925768560646401E-6</v>
          </cell>
          <cell r="E654">
            <v>9.0491379200872798E-6</v>
          </cell>
          <cell r="F654">
            <v>1.3973160344704921E-5</v>
          </cell>
          <cell r="G654">
            <v>7.5007656540234215E-4</v>
          </cell>
          <cell r="H654">
            <v>7.8250062553670511E-4</v>
          </cell>
          <cell r="I654">
            <v>8.1497243734255102E-4</v>
          </cell>
          <cell r="J654">
            <v>8.4161484278153095E-4</v>
          </cell>
          <cell r="K654">
            <v>8.6722348418158141E-4</v>
          </cell>
          <cell r="L654">
            <v>8.8721101790265142E-4</v>
          </cell>
          <cell r="M654">
            <v>9.066518546574046E-4</v>
          </cell>
          <cell r="N654">
            <v>9.2805225870628075E-4</v>
          </cell>
          <cell r="O654">
            <v>9.3049662677149555E-4</v>
          </cell>
        </row>
        <row r="655">
          <cell r="A655" t="str">
            <v>TFHGV-ICEDSL</v>
          </cell>
          <cell r="B655" t="str">
            <v>VAR_fout</v>
          </cell>
          <cell r="C655" t="str">
            <v>CO2_T</v>
          </cell>
          <cell r="D655">
            <v>384.35340182811808</v>
          </cell>
          <cell r="E655">
            <v>450.11534255146228</v>
          </cell>
          <cell r="F655">
            <v>351.79496554792894</v>
          </cell>
          <cell r="G655">
            <v>32.460953413990062</v>
          </cell>
          <cell r="H655">
            <v>0.23970529491998438</v>
          </cell>
          <cell r="I655">
            <v>0.342718451702898</v>
          </cell>
          <cell r="J655">
            <v>0.29216268897702019</v>
          </cell>
          <cell r="K655">
            <v>0.34902881161692201</v>
          </cell>
          <cell r="L655">
            <v>0.36963016080066402</v>
          </cell>
          <cell r="M655">
            <v>0.32880561835090799</v>
          </cell>
          <cell r="N655">
            <v>0.46275185720956902</v>
          </cell>
          <cell r="O655">
            <v>0.61813896438961102</v>
          </cell>
        </row>
        <row r="656">
          <cell r="A656" t="str">
            <v>TFHGV-ICEDSL</v>
          </cell>
          <cell r="B656" t="str">
            <v>VAR_fout</v>
          </cell>
          <cell r="C656" t="str">
            <v>TFHGV</v>
          </cell>
          <cell r="D656">
            <v>0.62242973784497224</v>
          </cell>
          <cell r="E656">
            <v>0.72892596587344949</v>
          </cell>
          <cell r="F656">
            <v>0.56970394210040176</v>
          </cell>
          <cell r="G656">
            <v>5.2567930002875768E-2</v>
          </cell>
          <cell r="H656">
            <v>3.8818364340591877E-4</v>
          </cell>
          <cell r="I656">
            <v>5.5500525046338844E-4</v>
          </cell>
          <cell r="J656">
            <v>4.7313421721546832E-4</v>
          </cell>
          <cell r="K656">
            <v>5.6522437600855439E-4</v>
          </cell>
          <cell r="L656">
            <v>5.9858662104320061E-4</v>
          </cell>
          <cell r="M656">
            <v>5.3247452437960453E-4</v>
          </cell>
          <cell r="N656">
            <v>7.4938979543371688E-4</v>
          </cell>
          <cell r="O656">
            <v>1.0010268459360423E-3</v>
          </cell>
        </row>
        <row r="657">
          <cell r="A657" t="str">
            <v>TFHGV-ICEDSL</v>
          </cell>
          <cell r="B657" t="str">
            <v>VAR_fin</v>
          </cell>
          <cell r="C657" t="str">
            <v>TDSL</v>
          </cell>
          <cell r="D657">
            <v>5.2435661913795037</v>
          </cell>
          <cell r="E657">
            <v>6.1407277292150395</v>
          </cell>
          <cell r="F657">
            <v>4.7993856145692986</v>
          </cell>
          <cell r="G657">
            <v>0.44285066049099675</v>
          </cell>
          <cell r="H657">
            <v>3.2701950193722322E-3</v>
          </cell>
          <cell r="I657">
            <v>4.6755586862605517E-3</v>
          </cell>
          <cell r="J657">
            <v>3.9858484171489796E-3</v>
          </cell>
          <cell r="K657">
            <v>4.7616481803127138E-3</v>
          </cell>
          <cell r="L657">
            <v>5.042703421564312E-3</v>
          </cell>
          <cell r="M657">
            <v>4.4857519556740577E-3</v>
          </cell>
          <cell r="N657">
            <v>6.3131221993119923E-3</v>
          </cell>
          <cell r="O657">
            <v>8.4330008784394526E-3</v>
          </cell>
        </row>
        <row r="658">
          <cell r="A658" t="str">
            <v>TFHGV-ICEDSL</v>
          </cell>
          <cell r="B658" t="str">
            <v>VAR_ncap</v>
          </cell>
          <cell r="C658" t="str">
            <v>-</v>
          </cell>
          <cell r="E658">
            <v>1.4131479461659599E-6</v>
          </cell>
          <cell r="F658">
            <v>5.4798667715400196E-6</v>
          </cell>
          <cell r="G658">
            <v>5.9583726837605497E-6</v>
          </cell>
          <cell r="H658">
            <v>7.5214553887361896E-6</v>
          </cell>
          <cell r="I658">
            <v>7.0178401275799503E-6</v>
          </cell>
          <cell r="J658">
            <v>7.4976565198698102E-6</v>
          </cell>
          <cell r="K658">
            <v>7.7767298262994702E-6</v>
          </cell>
          <cell r="L658">
            <v>8.5205896735036207E-6</v>
          </cell>
          <cell r="M658">
            <v>1.0019479099759601E-5</v>
          </cell>
          <cell r="N658">
            <v>1.0759159748825701E-5</v>
          </cell>
          <cell r="O658">
            <v>1.5629681776595299E-5</v>
          </cell>
        </row>
        <row r="659">
          <cell r="A659" t="str">
            <v>TFHGV-ICEDSL</v>
          </cell>
          <cell r="B659" t="str">
            <v>VAR_cap</v>
          </cell>
          <cell r="C659" t="str">
            <v>-</v>
          </cell>
          <cell r="D659">
            <v>1.1712935335217568E-2</v>
          </cell>
          <cell r="E659">
            <v>1.3713328630474989E-2</v>
          </cell>
          <cell r="F659">
            <v>1.0721520743371278E-2</v>
          </cell>
          <cell r="G659">
            <v>9.9028447876976051E-4</v>
          </cell>
          <cell r="H659">
            <v>9.0666670816265599E-6</v>
          </cell>
          <cell r="I659">
            <v>1.3108362250592399E-5</v>
          </cell>
          <cell r="J659">
            <v>1.1136483794572999E-5</v>
          </cell>
          <cell r="K659">
            <v>1.2836619560591401E-5</v>
          </cell>
          <cell r="L659">
            <v>1.4210797659136601E-5</v>
          </cell>
          <cell r="M659">
            <v>1.2229162094195801E-5</v>
          </cell>
          <cell r="N659">
            <v>1.7602326803843602E-5</v>
          </cell>
          <cell r="O659">
            <v>2.2890638826096801E-5</v>
          </cell>
        </row>
        <row r="660">
          <cell r="A660" t="str">
            <v>D-T-ELC-Bus_u_S1</v>
          </cell>
          <cell r="B660" t="str">
            <v>VAR_fout</v>
          </cell>
          <cell r="C660" t="str">
            <v>T-ELC-Bus_u_BatSTGin_S1</v>
          </cell>
          <cell r="D660">
            <v>7.8869684503599066E-6</v>
          </cell>
          <cell r="E660">
            <v>7.3252590932028859E-4</v>
          </cell>
          <cell r="F660">
            <v>1.586643594016584E-3</v>
          </cell>
          <cell r="G660">
            <v>0.24677253553552375</v>
          </cell>
          <cell r="H660">
            <v>0.24453737602514736</v>
          </cell>
          <cell r="I660">
            <v>0.25415810009341155</v>
          </cell>
          <cell r="J660">
            <v>0.2493052851148255</v>
          </cell>
          <cell r="K660">
            <v>0.24025980875450753</v>
          </cell>
          <cell r="L660">
            <v>0.2423531723546048</v>
          </cell>
          <cell r="M660">
            <v>0.23941217390353964</v>
          </cell>
          <cell r="N660">
            <v>0.16112042800475732</v>
          </cell>
          <cell r="O660">
            <v>0.12917569599067677</v>
          </cell>
        </row>
        <row r="661">
          <cell r="A661" t="str">
            <v>D-T-ELC-Bus_u_S1</v>
          </cell>
          <cell r="B661" t="str">
            <v>VAR_fin</v>
          </cell>
          <cell r="C661" t="str">
            <v>TELC</v>
          </cell>
          <cell r="D661">
            <v>7.8869684503599066E-6</v>
          </cell>
          <cell r="E661">
            <v>7.3252590932028859E-4</v>
          </cell>
          <cell r="F661">
            <v>1.586643594016584E-3</v>
          </cell>
          <cell r="G661">
            <v>0.24677253553552375</v>
          </cell>
          <cell r="H661">
            <v>0.24453737602514736</v>
          </cell>
          <cell r="I661">
            <v>0.25415810009341155</v>
          </cell>
          <cell r="J661">
            <v>0.2493052851148255</v>
          </cell>
          <cell r="K661">
            <v>0.24025980875450753</v>
          </cell>
          <cell r="L661">
            <v>0.2423531723546048</v>
          </cell>
          <cell r="M661">
            <v>0.23941217390353964</v>
          </cell>
          <cell r="N661">
            <v>0.16112042800475732</v>
          </cell>
          <cell r="O661">
            <v>0.12917569599067677</v>
          </cell>
        </row>
        <row r="662">
          <cell r="A662" t="str">
            <v>D-T-ELC-Bus_u_S1</v>
          </cell>
          <cell r="B662" t="str">
            <v>VAR_ncap</v>
          </cell>
          <cell r="C662" t="str">
            <v>-</v>
          </cell>
          <cell r="D662">
            <v>1.4128393457037199E-4</v>
          </cell>
          <cell r="E662">
            <v>1.49966036914437E-4</v>
          </cell>
          <cell r="F662">
            <v>3.5945999385773002E-4</v>
          </cell>
          <cell r="G662">
            <v>2.5490534607505E-2</v>
          </cell>
          <cell r="H662">
            <v>3.06931861538651E-4</v>
          </cell>
          <cell r="I662">
            <v>2.1204450296100501E-2</v>
          </cell>
          <cell r="J662">
            <v>4.9893932499841497E-3</v>
          </cell>
          <cell r="K662">
            <v>1.31632329081542E-2</v>
          </cell>
          <cell r="L662">
            <v>1.0210219623156901E-2</v>
          </cell>
          <cell r="M662">
            <v>8.3557665457522304E-3</v>
          </cell>
          <cell r="N662">
            <v>6.8675414740108102E-3</v>
          </cell>
          <cell r="O662">
            <v>1.1587922858924599E-3</v>
          </cell>
        </row>
        <row r="663">
          <cell r="A663" t="str">
            <v>D-T-ELC-Bus_u_S1</v>
          </cell>
          <cell r="B663" t="str">
            <v>VAR_cap</v>
          </cell>
          <cell r="C663" t="str">
            <v>-</v>
          </cell>
          <cell r="D663">
            <v>1.4128393457037199E-4</v>
          </cell>
          <cell r="E663">
            <v>2.9124997148480898E-4</v>
          </cell>
          <cell r="F663">
            <v>6.5070996534254003E-4</v>
          </cell>
          <cell r="G663">
            <v>2.6083467820544302E-2</v>
          </cell>
          <cell r="H663">
            <v>2.5981633567828202E-2</v>
          </cell>
          <cell r="I663">
            <v>2.68643163697833E-2</v>
          </cell>
          <cell r="J663">
            <v>2.63529910913319E-2</v>
          </cell>
          <cell r="K663">
            <v>2.5396007800531001E-2</v>
          </cell>
          <cell r="L663">
            <v>2.56177347958505E-2</v>
          </cell>
          <cell r="M663">
            <v>2.5310086922106002E-2</v>
          </cell>
          <cell r="N663">
            <v>1.7031761756334501E-2</v>
          </cell>
          <cell r="O663">
            <v>1.36653300589396E-2</v>
          </cell>
        </row>
        <row r="664">
          <cell r="A664" t="str">
            <v>T-Plg-DSL-mix_S1</v>
          </cell>
          <cell r="B664" t="str">
            <v>VAR_fout</v>
          </cell>
          <cell r="C664" t="str">
            <v>CO2_T</v>
          </cell>
          <cell r="D664">
            <v>1.32933409555638E-3</v>
          </cell>
          <cell r="E664">
            <v>4.7473566427622196E-2</v>
          </cell>
          <cell r="F664">
            <v>6.5265395947559451E-2</v>
          </cell>
          <cell r="G664">
            <v>7.5810796358847826E-2</v>
          </cell>
          <cell r="H664">
            <v>9.2777534255071334E-2</v>
          </cell>
          <cell r="I664">
            <v>0.13861943168181551</v>
          </cell>
          <cell r="J664">
            <v>0.13279647690330071</v>
          </cell>
          <cell r="K664">
            <v>0.19250192581040421</v>
          </cell>
          <cell r="L664">
            <v>0.14023738665075</v>
          </cell>
          <cell r="M664">
            <v>4.4609096840122001E-2</v>
          </cell>
          <cell r="N664">
            <v>2.0679566909950077E-2</v>
          </cell>
          <cell r="O664">
            <v>1.548495867305099E-2</v>
          </cell>
        </row>
        <row r="665">
          <cell r="A665" t="str">
            <v>T-Plg-DSL-mix_S1</v>
          </cell>
          <cell r="B665" t="str">
            <v>VAR_fout</v>
          </cell>
          <cell r="C665" t="str">
            <v>T-PEVmix-ELC_DSL_S1</v>
          </cell>
          <cell r="D665">
            <v>1.3210020830264594E-5</v>
          </cell>
          <cell r="E665">
            <v>4.7176011169213579E-4</v>
          </cell>
          <cell r="F665">
            <v>6.485632489565251E-4</v>
          </cell>
          <cell r="G665">
            <v>7.5335628748781887E-4</v>
          </cell>
          <cell r="H665">
            <v>9.4742412357817329E-4</v>
          </cell>
          <cell r="I665">
            <v>1.4445092154181979E-3</v>
          </cell>
          <cell r="J665">
            <v>1.4781076957152415E-3</v>
          </cell>
          <cell r="K665">
            <v>2.2671507216022917E-3</v>
          </cell>
          <cell r="L665">
            <v>1.7103902139831433E-3</v>
          </cell>
          <cell r="M665">
            <v>5.8389394476196033E-4</v>
          </cell>
          <cell r="N665">
            <v>2.7420518390849598E-4</v>
          </cell>
          <cell r="O665">
            <v>2.1413010980595861E-4</v>
          </cell>
        </row>
        <row r="666">
          <cell r="A666" t="str">
            <v>T-Plg-DSL-mix_S1</v>
          </cell>
          <cell r="B666" t="str">
            <v>VAR_fin</v>
          </cell>
          <cell r="C666" t="str">
            <v>TDSL</v>
          </cell>
          <cell r="D666">
            <v>1.8135526542378927E-5</v>
          </cell>
          <cell r="E666">
            <v>6.47661206379566E-4</v>
          </cell>
          <cell r="F666">
            <v>8.9038739355469868E-4</v>
          </cell>
          <cell r="G666">
            <v>1.0342537020306675E-3</v>
          </cell>
          <cell r="H666">
            <v>1.2657235232615455E-3</v>
          </cell>
          <cell r="I666">
            <v>1.8911245795609213E-3</v>
          </cell>
          <cell r="J666">
            <v>1.8116845416548536E-3</v>
          </cell>
          <cell r="K666">
            <v>2.626219997413427E-3</v>
          </cell>
          <cell r="L666">
            <v>1.9131976350716248E-3</v>
          </cell>
          <cell r="M666">
            <v>6.0858249440821292E-4</v>
          </cell>
          <cell r="N666">
            <v>2.8212233165006949E-4</v>
          </cell>
          <cell r="O666">
            <v>2.1125455215622056E-4</v>
          </cell>
        </row>
        <row r="667">
          <cell r="A667" t="str">
            <v>T_B_u-BEVELC-S3</v>
          </cell>
          <cell r="B667" t="str">
            <v>VAR_fout</v>
          </cell>
          <cell r="C667" t="str">
            <v>TPBSu</v>
          </cell>
          <cell r="D667">
            <v>6.3606644276471163E-4</v>
          </cell>
          <cell r="E667">
            <v>5.984040949901932E-4</v>
          </cell>
          <cell r="F667">
            <v>6.9089755186434968E-4</v>
          </cell>
          <cell r="G667">
            <v>0.10432540080313274</v>
          </cell>
          <cell r="H667">
            <v>9.971495104740058E-2</v>
          </cell>
          <cell r="I667">
            <v>9.4057742477464193E-2</v>
          </cell>
          <cell r="J667">
            <v>8.6520488247650532E-2</v>
          </cell>
          <cell r="K667">
            <v>7.8738423938273183E-2</v>
          </cell>
          <cell r="L667">
            <v>7.2474087177913413E-2</v>
          </cell>
          <cell r="M667">
            <v>6.95997158238294E-2</v>
          </cell>
          <cell r="N667">
            <v>0.10955665046041446</v>
          </cell>
          <cell r="O667">
            <v>0.13634128965453615</v>
          </cell>
        </row>
        <row r="668">
          <cell r="A668" t="str">
            <v>T_B_u-BEVELC-S3</v>
          </cell>
          <cell r="B668" t="str">
            <v>VAR_fin</v>
          </cell>
          <cell r="C668" t="str">
            <v>T-ELC-Bus_u_BatSTGout_S3</v>
          </cell>
          <cell r="D668">
            <v>3.4763350682031104E-3</v>
          </cell>
          <cell r="E668">
            <v>3.2238036737468846E-3</v>
          </cell>
          <cell r="F668">
            <v>3.6903595455262633E-3</v>
          </cell>
          <cell r="G668">
            <v>0.48322440385108112</v>
          </cell>
          <cell r="H668">
            <v>0.45672746932338892</v>
          </cell>
          <cell r="I668">
            <v>0.39783254045753863</v>
          </cell>
          <cell r="J668">
            <v>0.35861784394792356</v>
          </cell>
          <cell r="K668">
            <v>0.30406190942670974</v>
          </cell>
          <cell r="L668">
            <v>0.27703559351597634</v>
          </cell>
          <cell r="M668">
            <v>0.26550304241542549</v>
          </cell>
          <cell r="N668">
            <v>0.41792733877979993</v>
          </cell>
          <cell r="O668">
            <v>0.52010308923888449</v>
          </cell>
        </row>
        <row r="669">
          <cell r="A669" t="str">
            <v>T_B_u-BEVELC-S3</v>
          </cell>
          <cell r="B669" t="str">
            <v>VAR_ncap</v>
          </cell>
          <cell r="C669" t="str">
            <v>-</v>
          </cell>
          <cell r="E669">
            <v>7.5332090251727398E-7</v>
          </cell>
          <cell r="F669">
            <v>1.6335729862149901E-6</v>
          </cell>
          <cell r="G669">
            <v>1.9597904422678498E-3</v>
          </cell>
          <cell r="H669">
            <v>3.9277307913921001E-4</v>
          </cell>
          <cell r="I669">
            <v>1.3810329292692201E-3</v>
          </cell>
          <cell r="J669">
            <v>3.9732602633398001E-4</v>
          </cell>
          <cell r="K669">
            <v>1.08777248706942E-3</v>
          </cell>
          <cell r="L669">
            <v>2.18038649225723E-4</v>
          </cell>
          <cell r="M669">
            <v>1.1472286598400499E-3</v>
          </cell>
          <cell r="N669">
            <v>9.1897618285036197E-4</v>
          </cell>
          <cell r="O669">
            <v>1.6526006194299799E-3</v>
          </cell>
        </row>
        <row r="670">
          <cell r="A670" t="str">
            <v>T_B_u-BEVELC-S3</v>
          </cell>
          <cell r="B670" t="str">
            <v>VAR_cap</v>
          </cell>
          <cell r="C670" t="str">
            <v>-</v>
          </cell>
          <cell r="D670">
            <v>1.58761390134075E-5</v>
          </cell>
          <cell r="E670">
            <v>1.1456223285058371E-5</v>
          </cell>
          <cell r="F670">
            <v>1.3123385615350262E-5</v>
          </cell>
          <cell r="G670">
            <v>1.9673958262730606E-3</v>
          </cell>
          <cell r="H670">
            <v>1.8805850990069076E-3</v>
          </cell>
          <cell r="I670">
            <v>1.7738060084084299E-3</v>
          </cell>
          <cell r="J670">
            <v>1.6317247171448968E-3</v>
          </cell>
          <cell r="K670">
            <v>1.4850985134034001E-3</v>
          </cell>
          <cell r="L670">
            <v>1.3668593783618531E-3</v>
          </cell>
          <cell r="M670">
            <v>1.3127597046926399E-3</v>
          </cell>
          <cell r="N670">
            <v>2.0662048426904099E-3</v>
          </cell>
          <cell r="O670">
            <v>2.5715768022803401E-3</v>
          </cell>
        </row>
        <row r="671">
          <cell r="A671" t="str">
            <v>D-T-ELC-Bus_u_S2</v>
          </cell>
          <cell r="B671" t="str">
            <v>VAR_fout</v>
          </cell>
          <cell r="C671" t="str">
            <v>T-ELC-Bus_u_BatSTGin_S2</v>
          </cell>
          <cell r="D671">
            <v>1.0159391096678841E-3</v>
          </cell>
          <cell r="E671">
            <v>1.6829481280891409E-3</v>
          </cell>
          <cell r="F671">
            <v>2.587921827516557E-3</v>
          </cell>
          <cell r="G671">
            <v>0.12288447549502683</v>
          </cell>
          <cell r="H671">
            <v>0.12232528569353004</v>
          </cell>
          <cell r="I671">
            <v>0.12598405209234673</v>
          </cell>
          <cell r="J671">
            <v>0.12496689874073455</v>
          </cell>
          <cell r="K671">
            <v>0.1204145738997028</v>
          </cell>
          <cell r="L671">
            <v>0.12128498348577152</v>
          </cell>
          <cell r="M671">
            <v>0.1232083421942074</v>
          </cell>
          <cell r="N671">
            <v>0.12593870651735181</v>
          </cell>
          <cell r="O671">
            <v>0.12700529371789401</v>
          </cell>
        </row>
        <row r="672">
          <cell r="A672" t="str">
            <v>D-T-ELC-Bus_u_S2</v>
          </cell>
          <cell r="B672" t="str">
            <v>VAR_fin</v>
          </cell>
          <cell r="C672" t="str">
            <v>TELC</v>
          </cell>
          <cell r="D672">
            <v>1.0159391096678841E-3</v>
          </cell>
          <cell r="E672">
            <v>1.6829481280891409E-3</v>
          </cell>
          <cell r="F672">
            <v>2.587921827516557E-3</v>
          </cell>
          <cell r="G672">
            <v>0.12288447549502683</v>
          </cell>
          <cell r="H672">
            <v>0.12232528569353004</v>
          </cell>
          <cell r="I672">
            <v>0.12598405209234673</v>
          </cell>
          <cell r="J672">
            <v>0.12496689874073455</v>
          </cell>
          <cell r="K672">
            <v>0.1204145738997028</v>
          </cell>
          <cell r="L672">
            <v>0.12128498348577152</v>
          </cell>
          <cell r="M672">
            <v>0.1232083421942074</v>
          </cell>
          <cell r="N672">
            <v>0.12593870651735181</v>
          </cell>
          <cell r="O672">
            <v>0.12700529371789401</v>
          </cell>
        </row>
        <row r="673">
          <cell r="A673" t="str">
            <v>D-T-ELC-Bus_u_S2</v>
          </cell>
          <cell r="B673" t="str">
            <v>VAR_ncap</v>
          </cell>
          <cell r="C673" t="str">
            <v>-</v>
          </cell>
          <cell r="D673">
            <v>1.43783477320192E-4</v>
          </cell>
          <cell r="E673">
            <v>1.3885601078640701E-4</v>
          </cell>
          <cell r="F673">
            <v>2.95517773002226E-4</v>
          </cell>
          <cell r="G673">
            <v>1.24676237350327E-2</v>
          </cell>
          <cell r="H673">
            <v>3.16963727415911E-4</v>
          </cell>
          <cell r="I673">
            <v>1.0381459463243E-2</v>
          </cell>
          <cell r="J673">
            <v>2.6654718677395599E-3</v>
          </cell>
          <cell r="K673">
            <v>6.5167977358748796E-3</v>
          </cell>
          <cell r="L673">
            <v>5.1056614053203997E-3</v>
          </cell>
          <cell r="M673">
            <v>4.5839205147132998E-3</v>
          </cell>
          <cell r="N673">
            <v>7.8249904703607091E-3</v>
          </cell>
          <cell r="O673">
            <v>2.5185862134552402E-3</v>
          </cell>
        </row>
        <row r="674">
          <cell r="A674" t="str">
            <v>D-T-ELC-Bus_u_S2</v>
          </cell>
          <cell r="B674" t="str">
            <v>VAR_cap</v>
          </cell>
          <cell r="C674" t="str">
            <v>-</v>
          </cell>
          <cell r="D674">
            <v>1.43783477320192E-4</v>
          </cell>
          <cell r="E674">
            <v>2.8263948810659898E-4</v>
          </cell>
          <cell r="F674">
            <v>5.7815726110882395E-4</v>
          </cell>
          <cell r="G674">
            <v>1.2988805636082399E-2</v>
          </cell>
          <cell r="H674">
            <v>1.29359941608937E-2</v>
          </cell>
          <cell r="I674">
            <v>1.33165859974816E-2</v>
          </cell>
          <cell r="J674">
            <v>1.3211280508998099E-2</v>
          </cell>
          <cell r="K674">
            <v>1.2728547476761E-2</v>
          </cell>
          <cell r="L674">
            <v>1.28214167979034E-2</v>
          </cell>
          <cell r="M674">
            <v>1.3028422828312399E-2</v>
          </cell>
          <cell r="N674">
            <v>1.33132355527042E-2</v>
          </cell>
          <cell r="O674">
            <v>1.34370942774454E-2</v>
          </cell>
        </row>
        <row r="675">
          <cell r="A675" t="str">
            <v>T-Plg-DSL-mix_S2</v>
          </cell>
          <cell r="B675" t="str">
            <v>VAR_fout</v>
          </cell>
          <cell r="C675" t="str">
            <v>CO2_T</v>
          </cell>
          <cell r="D675">
            <v>8.1576462069537798E-4</v>
          </cell>
          <cell r="E675">
            <v>5.4691313690675605E-2</v>
          </cell>
          <cell r="F675">
            <v>0.26074558145328874</v>
          </cell>
          <cell r="G675">
            <v>0.31157666567457032</v>
          </cell>
          <cell r="H675">
            <v>0.6887616550170117</v>
          </cell>
          <cell r="I675">
            <v>0.83103999614700064</v>
          </cell>
          <cell r="J675">
            <v>0.67456250396163409</v>
          </cell>
          <cell r="K675">
            <v>0.54689049022792902</v>
          </cell>
          <cell r="L675">
            <v>0.34002272233816511</v>
          </cell>
          <cell r="M675">
            <v>0.19197783505186539</v>
          </cell>
          <cell r="N675">
            <v>5.5153239656818495E-2</v>
          </cell>
          <cell r="O675">
            <v>2.7763043394561E-2</v>
          </cell>
        </row>
        <row r="676">
          <cell r="A676" t="str">
            <v>T-Plg-DSL-mix_S2</v>
          </cell>
          <cell r="B676" t="str">
            <v>VAR_fout</v>
          </cell>
          <cell r="C676" t="str">
            <v>T-PEVmix-ELC_DSL_S2</v>
          </cell>
          <cell r="D676">
            <v>6.6276597146465193E-6</v>
          </cell>
          <cell r="E676">
            <v>4.4433824082711857E-4</v>
          </cell>
          <cell r="F676">
            <v>2.1184211010486604E-3</v>
          </cell>
          <cell r="G676">
            <v>2.5313970019378265E-3</v>
          </cell>
          <cell r="H676">
            <v>5.7564318240539546E-3</v>
          </cell>
          <cell r="I676">
            <v>7.1111831907577231E-3</v>
          </cell>
          <cell r="J676">
            <v>6.2251429943200763E-3</v>
          </cell>
          <cell r="K676">
            <v>5.3539441524831618E-3</v>
          </cell>
          <cell r="L676">
            <v>3.4694961261985762E-3</v>
          </cell>
          <cell r="M676">
            <v>2.0806599278139293E-3</v>
          </cell>
          <cell r="N676">
            <v>6.0303698386163901E-4</v>
          </cell>
          <cell r="O676">
            <v>3.1655195841093778E-4</v>
          </cell>
        </row>
        <row r="677">
          <cell r="A677" t="str">
            <v>T-Plg-DSL-mix_S2</v>
          </cell>
          <cell r="B677" t="str">
            <v>VAR_fin</v>
          </cell>
          <cell r="C677" t="str">
            <v>TDSL</v>
          </cell>
          <cell r="D677">
            <v>1.1129121701164779E-5</v>
          </cell>
          <cell r="E677">
            <v>7.4612979114154962E-4</v>
          </cell>
          <cell r="F677">
            <v>3.5572384918593266E-3</v>
          </cell>
          <cell r="G677">
            <v>4.2507048523133632E-3</v>
          </cell>
          <cell r="H677">
            <v>9.3964755118282704E-3</v>
          </cell>
          <cell r="I677">
            <v>1.1337517000641232E-2</v>
          </cell>
          <cell r="J677">
            <v>9.2027626734192784E-3</v>
          </cell>
          <cell r="K677">
            <v>7.4609889526320566E-3</v>
          </cell>
          <cell r="L677">
            <v>4.6387820237130213E-3</v>
          </cell>
          <cell r="M677">
            <v>2.619070055277839E-3</v>
          </cell>
          <cell r="N677">
            <v>7.5243164606846784E-4</v>
          </cell>
          <cell r="O677">
            <v>3.7875911861611205E-4</v>
          </cell>
        </row>
        <row r="678">
          <cell r="A678" t="str">
            <v>T_B_u-BEVELC-S4</v>
          </cell>
          <cell r="B678" t="str">
            <v>VAR_fout</v>
          </cell>
          <cell r="C678" t="str">
            <v>TPBSu</v>
          </cell>
          <cell r="D678">
            <v>3.364926315666868E-5</v>
          </cell>
          <cell r="E678">
            <v>2.5012473022553304E-5</v>
          </cell>
          <cell r="F678">
            <v>4.4270196454547469E-5</v>
          </cell>
          <cell r="G678">
            <v>1.2898101283748721E-5</v>
          </cell>
          <cell r="H678">
            <v>1.7426850488340302E-5</v>
          </cell>
          <cell r="I678">
            <v>2.5499564448583672E-5</v>
          </cell>
          <cell r="J678">
            <v>2.7321785322734541E-5</v>
          </cell>
          <cell r="K678">
            <v>5.0275055080205725E-5</v>
          </cell>
          <cell r="L678">
            <v>3.6268036436326435E-5</v>
          </cell>
          <cell r="M678">
            <v>4.4408347278855194E-5</v>
          </cell>
          <cell r="N678">
            <v>4.8224094679073126E-5</v>
          </cell>
          <cell r="O678">
            <v>7.7505692145656149E-5</v>
          </cell>
        </row>
        <row r="679">
          <cell r="A679" t="str">
            <v>T_B_u-BEVELC-S4</v>
          </cell>
          <cell r="B679" t="str">
            <v>VAR_fin</v>
          </cell>
          <cell r="C679" t="str">
            <v>T-ELC-Bus_u_BatSTGout_S4</v>
          </cell>
          <cell r="D679">
            <v>2.7584278481295534E-4</v>
          </cell>
          <cell r="E679">
            <v>2.0213674677431933E-4</v>
          </cell>
          <cell r="F679">
            <v>3.4988375187431487E-4</v>
          </cell>
          <cell r="G679">
            <v>9.2888802339843662E-5</v>
          </cell>
          <cell r="H679">
            <v>1.1571547957719062E-4</v>
          </cell>
          <cell r="I679">
            <v>1.6245233480287317E-4</v>
          </cell>
          <cell r="J679">
            <v>1.656250309602991E-4</v>
          </cell>
          <cell r="K679">
            <v>2.9102429769989243E-4</v>
          </cell>
          <cell r="L679">
            <v>2.0668357089081437E-4</v>
          </cell>
          <cell r="M679">
            <v>2.5307341380521805E-4</v>
          </cell>
          <cell r="N679">
            <v>2.7481851984863346E-4</v>
          </cell>
          <cell r="O679">
            <v>4.4168791010101074E-4</v>
          </cell>
        </row>
        <row r="680">
          <cell r="A680" t="str">
            <v>T_B_u-BEVELC-S4</v>
          </cell>
          <cell r="B680" t="str">
            <v>VAR_ncap</v>
          </cell>
          <cell r="C680" t="str">
            <v>-</v>
          </cell>
          <cell r="E680">
            <v>2.2397730362282201E-7</v>
          </cell>
          <cell r="F680">
            <v>2.3014779607534401E-7</v>
          </cell>
          <cell r="G680">
            <v>2.3346791094456E-7</v>
          </cell>
          <cell r="H680">
            <v>4.04388295095782E-7</v>
          </cell>
          <cell r="I680">
            <v>3.9910324082609701E-7</v>
          </cell>
          <cell r="J680">
            <v>4.69207479740611E-7</v>
          </cell>
          <cell r="K680">
            <v>6.7417950222960301E-7</v>
          </cell>
          <cell r="L680">
            <v>6.0676668198648104E-7</v>
          </cell>
          <cell r="M680">
            <v>8.0839928853744899E-7</v>
          </cell>
          <cell r="N680">
            <v>8.1994746792003904E-7</v>
          </cell>
          <cell r="O680">
            <v>1.1937455865864101E-6</v>
          </cell>
        </row>
        <row r="681">
          <cell r="A681" t="str">
            <v>T_B_u-BEVELC-S4</v>
          </cell>
          <cell r="B681" t="str">
            <v>VAR_cap</v>
          </cell>
          <cell r="C681" t="str">
            <v>-</v>
          </cell>
          <cell r="D681">
            <v>3.9941590458031877E-7</v>
          </cell>
          <cell r="E681">
            <v>5.1164350401482196E-7</v>
          </cell>
          <cell r="F681">
            <v>6.85227135679295E-7</v>
          </cell>
          <cell r="G681">
            <v>3.6324268189711382E-7</v>
          </cell>
          <cell r="H681">
            <v>4.6493458265672197E-7</v>
          </cell>
          <cell r="I681">
            <v>5.6269560385150598E-7</v>
          </cell>
          <cell r="J681">
            <v>6.3164784398466715E-7</v>
          </cell>
          <cell r="K681">
            <v>9.7990810253709733E-7</v>
          </cell>
          <cell r="L681">
            <v>7.9275100831935694E-7</v>
          </cell>
          <cell r="M681">
            <v>9.6575483200943995E-7</v>
          </cell>
          <cell r="N681">
            <v>1.103931858408808E-6</v>
          </cell>
          <cell r="O681">
            <v>1.7147350352185102E-6</v>
          </cell>
        </row>
        <row r="682">
          <cell r="A682" t="str">
            <v>D-TBDS1</v>
          </cell>
          <cell r="B682" t="str">
            <v>VAR_fout</v>
          </cell>
          <cell r="C682" t="str">
            <v>TDSL</v>
          </cell>
          <cell r="D682">
            <v>2.9720880146088593</v>
          </cell>
          <cell r="E682">
            <v>2.9709457549781813</v>
          </cell>
          <cell r="F682">
            <v>4.4810675937681408</v>
          </cell>
          <cell r="G682">
            <v>2.3498818904619885</v>
          </cell>
          <cell r="H682">
            <v>1.782807770630209</v>
          </cell>
          <cell r="I682">
            <v>1.8222631364137867</v>
          </cell>
          <cell r="J682">
            <v>1.6974498891193841</v>
          </cell>
          <cell r="K682">
            <v>1.662826602067796</v>
          </cell>
          <cell r="L682">
            <v>1.6556753948620202</v>
          </cell>
          <cell r="M682">
            <v>1.6241893355364541</v>
          </cell>
          <cell r="N682">
            <v>1.7682022210250516</v>
          </cell>
          <cell r="O682">
            <v>1.8983232691743701</v>
          </cell>
        </row>
        <row r="683">
          <cell r="A683" t="str">
            <v>D-TBDS1</v>
          </cell>
          <cell r="B683" t="str">
            <v>VAR_fout</v>
          </cell>
          <cell r="C683" t="str">
            <v>TKER</v>
          </cell>
          <cell r="D683">
            <v>1.1713624688869601E-3</v>
          </cell>
          <cell r="E683">
            <v>1.72503617219424E-5</v>
          </cell>
          <cell r="F683">
            <v>2.0974949039434801E-3</v>
          </cell>
          <cell r="G683">
            <v>0.96284772364779803</v>
          </cell>
          <cell r="H683">
            <v>1.1897854372240799</v>
          </cell>
          <cell r="I683">
            <v>1.1492605236973501</v>
          </cell>
          <cell r="J683">
            <v>1.2740443372241399</v>
          </cell>
          <cell r="K683">
            <v>1.30932818140861</v>
          </cell>
          <cell r="L683">
            <v>1.3158366136737401</v>
          </cell>
          <cell r="M683">
            <v>1.34794430525824</v>
          </cell>
          <cell r="N683">
            <v>1.20362907541013</v>
          </cell>
          <cell r="O683">
            <v>1.0746779208663699</v>
          </cell>
        </row>
        <row r="684">
          <cell r="A684" t="str">
            <v>D-TBDS1</v>
          </cell>
          <cell r="B684" t="str">
            <v>VAR_fin</v>
          </cell>
          <cell r="C684" t="str">
            <v>BDS</v>
          </cell>
          <cell r="D684">
            <v>3.0176042976920097</v>
          </cell>
          <cell r="E684">
            <v>3.0152742713731868</v>
          </cell>
          <cell r="F684">
            <v>4.5500328479293124</v>
          </cell>
          <cell r="G684">
            <v>3.3621324420477596</v>
          </cell>
          <cell r="H684">
            <v>3.016930375334244</v>
          </cell>
          <cell r="I684">
            <v>3.0158448748659743</v>
          </cell>
          <cell r="J684">
            <v>3.0158150010374865</v>
          </cell>
          <cell r="K684">
            <v>3.0164854082811043</v>
          </cell>
          <cell r="L684">
            <v>3.0158330447166848</v>
          </cell>
          <cell r="M684">
            <v>3.0164639497609311</v>
          </cell>
          <cell r="N684">
            <v>3.0161571183120106</v>
          </cell>
          <cell r="O684">
            <v>3.0173444638491915</v>
          </cell>
        </row>
        <row r="685">
          <cell r="A685" t="str">
            <v>D-T-ELC-Bus_u_S3</v>
          </cell>
          <cell r="B685" t="str">
            <v>VAR_fout</v>
          </cell>
          <cell r="C685" t="str">
            <v>T-ELC-Bus_u_BatSTGin_S3</v>
          </cell>
          <cell r="D685">
            <v>3.3684278169609262E-3</v>
          </cell>
          <cell r="E685">
            <v>3.2148758091149359E-3</v>
          </cell>
          <cell r="F685">
            <v>3.6788187944715623E-3</v>
          </cell>
          <cell r="G685">
            <v>0.48333215542180841</v>
          </cell>
          <cell r="H685">
            <v>0.45686492052736771</v>
          </cell>
          <cell r="I685">
            <v>0.39797222057365317</v>
          </cell>
          <cell r="J685">
            <v>0.35879188616481489</v>
          </cell>
          <cell r="K685">
            <v>0.30441682269515097</v>
          </cell>
          <cell r="L685">
            <v>0.27727191531521145</v>
          </cell>
          <cell r="M685">
            <v>0.26585394124100747</v>
          </cell>
          <cell r="N685">
            <v>0.41824510081161487</v>
          </cell>
          <cell r="O685">
            <v>0.52075362878235854</v>
          </cell>
        </row>
        <row r="686">
          <cell r="A686" t="str">
            <v>D-T-ELC-Bus_u_S3</v>
          </cell>
          <cell r="B686" t="str">
            <v>VAR_fin</v>
          </cell>
          <cell r="C686" t="str">
            <v>TELC</v>
          </cell>
          <cell r="D686">
            <v>3.3684278169609262E-3</v>
          </cell>
          <cell r="E686">
            <v>3.2148758091149359E-3</v>
          </cell>
          <cell r="F686">
            <v>3.6788187944715623E-3</v>
          </cell>
          <cell r="G686">
            <v>0.48333215542180841</v>
          </cell>
          <cell r="H686">
            <v>0.45686492052736771</v>
          </cell>
          <cell r="I686">
            <v>0.39797222057365317</v>
          </cell>
          <cell r="J686">
            <v>0.35879188616481489</v>
          </cell>
          <cell r="K686">
            <v>0.30441682269515097</v>
          </cell>
          <cell r="L686">
            <v>0.27727191531521145</v>
          </cell>
          <cell r="M686">
            <v>0.26585394124100747</v>
          </cell>
          <cell r="N686">
            <v>0.41824510081161487</v>
          </cell>
          <cell r="O686">
            <v>0.52075362878235854</v>
          </cell>
        </row>
        <row r="687">
          <cell r="A687" t="str">
            <v>D-T-ELC-Bus_u_S3</v>
          </cell>
          <cell r="B687" t="str">
            <v>VAR_ncap</v>
          </cell>
          <cell r="C687" t="str">
            <v>-</v>
          </cell>
          <cell r="D687">
            <v>3.5637807950006801E-4</v>
          </cell>
          <cell r="E687">
            <v>1.19444366789449E-4</v>
          </cell>
          <cell r="F687">
            <v>1.6993687110312901E-4</v>
          </cell>
          <cell r="G687">
            <v>5.0686529742125799E-2</v>
          </cell>
          <cell r="H687">
            <v>9.8106076337715602E-3</v>
          </cell>
          <cell r="I687">
            <v>3.2254448858316603E-2</v>
          </cell>
          <cell r="J687">
            <v>8.98193397482735E-3</v>
          </cell>
          <cell r="K687">
            <v>2.31945065707445E-2</v>
          </cell>
          <cell r="L687">
            <v>4.7332598657753699E-3</v>
          </cell>
          <cell r="M687">
            <v>2.4507142875324201E-2</v>
          </cell>
          <cell r="N687">
            <v>1.9701742904157101E-2</v>
          </cell>
          <cell r="O687">
            <v>3.53437995762639E-2</v>
          </cell>
        </row>
        <row r="688">
          <cell r="A688" t="str">
            <v>D-T-ELC-Bus_u_S3</v>
          </cell>
          <cell r="B688" t="str">
            <v>VAR_cap</v>
          </cell>
          <cell r="C688" t="str">
            <v>-</v>
          </cell>
          <cell r="D688">
            <v>3.5637807950006801E-4</v>
          </cell>
          <cell r="E688">
            <v>4.7582244628951699E-4</v>
          </cell>
          <cell r="F688">
            <v>6.45759317392646E-4</v>
          </cell>
          <cell r="G688">
            <v>5.1087539312128401E-2</v>
          </cell>
          <cell r="H688">
            <v>4.8290914946077103E-2</v>
          </cell>
          <cell r="I688">
            <v>4.2065056492088103E-2</v>
          </cell>
          <cell r="J688">
            <v>3.7924623532276797E-2</v>
          </cell>
          <cell r="K688">
            <v>3.2176440545571901E-2</v>
          </cell>
          <cell r="L688">
            <v>2.93078772192049E-2</v>
          </cell>
          <cell r="M688">
            <v>2.8100549154086701E-2</v>
          </cell>
          <cell r="N688">
            <v>4.4208885779481302E-2</v>
          </cell>
          <cell r="O688">
            <v>5.5045542480420998E-2</v>
          </cell>
        </row>
        <row r="689">
          <cell r="A689" t="str">
            <v>T-Plg-DSL-mix_S3</v>
          </cell>
          <cell r="B689" t="str">
            <v>VAR_fout</v>
          </cell>
          <cell r="C689" t="str">
            <v>CO2_T</v>
          </cell>
          <cell r="D689">
            <v>8.3381696338970402E-3</v>
          </cell>
          <cell r="E689">
            <v>61.648946619430504</v>
          </cell>
          <cell r="F689">
            <v>168.79341708343941</v>
          </cell>
          <cell r="G689">
            <v>528.68148143284043</v>
          </cell>
          <cell r="H689">
            <v>747.4840269054481</v>
          </cell>
          <cell r="I689">
            <v>472.79063868131794</v>
          </cell>
          <cell r="J689">
            <v>233.28223802892145</v>
          </cell>
          <cell r="K689">
            <v>158.7761171466706</v>
          </cell>
          <cell r="L689">
            <v>86.895749808860586</v>
          </cell>
          <cell r="M689">
            <v>42.879749705706715</v>
          </cell>
          <cell r="N689">
            <v>5.8688843162267208</v>
          </cell>
          <cell r="O689">
            <v>3.1257245177826798E-2</v>
          </cell>
        </row>
        <row r="690">
          <cell r="A690" t="str">
            <v>T-Plg-DSL-mix_S3</v>
          </cell>
          <cell r="B690" t="str">
            <v>VAR_fout</v>
          </cell>
          <cell r="C690" t="str">
            <v>T-PEVmix-ELC_DSL_S3</v>
          </cell>
          <cell r="D690">
            <v>6.2972282692511062E-5</v>
          </cell>
          <cell r="E690">
            <v>0.46559077887215805</v>
          </cell>
          <cell r="F690">
            <v>1.2747769887053042</v>
          </cell>
          <cell r="G690">
            <v>3.9927563439992602</v>
          </cell>
          <cell r="H690">
            <v>5.7476363849950802</v>
          </cell>
          <cell r="I690">
            <v>3.7817048517121785</v>
          </cell>
          <cell r="J690">
            <v>2.0315067789608912</v>
          </cell>
          <cell r="K690">
            <v>1.5013753140083106</v>
          </cell>
          <cell r="L690">
            <v>0.8717615141556212</v>
          </cell>
          <cell r="M690">
            <v>0.45468082615798194</v>
          </cell>
          <cell r="N690">
            <v>6.2042601570967373E-2</v>
          </cell>
          <cell r="O690">
            <v>3.3178867684084608E-4</v>
          </cell>
        </row>
        <row r="691">
          <cell r="A691" t="str">
            <v>T-Plg-DSL-mix_S3</v>
          </cell>
          <cell r="B691" t="str">
            <v>VAR_fin</v>
          </cell>
          <cell r="C691" t="str">
            <v>TDSL</v>
          </cell>
          <cell r="D691">
            <v>1.1375401956203339E-4</v>
          </cell>
          <cell r="E691">
            <v>0.84104974924188847</v>
          </cell>
          <cell r="F691">
            <v>2.3027751307426954</v>
          </cell>
          <cell r="G691">
            <v>7.2125713701615402</v>
          </cell>
          <cell r="H691">
            <v>10.197599275654133</v>
          </cell>
          <cell r="I691">
            <v>6.4500769260752877</v>
          </cell>
          <cell r="J691">
            <v>3.1825680495077897</v>
          </cell>
          <cell r="K691">
            <v>2.1661134672124263</v>
          </cell>
          <cell r="L691">
            <v>1.185480897801644</v>
          </cell>
          <cell r="M691">
            <v>0.58498976406148273</v>
          </cell>
          <cell r="N691">
            <v>8.0066634600637357E-2</v>
          </cell>
          <cell r="O691">
            <v>4.2642899287621735E-4</v>
          </cell>
        </row>
        <row r="692">
          <cell r="A692" t="str">
            <v>D-T-ELC-Bus_u_S4</v>
          </cell>
          <cell r="B692" t="str">
            <v>VAR_fout</v>
          </cell>
          <cell r="C692" t="str">
            <v>T-ELC-Bus_u_BatSTGin_S4</v>
          </cell>
          <cell r="D692">
            <v>2.0065500913780994E-4</v>
          </cell>
          <cell r="E692">
            <v>1.858819031392467E-4</v>
          </cell>
          <cell r="F692">
            <v>3.3030994334462663E-4</v>
          </cell>
          <cell r="G692">
            <v>2.6446001190204689E-4</v>
          </cell>
          <cell r="H692">
            <v>3.0042194712697081E-4</v>
          </cell>
          <cell r="I692">
            <v>3.8091789110289323E-4</v>
          </cell>
          <cell r="J692">
            <v>4.117083124977821E-4</v>
          </cell>
          <cell r="K692">
            <v>8.8242662292212801E-4</v>
          </cell>
          <cell r="L692">
            <v>6.3308514759617565E-4</v>
          </cell>
          <cell r="M692">
            <v>8.3758043303764382E-4</v>
          </cell>
          <cell r="N692">
            <v>8.890869968448046E-4</v>
          </cell>
          <cell r="O692">
            <v>1.5326283882575805E-3</v>
          </cell>
        </row>
        <row r="693">
          <cell r="A693" t="str">
            <v>D-T-ELC-Bus_u_S4</v>
          </cell>
          <cell r="B693" t="str">
            <v>VAR_fin</v>
          </cell>
          <cell r="C693" t="str">
            <v>TELC</v>
          </cell>
          <cell r="D693">
            <v>2.0065500913780994E-4</v>
          </cell>
          <cell r="E693">
            <v>1.858819031392467E-4</v>
          </cell>
          <cell r="F693">
            <v>3.3030994334462663E-4</v>
          </cell>
          <cell r="G693">
            <v>2.6446001190204689E-4</v>
          </cell>
          <cell r="H693">
            <v>3.0042194712697081E-4</v>
          </cell>
          <cell r="I693">
            <v>3.8091789110289323E-4</v>
          </cell>
          <cell r="J693">
            <v>4.117083124977821E-4</v>
          </cell>
          <cell r="K693">
            <v>8.8242662292212801E-4</v>
          </cell>
          <cell r="L693">
            <v>6.3308514759617565E-4</v>
          </cell>
          <cell r="M693">
            <v>8.3758043303764382E-4</v>
          </cell>
          <cell r="N693">
            <v>8.890869968448046E-4</v>
          </cell>
          <cell r="O693">
            <v>1.5326283882575805E-3</v>
          </cell>
        </row>
        <row r="694">
          <cell r="A694" t="str">
            <v>D-T-ELC-Bus_u_S4</v>
          </cell>
          <cell r="B694" t="str">
            <v>VAR_ncap</v>
          </cell>
          <cell r="C694" t="str">
            <v>-</v>
          </cell>
          <cell r="D694">
            <v>7.7812815215298403E-5</v>
          </cell>
          <cell r="E694">
            <v>5.9168863159216797E-5</v>
          </cell>
          <cell r="F694">
            <v>4.2782840719833002E-5</v>
          </cell>
          <cell r="G694">
            <v>5.33188214152858E-5</v>
          </cell>
          <cell r="H694">
            <v>5.8724071463932003E-5</v>
          </cell>
          <cell r="I694">
            <v>6.7456616167964402E-5</v>
          </cell>
          <cell r="J694">
            <v>7.9720540101512995E-5</v>
          </cell>
          <cell r="K694">
            <v>9.1642613409679104E-5</v>
          </cell>
          <cell r="L694">
            <v>1.08646719696682E-4</v>
          </cell>
          <cell r="M694">
            <v>1.17646938582527E-4</v>
          </cell>
          <cell r="N694">
            <v>1.3250640090701799E-4</v>
          </cell>
          <cell r="O694">
            <v>1.8692545366841401E-4</v>
          </cell>
        </row>
        <row r="695">
          <cell r="A695" t="str">
            <v>D-T-ELC-Bus_u_S4</v>
          </cell>
          <cell r="B695" t="str">
            <v>VAR_cap</v>
          </cell>
          <cell r="C695" t="str">
            <v>-</v>
          </cell>
          <cell r="D695">
            <v>7.7812815215298403E-5</v>
          </cell>
          <cell r="E695">
            <v>1.36981678374515E-4</v>
          </cell>
          <cell r="F695">
            <v>1.79764519094348E-4</v>
          </cell>
          <cell r="G695">
            <v>1.14540472961314E-4</v>
          </cell>
          <cell r="H695">
            <v>7.2551482180717504E-5</v>
          </cell>
          <cell r="I695">
            <v>1.1500861746548701E-4</v>
          </cell>
          <cell r="J695">
            <v>1.14697537341235E-4</v>
          </cell>
          <cell r="K695">
            <v>1.4544304310432399E-4</v>
          </cell>
          <cell r="L695">
            <v>1.75701322633321E-4</v>
          </cell>
          <cell r="M695">
            <v>1.45822782991698E-4</v>
          </cell>
          <cell r="N695">
            <v>2.1285764933179699E-4</v>
          </cell>
          <cell r="O695">
            <v>2.7634909903020901E-4</v>
          </cell>
        </row>
        <row r="696">
          <cell r="A696" t="str">
            <v>T_C-FC-H2O-S1</v>
          </cell>
          <cell r="B696" t="str">
            <v>VAR_fout</v>
          </cell>
          <cell r="C696" t="str">
            <v>TPCAR</v>
          </cell>
          <cell r="E696">
            <v>2.0922980224085346E-5</v>
          </cell>
          <cell r="F696">
            <v>3.0833906243396977E-5</v>
          </cell>
          <cell r="G696">
            <v>1.0494403137031512E-5</v>
          </cell>
          <cell r="H696">
            <v>1.5689054531016081E-5</v>
          </cell>
          <cell r="I696">
            <v>1.7492435051836805E-5</v>
          </cell>
          <cell r="J696">
            <v>1.5352947085182622E-5</v>
          </cell>
          <cell r="K696">
            <v>1.5570580211747698E-5</v>
          </cell>
          <cell r="L696">
            <v>1.3455058008117748E-5</v>
          </cell>
          <cell r="M696">
            <v>1.2382265702287855E-5</v>
          </cell>
          <cell r="N696">
            <v>7.7542239840231782E-6</v>
          </cell>
          <cell r="O696">
            <v>4.4546848172235046E-5</v>
          </cell>
        </row>
        <row r="697">
          <cell r="A697" t="str">
            <v>T_C-FC-H2O-S1</v>
          </cell>
          <cell r="B697" t="str">
            <v>VAR_fin</v>
          </cell>
          <cell r="C697" t="str">
            <v>TH2O</v>
          </cell>
          <cell r="E697">
            <v>1.9080393047642729E-5</v>
          </cell>
          <cell r="F697">
            <v>2.811851103510267E-5</v>
          </cell>
          <cell r="G697">
            <v>9.5702110555203826E-6</v>
          </cell>
          <cell r="H697">
            <v>1.3949267313746183E-5</v>
          </cell>
          <cell r="I697">
            <v>1.4624321667122593E-5</v>
          </cell>
          <cell r="J697">
            <v>1.2316236887916852E-5</v>
          </cell>
          <cell r="K697">
            <v>1.17978840372612E-5</v>
          </cell>
          <cell r="L697">
            <v>9.6168984464637368E-6</v>
          </cell>
          <cell r="M697">
            <v>8.2780102929830824E-6</v>
          </cell>
          <cell r="N697">
            <v>4.9744191498499536E-6</v>
          </cell>
          <cell r="O697">
            <v>2.8234792834338171E-5</v>
          </cell>
        </row>
        <row r="698">
          <cell r="A698" t="str">
            <v>T_C-FC-H2O-S1</v>
          </cell>
          <cell r="B698" t="str">
            <v>VAR_ncap</v>
          </cell>
          <cell r="C698" t="str">
            <v>-</v>
          </cell>
          <cell r="E698">
            <v>2.4431040288780201E-6</v>
          </cell>
          <cell r="F698">
            <v>1.6584403348194801E-6</v>
          </cell>
          <cell r="G698">
            <v>5.2254997148800901E-7</v>
          </cell>
          <cell r="H698">
            <v>8.4215061411261002E-7</v>
          </cell>
          <cell r="I698">
            <v>1.51826234582813E-6</v>
          </cell>
          <cell r="J698">
            <v>8.3735340694431297E-7</v>
          </cell>
          <cell r="K698">
            <v>7.26507205177757E-7</v>
          </cell>
          <cell r="L698">
            <v>5.9857239376281796E-7</v>
          </cell>
          <cell r="M698">
            <v>6.2462581863433204E-7</v>
          </cell>
          <cell r="N698">
            <v>4.5383793062237699E-7</v>
          </cell>
          <cell r="O698">
            <v>4.6659940391095103E-6</v>
          </cell>
        </row>
        <row r="699">
          <cell r="A699" t="str">
            <v>T_C-FC-H2O-S1</v>
          </cell>
          <cell r="B699" t="str">
            <v>VAR_cap</v>
          </cell>
          <cell r="C699" t="str">
            <v>-</v>
          </cell>
          <cell r="E699">
            <v>2.4105786162332502E-6</v>
          </cell>
          <cell r="F699">
            <v>3.9089615407463402E-6</v>
          </cell>
          <cell r="G699">
            <v>1.2861950334607001E-6</v>
          </cell>
          <cell r="H699">
            <v>2.0873464244339102E-6</v>
          </cell>
          <cell r="I699">
            <v>2.6067812933954699E-6</v>
          </cell>
          <cell r="J699">
            <v>2.0739891504629219E-6</v>
          </cell>
          <cell r="K699">
            <v>1.8748218538679E-6</v>
          </cell>
          <cell r="L699">
            <v>1.7657689812720195E-6</v>
          </cell>
          <cell r="M699">
            <v>1.4062236126928E-6</v>
          </cell>
          <cell r="N699">
            <v>1.042713740978847E-6</v>
          </cell>
          <cell r="O699">
            <v>5.74445778836621E-6</v>
          </cell>
        </row>
        <row r="700">
          <cell r="A700" t="str">
            <v>T_B_c-ICEDSL-S1</v>
          </cell>
          <cell r="B700" t="str">
            <v>VAR_fout</v>
          </cell>
          <cell r="C700" t="str">
            <v>CO2_T</v>
          </cell>
          <cell r="D700">
            <v>8.3112021333420607</v>
          </cell>
          <cell r="E700">
            <v>22.75561354966462</v>
          </cell>
          <cell r="F700">
            <v>27.680783522233501</v>
          </cell>
        </row>
        <row r="701">
          <cell r="A701" t="str">
            <v>T_B_c-ICEDSL-S1</v>
          </cell>
          <cell r="B701" t="str">
            <v>VAR_fout</v>
          </cell>
          <cell r="C701" t="str">
            <v>TPBSc</v>
          </cell>
          <cell r="D701">
            <v>1.4050712812706791E-2</v>
          </cell>
          <cell r="E701">
            <v>3.933218927057934E-2</v>
          </cell>
          <cell r="F701">
            <v>4.8429889883423838E-2</v>
          </cell>
        </row>
        <row r="702">
          <cell r="A702" t="str">
            <v>T_B_c-ICEDSL-S1</v>
          </cell>
          <cell r="B702" t="str">
            <v>VAR_fin</v>
          </cell>
          <cell r="C702" t="str">
            <v>TDSL</v>
          </cell>
          <cell r="D702">
            <v>0.11338611368815898</v>
          </cell>
          <cell r="E702">
            <v>0.31044493246472893</v>
          </cell>
          <cell r="F702">
            <v>0.37763688297726528</v>
          </cell>
        </row>
        <row r="703">
          <cell r="A703" t="str">
            <v>T_B_c-ICEDSL-S1</v>
          </cell>
          <cell r="B703" t="str">
            <v>VAR_ncap</v>
          </cell>
          <cell r="C703" t="str">
            <v>-</v>
          </cell>
          <cell r="E703">
            <v>4.9693872007746103E-4</v>
          </cell>
          <cell r="F703">
            <v>1.97748558687521E-4</v>
          </cell>
        </row>
        <row r="704">
          <cell r="A704" t="str">
            <v>T_B_c-ICEDSL-S1</v>
          </cell>
          <cell r="B704" t="str">
            <v>VAR_cap</v>
          </cell>
          <cell r="C704" t="str">
            <v>-</v>
          </cell>
          <cell r="D704">
            <v>3.05805288461538E-4</v>
          </cell>
          <cell r="E704">
            <v>8.5621194921559366E-4</v>
          </cell>
          <cell r="F704">
            <v>1.0540016391641744E-3</v>
          </cell>
          <cell r="G704">
            <v>-5.038057647064817E-9</v>
          </cell>
          <cell r="H704">
            <v>4.3754262989983105E-9</v>
          </cell>
        </row>
        <row r="705">
          <cell r="A705" t="str">
            <v>T-Plg-DSL-mix_S4</v>
          </cell>
          <cell r="B705" t="str">
            <v>VAR_fout</v>
          </cell>
          <cell r="C705" t="str">
            <v>CO2_T</v>
          </cell>
          <cell r="D705">
            <v>0.41555767398021198</v>
          </cell>
          <cell r="E705">
            <v>1.4621863678407929</v>
          </cell>
          <cell r="F705">
            <v>1.6258671041860429</v>
          </cell>
          <cell r="G705">
            <v>1.603667577170625</v>
          </cell>
          <cell r="H705">
            <v>163.31877046121218</v>
          </cell>
          <cell r="I705">
            <v>322.44017920281544</v>
          </cell>
          <cell r="J705">
            <v>286.36954431080096</v>
          </cell>
          <cell r="K705">
            <v>165.33152775403514</v>
          </cell>
          <cell r="L705">
            <v>153.64030436960945</v>
          </cell>
          <cell r="M705">
            <v>186.59508915569938</v>
          </cell>
          <cell r="N705">
            <v>238.92963061817574</v>
          </cell>
          <cell r="O705">
            <v>233.388718557814</v>
          </cell>
        </row>
        <row r="706">
          <cell r="A706" t="str">
            <v>T-Plg-DSL-mix_S4</v>
          </cell>
          <cell r="B706" t="str">
            <v>VAR_fout</v>
          </cell>
          <cell r="C706" t="str">
            <v>T-PEVmix-ELC_DSL_S4</v>
          </cell>
          <cell r="D706">
            <v>2.9876979483594896E-3</v>
          </cell>
          <cell r="E706">
            <v>1.0512550928189987E-2</v>
          </cell>
          <cell r="F706">
            <v>1.1689351720919334E-2</v>
          </cell>
          <cell r="G706">
            <v>1.1529745761334344E-2</v>
          </cell>
          <cell r="H706">
            <v>1.1753529654739518</v>
          </cell>
          <cell r="I706">
            <v>2.4476622039703222</v>
          </cell>
          <cell r="J706">
            <v>2.2897104920211775</v>
          </cell>
          <cell r="K706">
            <v>1.4698589485507212</v>
          </cell>
          <cell r="L706">
            <v>1.4436743300823154</v>
          </cell>
          <cell r="M706">
            <v>1.8476635966498793</v>
          </cell>
          <cell r="N706">
            <v>2.3661445386465778</v>
          </cell>
          <cell r="O706">
            <v>2.3116687109875316</v>
          </cell>
        </row>
        <row r="707">
          <cell r="A707" t="str">
            <v>T-Plg-DSL-mix_S4</v>
          </cell>
          <cell r="B707" t="str">
            <v>VAR_fin</v>
          </cell>
          <cell r="C707" t="str">
            <v>TDSL</v>
          </cell>
          <cell r="D707">
            <v>5.6692724963193983E-3</v>
          </cell>
          <cell r="E707">
            <v>1.9947972276136323E-2</v>
          </cell>
          <cell r="F707">
            <v>2.2180997328595426E-2</v>
          </cell>
          <cell r="G707">
            <v>2.1878138842709761E-2</v>
          </cell>
          <cell r="H707">
            <v>2.2280869094299112</v>
          </cell>
          <cell r="I707">
            <v>4.3989110396018454</v>
          </cell>
          <cell r="J707">
            <v>3.9068150656316689</v>
          </cell>
          <cell r="K707">
            <v>2.255546081228311</v>
          </cell>
          <cell r="L707">
            <v>2.0960478085894847</v>
          </cell>
          <cell r="M707">
            <v>2.5456355955757077</v>
          </cell>
          <cell r="N707">
            <v>3.259612968870059</v>
          </cell>
          <cell r="O707">
            <v>3.1840207170233832</v>
          </cell>
        </row>
        <row r="708">
          <cell r="A708" t="str">
            <v>T_C-FC-H2O-S2</v>
          </cell>
          <cell r="B708" t="str">
            <v>VAR_fout</v>
          </cell>
          <cell r="C708" t="str">
            <v>TPCAR</v>
          </cell>
          <cell r="D708">
            <v>7.8397913916958742E-5</v>
          </cell>
          <cell r="E708">
            <v>9.926152479029222E-5</v>
          </cell>
          <cell r="F708">
            <v>1.081215576846618E-4</v>
          </cell>
          <cell r="G708">
            <v>2.9482725692394336E-5</v>
          </cell>
          <cell r="H708">
            <v>2.4653323496029947E-5</v>
          </cell>
          <cell r="I708">
            <v>2.0215535579811768E-5</v>
          </cell>
          <cell r="J708">
            <v>2.2614015447713357E-5</v>
          </cell>
          <cell r="K708">
            <v>2.4739315546080223E-5</v>
          </cell>
          <cell r="L708">
            <v>2.0785726415688996E-5</v>
          </cell>
          <cell r="M708">
            <v>2.3059572786449954E-5</v>
          </cell>
          <cell r="N708">
            <v>2.1178208937173077E-5</v>
          </cell>
          <cell r="O708">
            <v>7.3578472258531359E-5</v>
          </cell>
        </row>
        <row r="709">
          <cell r="A709" t="str">
            <v>T_C-FC-H2O-S2</v>
          </cell>
          <cell r="B709" t="str">
            <v>VAR_fin</v>
          </cell>
          <cell r="C709" t="str">
            <v>TH2O</v>
          </cell>
          <cell r="D709">
            <v>8.7939805045971468E-5</v>
          </cell>
          <cell r="E709">
            <v>1.1134274756175536E-4</v>
          </cell>
          <cell r="F709">
            <v>1.2128114421676163E-4</v>
          </cell>
          <cell r="G709">
            <v>3.3071098707540536E-5</v>
          </cell>
          <cell r="H709">
            <v>2.7025279449327688E-5</v>
          </cell>
          <cell r="I709">
            <v>2.0890932979383374E-5</v>
          </cell>
          <cell r="J709">
            <v>2.2225775209848694E-5</v>
          </cell>
          <cell r="K709">
            <v>2.2913386390193088E-5</v>
          </cell>
          <cell r="L709">
            <v>1.8021064318088723E-5</v>
          </cell>
          <cell r="M709">
            <v>1.869738122072573E-5</v>
          </cell>
          <cell r="N709">
            <v>1.6557506277433887E-5</v>
          </cell>
          <cell r="O709">
            <v>5.6563481649482363E-5</v>
          </cell>
        </row>
        <row r="710">
          <cell r="A710" t="str">
            <v>T_C-FC-H2O-S2</v>
          </cell>
          <cell r="B710" t="str">
            <v>VAR_ncap</v>
          </cell>
          <cell r="C710" t="str">
            <v>-</v>
          </cell>
          <cell r="E710">
            <v>1.2617692648078399E-6</v>
          </cell>
          <cell r="F710">
            <v>9.8809927469263899E-7</v>
          </cell>
          <cell r="G710">
            <v>5.1682835187276602E-7</v>
          </cell>
          <cell r="H710">
            <v>7.1958974825438097E-7</v>
          </cell>
          <cell r="I710">
            <v>9.19268137779919E-7</v>
          </cell>
          <cell r="J710">
            <v>7.3845987020638605E-7</v>
          </cell>
          <cell r="K710">
            <v>6.9930992647679403E-7</v>
          </cell>
          <cell r="L710">
            <v>6.3143891410881602E-7</v>
          </cell>
          <cell r="M710">
            <v>7.4833708995410497E-7</v>
          </cell>
          <cell r="N710">
            <v>7.0918582794615599E-7</v>
          </cell>
          <cell r="O710">
            <v>4.6896145436261902E-6</v>
          </cell>
        </row>
        <row r="711">
          <cell r="A711" t="str">
            <v>T_C-FC-H2O-S2</v>
          </cell>
          <cell r="B711" t="str">
            <v>VAR_cap</v>
          </cell>
          <cell r="C711" t="str">
            <v>-</v>
          </cell>
          <cell r="D711">
            <v>6.2754707246480763E-6</v>
          </cell>
          <cell r="E711">
            <v>7.5783044734951199E-6</v>
          </cell>
          <cell r="F711">
            <v>8.4819885257196807E-6</v>
          </cell>
          <cell r="G711">
            <v>2.0332464212062602E-6</v>
          </cell>
          <cell r="H711">
            <v>1.931977943827129E-6</v>
          </cell>
          <cell r="I711">
            <v>1.85032784790313E-6</v>
          </cell>
          <cell r="J711">
            <v>1.8445660978575485E-6</v>
          </cell>
          <cell r="K711">
            <v>1.7862463120599183E-6</v>
          </cell>
          <cell r="L711">
            <v>1.6911353447989688E-6</v>
          </cell>
          <cell r="M711">
            <v>1.6741907111760061E-6</v>
          </cell>
          <cell r="N711">
            <v>1.6479049916386151E-6</v>
          </cell>
          <cell r="O711">
            <v>6.1471374615264499E-6</v>
          </cell>
        </row>
        <row r="712">
          <cell r="A712" t="str">
            <v>T_B_c-ICEDSL-S2</v>
          </cell>
          <cell r="B712" t="str">
            <v>VAR_fout</v>
          </cell>
          <cell r="C712" t="str">
            <v>CO2_T</v>
          </cell>
          <cell r="D712">
            <v>38.068451571674302</v>
          </cell>
          <cell r="E712">
            <v>29.279154630678725</v>
          </cell>
          <cell r="F712">
            <v>30.366083632929495</v>
          </cell>
        </row>
        <row r="713">
          <cell r="A713" t="str">
            <v>T_B_c-ICEDSL-S2</v>
          </cell>
          <cell r="B713" t="str">
            <v>VAR_fout</v>
          </cell>
          <cell r="C713" t="str">
            <v>TPBSc</v>
          </cell>
          <cell r="D713">
            <v>4.5425503178560644E-2</v>
          </cell>
          <cell r="E713">
            <v>3.5075574641998508E-2</v>
          </cell>
          <cell r="F713">
            <v>3.6377374712007138E-2</v>
          </cell>
        </row>
        <row r="714">
          <cell r="A714" t="str">
            <v>T_B_c-ICEDSL-S2</v>
          </cell>
          <cell r="B714" t="str">
            <v>VAR_fin</v>
          </cell>
          <cell r="C714" t="str">
            <v>TDSL</v>
          </cell>
          <cell r="D714">
            <v>0.51935131748532493</v>
          </cell>
          <cell r="E714">
            <v>0.39944276440216636</v>
          </cell>
          <cell r="F714">
            <v>0.41427126375074386</v>
          </cell>
        </row>
        <row r="715">
          <cell r="A715" t="str">
            <v>T_B_c-ICEDSL-S2</v>
          </cell>
          <cell r="B715" t="str">
            <v>VAR_ncap</v>
          </cell>
          <cell r="C715" t="str">
            <v>-</v>
          </cell>
          <cell r="E715">
            <v>7.5878091261058703E-7</v>
          </cell>
          <cell r="F715">
            <v>1.0487110166913099E-6</v>
          </cell>
        </row>
        <row r="716">
          <cell r="A716" t="str">
            <v>T_B_c-ICEDSL-S2</v>
          </cell>
          <cell r="B716" t="str">
            <v>VAR_cap</v>
          </cell>
          <cell r="C716" t="str">
            <v>-</v>
          </cell>
          <cell r="D716">
            <v>9.8784375000000001E-4</v>
          </cell>
          <cell r="E716">
            <v>7.8976490078128158E-4</v>
          </cell>
          <cell r="F716">
            <v>7.9087844525724087E-4</v>
          </cell>
          <cell r="G716">
            <v>-5.575477497765137E-9</v>
          </cell>
          <cell r="H716">
            <v>2.8919625919299879E-9</v>
          </cell>
        </row>
        <row r="717">
          <cell r="A717" t="str">
            <v>T_TW-FCLH2O-S1</v>
          </cell>
          <cell r="B717" t="str">
            <v>VAR_fout</v>
          </cell>
          <cell r="C717" t="str">
            <v>TPTWL</v>
          </cell>
          <cell r="G717">
            <v>1.4590679429605326E-4</v>
          </cell>
          <cell r="H717">
            <v>4.1249739616811183E-4</v>
          </cell>
          <cell r="I717">
            <v>6.3763360285420034E-4</v>
          </cell>
          <cell r="J717">
            <v>9.9729568127831245E-4</v>
          </cell>
          <cell r="K717">
            <v>1.535919061639414E-3</v>
          </cell>
          <cell r="L717">
            <v>2.1333344264215749E-3</v>
          </cell>
          <cell r="M717">
            <v>2.6335382526642532E-3</v>
          </cell>
          <cell r="N717">
            <v>2.5319427642042681E-3</v>
          </cell>
          <cell r="O717">
            <v>3.615514606174583E-3</v>
          </cell>
        </row>
        <row r="718">
          <cell r="A718" t="str">
            <v>T_TW-FCLH2O-S1</v>
          </cell>
          <cell r="B718" t="str">
            <v>VAR_fin</v>
          </cell>
          <cell r="C718" t="str">
            <v>TH2O</v>
          </cell>
          <cell r="G718">
            <v>3.1451408632986661E-5</v>
          </cell>
          <cell r="H718">
            <v>8.8001144263291159E-5</v>
          </cell>
          <cell r="I718">
            <v>1.3425264755115811E-4</v>
          </cell>
          <cell r="J718">
            <v>2.0707107220430205E-4</v>
          </cell>
          <cell r="K718">
            <v>3.1339146683617583E-4</v>
          </cell>
          <cell r="L718">
            <v>4.3277631004899511E-4</v>
          </cell>
          <cell r="M718">
            <v>5.3336324297245088E-4</v>
          </cell>
          <cell r="N718">
            <v>5.1278738874228457E-4</v>
          </cell>
          <cell r="O718">
            <v>7.3224020703426841E-4</v>
          </cell>
        </row>
        <row r="719">
          <cell r="A719" t="str">
            <v>T_TW-FCLH2O-S1</v>
          </cell>
          <cell r="B719" t="str">
            <v>VAR_ncap</v>
          </cell>
          <cell r="C719" t="str">
            <v>-</v>
          </cell>
          <cell r="G719">
            <v>5.4003900041640898E-5</v>
          </cell>
          <cell r="H719">
            <v>1.02623973401912E-4</v>
          </cell>
          <cell r="I719">
            <v>1.2978769379492499E-4</v>
          </cell>
          <cell r="J719">
            <v>1.9857779982989E-4</v>
          </cell>
          <cell r="K719">
            <v>3.5064184041797898E-4</v>
          </cell>
          <cell r="L719">
            <v>3.7604449757435999E-4</v>
          </cell>
          <cell r="M719">
            <v>4.6695456615677202E-4</v>
          </cell>
          <cell r="N719">
            <v>4.4829249741801898E-4</v>
          </cell>
          <cell r="O719">
            <v>6.6216513473721296E-4</v>
          </cell>
        </row>
        <row r="720">
          <cell r="A720" t="str">
            <v>T_TW-FCLH2O-S1</v>
          </cell>
          <cell r="B720" t="str">
            <v>VAR_cap</v>
          </cell>
          <cell r="C720" t="str">
            <v>-</v>
          </cell>
          <cell r="G720">
            <v>5.4003900041640898E-5</v>
          </cell>
          <cell r="H720">
            <v>1.5651931302320407E-4</v>
          </cell>
          <cell r="I720">
            <v>2.4362611755241907E-4</v>
          </cell>
          <cell r="J720">
            <v>3.8136747757107987E-4</v>
          </cell>
          <cell r="K720">
            <v>5.9332490088600685E-4</v>
          </cell>
          <cell r="L720">
            <v>8.1574979581818462E-4</v>
          </cell>
          <cell r="M720">
            <v>1.0220743125697617E-3</v>
          </cell>
          <cell r="N720">
            <v>9.8158453172924568E-4</v>
          </cell>
          <cell r="O720">
            <v>1.4244099913000663E-3</v>
          </cell>
        </row>
        <row r="721">
          <cell r="A721" t="str">
            <v>D-T-ELC-TW_Bat_S1</v>
          </cell>
          <cell r="B721" t="str">
            <v>VAR_fout</v>
          </cell>
          <cell r="C721" t="str">
            <v>T-ELC-TWSTGin_S1</v>
          </cell>
          <cell r="D721">
            <v>1.5609128655301422E-3</v>
          </cell>
          <cell r="E721">
            <v>2.1462807708050916E-3</v>
          </cell>
          <cell r="F721">
            <v>2.1669343854134591E-3</v>
          </cell>
          <cell r="G721">
            <v>3.8799500847175473E-3</v>
          </cell>
          <cell r="H721">
            <v>4.7691082611935783E-3</v>
          </cell>
          <cell r="I721">
            <v>4.4914157894584859E-3</v>
          </cell>
          <cell r="J721">
            <v>5.0148985840955014E-3</v>
          </cell>
          <cell r="K721">
            <v>1.020553678651415E-2</v>
          </cell>
          <cell r="L721">
            <v>8.5495201543671177E-3</v>
          </cell>
          <cell r="M721">
            <v>1.4282797845943903E-2</v>
          </cell>
          <cell r="N721">
            <v>1.1076324443602034E-2</v>
          </cell>
          <cell r="O721">
            <v>2.2886560136645018E-2</v>
          </cell>
        </row>
        <row r="722">
          <cell r="A722" t="str">
            <v>D-T-ELC-TW_Bat_S1</v>
          </cell>
          <cell r="B722" t="str">
            <v>VAR_fin</v>
          </cell>
          <cell r="C722" t="str">
            <v>TELC</v>
          </cell>
          <cell r="D722">
            <v>1.5609128655301422E-3</v>
          </cell>
          <cell r="E722">
            <v>2.1462807708050916E-3</v>
          </cell>
          <cell r="F722">
            <v>2.1669343854134591E-3</v>
          </cell>
          <cell r="G722">
            <v>3.8799500847175473E-3</v>
          </cell>
          <cell r="H722">
            <v>4.7691082611935783E-3</v>
          </cell>
          <cell r="I722">
            <v>4.4914157894584859E-3</v>
          </cell>
          <cell r="J722">
            <v>5.0148985840955014E-3</v>
          </cell>
          <cell r="K722">
            <v>1.020553678651415E-2</v>
          </cell>
          <cell r="L722">
            <v>8.5495201543671177E-3</v>
          </cell>
          <cell r="M722">
            <v>1.4282797845943903E-2</v>
          </cell>
          <cell r="N722">
            <v>1.1076324443602034E-2</v>
          </cell>
          <cell r="O722">
            <v>2.2886560136645018E-2</v>
          </cell>
        </row>
        <row r="723">
          <cell r="A723" t="str">
            <v>D-T-ELC-TW_Bat_S1</v>
          </cell>
          <cell r="B723" t="str">
            <v>VAR_ncap</v>
          </cell>
          <cell r="C723" t="str">
            <v>-</v>
          </cell>
          <cell r="D723">
            <v>1.9260392043485801E-4</v>
          </cell>
          <cell r="E723">
            <v>3.9321316234046401E-5</v>
          </cell>
          <cell r="F723">
            <v>3.4304010637184402E-6</v>
          </cell>
          <cell r="G723">
            <v>2.3166139072865999E-4</v>
          </cell>
          <cell r="H723">
            <v>2.7164359925886601E-4</v>
          </cell>
          <cell r="I723">
            <v>1.5554664508612699E-4</v>
          </cell>
          <cell r="J723">
            <v>2.3454206915729899E-4</v>
          </cell>
          <cell r="K723">
            <v>7.9341957607664598E-4</v>
          </cell>
          <cell r="L723">
            <v>6.2779455968106701E-6</v>
          </cell>
          <cell r="M723">
            <v>1.10024735607277E-3</v>
          </cell>
          <cell r="N723">
            <v>7.2043539798768294E-5</v>
          </cell>
          <cell r="O723">
            <v>1.61117142924021E-3</v>
          </cell>
        </row>
        <row r="724">
          <cell r="A724" t="str">
            <v>D-T-ELC-TW_Bat_S1</v>
          </cell>
          <cell r="B724" t="str">
            <v>VAR_cap</v>
          </cell>
          <cell r="C724" t="str">
            <v>-</v>
          </cell>
          <cell r="D724">
            <v>1.9260392043485801E-4</v>
          </cell>
          <cell r="E724">
            <v>2.31925236668904E-4</v>
          </cell>
          <cell r="F724">
            <v>2.35355637732623E-4</v>
          </cell>
          <cell r="G724">
            <v>4.1013087714368899E-4</v>
          </cell>
          <cell r="H724">
            <v>5.0506253470005997E-4</v>
          </cell>
          <cell r="I724">
            <v>4.7583842701979698E-4</v>
          </cell>
          <cell r="J724">
            <v>5.3093890746698795E-4</v>
          </cell>
          <cell r="K724">
            <v>1.08109594948704E-3</v>
          </cell>
          <cell r="L724">
            <v>9.0519704430574305E-4</v>
          </cell>
          <cell r="M724">
            <v>1.51302890135176E-3</v>
          </cell>
          <cell r="N724">
            <v>1.1734028576697701E-3</v>
          </cell>
          <cell r="O724">
            <v>2.4257310188767799E-3</v>
          </cell>
        </row>
        <row r="725">
          <cell r="A725" t="str">
            <v>T_C-FC-H2O-S3</v>
          </cell>
          <cell r="B725" t="str">
            <v>VAR_fout</v>
          </cell>
          <cell r="C725" t="str">
            <v>TPCAR</v>
          </cell>
          <cell r="D725">
            <v>6.3843426728028287E-4</v>
          </cell>
          <cell r="E725">
            <v>1.5556796709455085E-3</v>
          </cell>
          <cell r="F725">
            <v>1.4611925346862664E-3</v>
          </cell>
          <cell r="G725">
            <v>5.2026462280497763E-5</v>
          </cell>
          <cell r="H725">
            <v>3.2332280107858676E-5</v>
          </cell>
          <cell r="I725">
            <v>2.0330112480602422E-5</v>
          </cell>
          <cell r="J725">
            <v>2.2779428126791139E-5</v>
          </cell>
          <cell r="K725">
            <v>2.5486742210389651E-5</v>
          </cell>
          <cell r="L725">
            <v>2.4210464472041574E-5</v>
          </cell>
          <cell r="M725">
            <v>2.6333223313859571E-5</v>
          </cell>
          <cell r="N725">
            <v>3.0095973123300784E-5</v>
          </cell>
          <cell r="O725">
            <v>8.5260395107051277E-5</v>
          </cell>
        </row>
        <row r="726">
          <cell r="A726" t="str">
            <v>T_C-FC-H2O-S3</v>
          </cell>
          <cell r="B726" t="str">
            <v>VAR_fin</v>
          </cell>
          <cell r="C726" t="str">
            <v>TH2O</v>
          </cell>
          <cell r="D726">
            <v>7.6919321144312271E-4</v>
          </cell>
          <cell r="E726">
            <v>1.8743014017228862E-3</v>
          </cell>
          <cell r="F726">
            <v>1.7604621742501479E-3</v>
          </cell>
          <cell r="G726">
            <v>6.2682101592131253E-5</v>
          </cell>
          <cell r="H726">
            <v>3.8261639420915249E-5</v>
          </cell>
          <cell r="I726">
            <v>2.258268271046611E-5</v>
          </cell>
          <cell r="J726">
            <v>2.3990648304732281E-5</v>
          </cell>
          <cell r="K726">
            <v>2.5265147911122088E-5</v>
          </cell>
          <cell r="L726">
            <v>2.2525365183813479E-5</v>
          </cell>
          <cell r="M726">
            <v>2.285901496029407E-5</v>
          </cell>
          <cell r="N726">
            <v>2.5184175669194779E-5</v>
          </cell>
          <cell r="O726">
            <v>7.0152162777740656E-5</v>
          </cell>
        </row>
        <row r="727">
          <cell r="A727" t="str">
            <v>T_C-FC-H2O-S3</v>
          </cell>
          <cell r="B727" t="str">
            <v>VAR_ncap</v>
          </cell>
          <cell r="C727" t="str">
            <v>-</v>
          </cell>
          <cell r="E727">
            <v>1.1087419013264801E-6</v>
          </cell>
          <cell r="F727">
            <v>7.4959032284253195E-7</v>
          </cell>
          <cell r="G727">
            <v>4.4684147305221502E-7</v>
          </cell>
          <cell r="H727">
            <v>6.4329147978563995E-7</v>
          </cell>
          <cell r="I727">
            <v>7.8606712581418802E-7</v>
          </cell>
          <cell r="J727">
            <v>6.9625881651462705E-7</v>
          </cell>
          <cell r="K727">
            <v>6.7107296813596002E-7</v>
          </cell>
          <cell r="L727">
            <v>6.4449123949373097E-7</v>
          </cell>
          <cell r="M727">
            <v>7.8212637454352596E-7</v>
          </cell>
          <cell r="N727">
            <v>8.5412884395545202E-7</v>
          </cell>
          <cell r="O727">
            <v>4.9205624928204698E-6</v>
          </cell>
        </row>
        <row r="728">
          <cell r="A728" t="str">
            <v>T_C-FC-H2O-S3</v>
          </cell>
          <cell r="B728" t="str">
            <v>VAR_cap</v>
          </cell>
          <cell r="C728" t="str">
            <v>-</v>
          </cell>
          <cell r="D728">
            <v>5.3464088216257387E-5</v>
          </cell>
          <cell r="E728">
            <v>1.0915161215807503E-4</v>
          </cell>
          <cell r="F728">
            <v>1.0464129310698424E-4</v>
          </cell>
          <cell r="G728">
            <v>3.0975720634544965E-6</v>
          </cell>
          <cell r="H728">
            <v>2.103748996121147E-6</v>
          </cell>
          <cell r="I728">
            <v>1.5993567617657401E-6</v>
          </cell>
          <cell r="J728">
            <v>1.6882803716490748E-6</v>
          </cell>
          <cell r="K728">
            <v>1.6832042049457809E-6</v>
          </cell>
          <cell r="L728">
            <v>1.657197948324E-6</v>
          </cell>
          <cell r="M728">
            <v>1.7473148654759245E-6</v>
          </cell>
          <cell r="N728">
            <v>1.9195387981922671E-6</v>
          </cell>
          <cell r="O728">
            <v>6.55681771131945E-6</v>
          </cell>
        </row>
        <row r="729">
          <cell r="A729" t="str">
            <v>T_B_c-ICEDSL-S3</v>
          </cell>
          <cell r="B729" t="str">
            <v>VAR_fout</v>
          </cell>
          <cell r="C729" t="str">
            <v>CO2_T</v>
          </cell>
          <cell r="D729">
            <v>11.74821092959718</v>
          </cell>
          <cell r="E729">
            <v>9.3750160369109778</v>
          </cell>
          <cell r="F729">
            <v>11.221919566901645</v>
          </cell>
        </row>
        <row r="730">
          <cell r="A730" t="str">
            <v>T_B_c-ICEDSL-S3</v>
          </cell>
          <cell r="B730" t="str">
            <v>VAR_fout</v>
          </cell>
          <cell r="C730" t="str">
            <v>TPBSc</v>
          </cell>
          <cell r="D730">
            <v>9.2879028384252171E-3</v>
          </cell>
          <cell r="E730">
            <v>7.44083670682488E-3</v>
          </cell>
          <cell r="F730">
            <v>8.9028113487347633E-3</v>
          </cell>
        </row>
        <row r="731">
          <cell r="A731" t="str">
            <v>T_B_c-ICEDSL-S3</v>
          </cell>
          <cell r="B731" t="str">
            <v>VAR_fin</v>
          </cell>
          <cell r="C731" t="str">
            <v>TDSL</v>
          </cell>
          <cell r="D731">
            <v>0.1602757289167418</v>
          </cell>
          <cell r="E731">
            <v>0.12789926380506131</v>
          </cell>
          <cell r="F731">
            <v>0.15309576489633842</v>
          </cell>
        </row>
        <row r="732">
          <cell r="A732" t="str">
            <v>T_B_c-ICEDSL-S3</v>
          </cell>
          <cell r="B732" t="str">
            <v>VAR_ncap</v>
          </cell>
          <cell r="C732" t="str">
            <v>-</v>
          </cell>
          <cell r="E732">
            <v>3.22154204079928E-7</v>
          </cell>
          <cell r="F732">
            <v>3.1294815413894599E-7</v>
          </cell>
        </row>
        <row r="733">
          <cell r="A733" t="str">
            <v>T_B_c-ICEDSL-S3</v>
          </cell>
          <cell r="B733" t="str">
            <v>VAR_cap</v>
          </cell>
          <cell r="C733" t="str">
            <v>-</v>
          </cell>
          <cell r="D733">
            <v>2.0240156556387693E-4</v>
          </cell>
          <cell r="E733">
            <v>1.9336167814205073E-4</v>
          </cell>
          <cell r="F733">
            <v>1.9370251204420117E-4</v>
          </cell>
          <cell r="G733">
            <v>-1.2068882228506456E-9</v>
          </cell>
        </row>
        <row r="734">
          <cell r="A734" t="str">
            <v>T_TW-FCLH2O-S2</v>
          </cell>
          <cell r="B734" t="str">
            <v>VAR_fout</v>
          </cell>
          <cell r="C734" t="str">
            <v>TPTWL</v>
          </cell>
          <cell r="G734">
            <v>7.4061132337861435E-5</v>
          </cell>
          <cell r="H734">
            <v>1.9491821625023932E-4</v>
          </cell>
          <cell r="I734">
            <v>3.1718527489967328E-4</v>
          </cell>
          <cell r="J734">
            <v>4.5125801087742543E-4</v>
          </cell>
          <cell r="K734">
            <v>6.342052712573125E-4</v>
          </cell>
          <cell r="L734">
            <v>7.3831617503925787E-4</v>
          </cell>
          <cell r="M734">
            <v>9.838158548242837E-4</v>
          </cell>
          <cell r="N734">
            <v>9.5535131524194258E-4</v>
          </cell>
          <cell r="O734">
            <v>1.3967291101516146E-3</v>
          </cell>
        </row>
        <row r="735">
          <cell r="A735" t="str">
            <v>T_TW-FCLH2O-S2</v>
          </cell>
          <cell r="B735" t="str">
            <v>VAR_fin</v>
          </cell>
          <cell r="C735" t="str">
            <v>TH2O</v>
          </cell>
          <cell r="G735">
            <v>2.7421042207102441E-5</v>
          </cell>
          <cell r="H735">
            <v>7.1505062314296112E-5</v>
          </cell>
          <cell r="I735">
            <v>1.1514877738651528E-4</v>
          </cell>
          <cell r="J735">
            <v>1.6173210372713586E-4</v>
          </cell>
          <cell r="K735">
            <v>2.2404566594788055E-4</v>
          </cell>
          <cell r="L735">
            <v>2.5861426309298186E-4</v>
          </cell>
          <cell r="M735">
            <v>3.4364164251465568E-4</v>
          </cell>
          <cell r="N735">
            <v>3.3369913031836078E-4</v>
          </cell>
          <cell r="O735">
            <v>4.8787004519891704E-4</v>
          </cell>
        </row>
        <row r="736">
          <cell r="A736" t="str">
            <v>T_TW-FCLH2O-S2</v>
          </cell>
          <cell r="B736" t="str">
            <v>VAR_ncap</v>
          </cell>
          <cell r="C736" t="str">
            <v>-</v>
          </cell>
          <cell r="G736">
            <v>2.70771040878452E-5</v>
          </cell>
          <cell r="H736">
            <v>4.5952808341310103E-5</v>
          </cell>
          <cell r="I736">
            <v>5.7714119637020597E-5</v>
          </cell>
          <cell r="J736">
            <v>7.6092688480729095E-5</v>
          </cell>
          <cell r="K736">
            <v>1.1090517324962399E-4</v>
          </cell>
          <cell r="L736">
            <v>1.1931690125048199E-4</v>
          </cell>
          <cell r="M736">
            <v>1.5378415738172101E-4</v>
          </cell>
          <cell r="N736">
            <v>1.57852289808659E-4</v>
          </cell>
          <cell r="O736">
            <v>2.40455014701794E-4</v>
          </cell>
        </row>
        <row r="737">
          <cell r="A737" t="str">
            <v>T_TW-FCLH2O-S2</v>
          </cell>
          <cell r="B737" t="str">
            <v>VAR_cap</v>
          </cell>
          <cell r="C737" t="str">
            <v>-</v>
          </cell>
          <cell r="G737">
            <v>2.70771040878452E-5</v>
          </cell>
          <cell r="H737">
            <v>7.2959574335232602E-5</v>
          </cell>
          <cell r="I737">
            <v>1.2020654571452167E-4</v>
          </cell>
          <cell r="J737">
            <v>1.7243053348914799E-4</v>
          </cell>
          <cell r="K737">
            <v>2.4451582600737329E-4</v>
          </cell>
          <cell r="L737">
            <v>2.8570155515654288E-4</v>
          </cell>
          <cell r="M737">
            <v>3.8350201609444758E-4</v>
          </cell>
          <cell r="N737">
            <v>3.7328217517245153E-4</v>
          </cell>
          <cell r="O737">
            <v>5.5160890178417856E-4</v>
          </cell>
        </row>
        <row r="738">
          <cell r="A738" t="str">
            <v>D-T-ELC-TW_Bat_S2</v>
          </cell>
          <cell r="B738" t="str">
            <v>VAR_fout</v>
          </cell>
          <cell r="C738" t="str">
            <v>T-ELC-TWSTGin_S2</v>
          </cell>
          <cell r="D738">
            <v>3.5468388915863263E-4</v>
          </cell>
          <cell r="E738">
            <v>4.6688834115788611E-4</v>
          </cell>
          <cell r="F738">
            <v>4.7632808013306483E-4</v>
          </cell>
          <cell r="G738">
            <v>3.5457169284880815E-3</v>
          </cell>
          <cell r="H738">
            <v>5.5458010328235203E-3</v>
          </cell>
          <cell r="I738">
            <v>5.3895453855723335E-3</v>
          </cell>
          <cell r="J738">
            <v>5.1337983096630211E-3</v>
          </cell>
          <cell r="K738">
            <v>1.02163566732667E-2</v>
          </cell>
          <cell r="L738">
            <v>8.9595478641352807E-3</v>
          </cell>
          <cell r="M738">
            <v>1.4388883231276737E-2</v>
          </cell>
          <cell r="N738">
            <v>1.1138074084617854E-2</v>
          </cell>
          <cell r="O738">
            <v>2.274575939209153E-2</v>
          </cell>
        </row>
        <row r="739">
          <cell r="A739" t="str">
            <v>D-T-ELC-TW_Bat_S2</v>
          </cell>
          <cell r="B739" t="str">
            <v>VAR_fin</v>
          </cell>
          <cell r="C739" t="str">
            <v>TELC</v>
          </cell>
          <cell r="D739">
            <v>3.5468388915863263E-4</v>
          </cell>
          <cell r="E739">
            <v>4.6688834115788611E-4</v>
          </cell>
          <cell r="F739">
            <v>4.7632808013306483E-4</v>
          </cell>
          <cell r="G739">
            <v>3.5457169284880815E-3</v>
          </cell>
          <cell r="H739">
            <v>5.5458010328235203E-3</v>
          </cell>
          <cell r="I739">
            <v>5.3895453855723335E-3</v>
          </cell>
          <cell r="J739">
            <v>5.1337983096630211E-3</v>
          </cell>
          <cell r="K739">
            <v>1.02163566732667E-2</v>
          </cell>
          <cell r="L739">
            <v>8.9595478641352807E-3</v>
          </cell>
          <cell r="M739">
            <v>1.4388883231276737E-2</v>
          </cell>
          <cell r="N739">
            <v>1.1138074084617854E-2</v>
          </cell>
          <cell r="O739">
            <v>2.274575939209153E-2</v>
          </cell>
        </row>
        <row r="740">
          <cell r="A740" t="str">
            <v>D-T-ELC-TW_Bat_S2</v>
          </cell>
          <cell r="B740" t="str">
            <v>VAR_ncap</v>
          </cell>
          <cell r="C740" t="str">
            <v>-</v>
          </cell>
          <cell r="D740">
            <v>1.11268260011754E-4</v>
          </cell>
          <cell r="E740">
            <v>7.59393256706862E-7</v>
          </cell>
          <cell r="F740">
            <v>3.9447963995188603E-6</v>
          </cell>
          <cell r="G740">
            <v>2.58924717077114E-4</v>
          </cell>
          <cell r="H740">
            <v>3.2407262539838299E-4</v>
          </cell>
          <cell r="I740">
            <v>8.7982872267120796E-5</v>
          </cell>
          <cell r="J740">
            <v>1.82160919893717E-4</v>
          </cell>
          <cell r="K740">
            <v>8.1174571312189801E-4</v>
          </cell>
          <cell r="L740">
            <v>3.9739422751143599E-6</v>
          </cell>
          <cell r="M740">
            <v>7.0881498575118597E-4</v>
          </cell>
          <cell r="N740">
            <v>4.6902412927083803E-4</v>
          </cell>
          <cell r="O740">
            <v>1.2338707477569199E-3</v>
          </cell>
        </row>
        <row r="741">
          <cell r="A741" t="str">
            <v>D-T-ELC-TW_Bat_S2</v>
          </cell>
          <cell r="B741" t="str">
            <v>VAR_cap</v>
          </cell>
          <cell r="C741" t="str">
            <v>-</v>
          </cell>
          <cell r="D741">
            <v>1.11268260011754E-4</v>
          </cell>
          <cell r="E741">
            <v>1.12027653268461E-4</v>
          </cell>
          <cell r="F741">
            <v>1.1597244966798E-4</v>
          </cell>
          <cell r="G741">
            <v>3.7489716674509301E-4</v>
          </cell>
          <cell r="H741">
            <v>5.8713907575728898E-4</v>
          </cell>
          <cell r="I741">
            <v>5.7122949540489303E-4</v>
          </cell>
          <cell r="J741">
            <v>5.4348285785380901E-4</v>
          </cell>
          <cell r="K741">
            <v>1.0818895052827401E-3</v>
          </cell>
          <cell r="L741">
            <v>9.4900620954013195E-4</v>
          </cell>
          <cell r="M741">
            <v>1.5245346411482E-3</v>
          </cell>
          <cell r="N741">
            <v>1.17989964778936E-3</v>
          </cell>
          <cell r="O741">
            <v>2.41170986277894E-3</v>
          </cell>
        </row>
        <row r="742">
          <cell r="A742" t="str">
            <v>T_C-FC-H2O-S4</v>
          </cell>
          <cell r="B742" t="str">
            <v>VAR_fout</v>
          </cell>
          <cell r="C742" t="str">
            <v>TPCAR</v>
          </cell>
          <cell r="E742">
            <v>1.6552718127422853E-5</v>
          </cell>
          <cell r="F742">
            <v>2.7072404586997101E-5</v>
          </cell>
          <cell r="G742">
            <v>2.1716497155069567E-5</v>
          </cell>
          <cell r="H742">
            <v>2.4085699197172173E-5</v>
          </cell>
          <cell r="I742">
            <v>2.0389393594692094E-5</v>
          </cell>
          <cell r="J742">
            <v>2.3448113822675951E-5</v>
          </cell>
          <cell r="K742">
            <v>2.5469165190144098E-5</v>
          </cell>
          <cell r="L742">
            <v>2.135009300622752E-5</v>
          </cell>
          <cell r="M742">
            <v>2.2664329218318143E-5</v>
          </cell>
          <cell r="N742">
            <v>1.9349768022546985E-5</v>
          </cell>
          <cell r="O742">
            <v>7.5395481031667738E-5</v>
          </cell>
        </row>
        <row r="743">
          <cell r="A743" t="str">
            <v>T_C-FC-H2O-S4</v>
          </cell>
          <cell r="B743" t="str">
            <v>VAR_fin</v>
          </cell>
          <cell r="C743" t="str">
            <v>TH2O</v>
          </cell>
          <cell r="E743">
            <v>1.9782088225651449E-5</v>
          </cell>
          <cell r="F743">
            <v>3.2354124071820257E-5</v>
          </cell>
          <cell r="G743">
            <v>2.5953300199196993E-5</v>
          </cell>
          <cell r="H743">
            <v>2.814871525859934E-5</v>
          </cell>
          <cell r="I743">
            <v>2.250040909701891E-5</v>
          </cell>
          <cell r="J743">
            <v>2.4711603096876446E-5</v>
          </cell>
          <cell r="K743">
            <v>2.5387813717047356E-5</v>
          </cell>
          <cell r="L743">
            <v>2.0034158368297116E-5</v>
          </cell>
          <cell r="M743">
            <v>1.9968701888085368E-5</v>
          </cell>
          <cell r="N743">
            <v>1.6473210126742432E-5</v>
          </cell>
          <cell r="O743">
            <v>6.3106367709251301E-5</v>
          </cell>
        </row>
        <row r="744">
          <cell r="A744" t="str">
            <v>T_C-FC-H2O-S4</v>
          </cell>
          <cell r="B744" t="str">
            <v>VAR_ncap</v>
          </cell>
          <cell r="C744" t="str">
            <v>-</v>
          </cell>
          <cell r="E744">
            <v>1.3780132133674299E-6</v>
          </cell>
          <cell r="F744">
            <v>9.3880704066776301E-7</v>
          </cell>
          <cell r="G744">
            <v>5.15462848946723E-7</v>
          </cell>
          <cell r="H744">
            <v>7.5736409175325996E-7</v>
          </cell>
          <cell r="I744">
            <v>1.0027498445341499E-6</v>
          </cell>
          <cell r="J744">
            <v>8.02884935334058E-7</v>
          </cell>
          <cell r="K744">
            <v>7.5064438923852897E-7</v>
          </cell>
          <cell r="L744">
            <v>6.4657788722356198E-7</v>
          </cell>
          <cell r="M744">
            <v>7.4577920449337496E-7</v>
          </cell>
          <cell r="N744">
            <v>6.5312266945418903E-7</v>
          </cell>
          <cell r="O744">
            <v>5.2792961637047502E-6</v>
          </cell>
        </row>
        <row r="745">
          <cell r="A745" t="str">
            <v>T_C-FC-H2O-S4</v>
          </cell>
          <cell r="B745" t="str">
            <v>VAR_cap</v>
          </cell>
          <cell r="C745" t="str">
            <v>-</v>
          </cell>
          <cell r="E745">
            <v>1.3596675154908999E-6</v>
          </cell>
          <cell r="F745">
            <v>2.20815049924013E-6</v>
          </cell>
          <cell r="G745">
            <v>1.694464566511462E-6</v>
          </cell>
          <cell r="H745">
            <v>1.9933114217815919E-6</v>
          </cell>
          <cell r="I745">
            <v>1.95866176368613E-6</v>
          </cell>
          <cell r="J745">
            <v>2.0215490658405485E-6</v>
          </cell>
          <cell r="K745">
            <v>1.944828723786438E-6</v>
          </cell>
          <cell r="L745">
            <v>1.80122335868577E-6</v>
          </cell>
          <cell r="M745">
            <v>1.7166515212221971E-6</v>
          </cell>
          <cell r="N745">
            <v>1.569928093330022E-6</v>
          </cell>
          <cell r="O745">
            <v>6.6781980376523198E-6</v>
          </cell>
        </row>
        <row r="746">
          <cell r="A746" t="str">
            <v>T_B_c-ICEDSL-S4</v>
          </cell>
          <cell r="B746" t="str">
            <v>VAR_fout</v>
          </cell>
          <cell r="C746" t="str">
            <v>CO2_T</v>
          </cell>
          <cell r="D746">
            <v>1.0513638341971268</v>
          </cell>
          <cell r="E746">
            <v>2.6547267907780541E-2</v>
          </cell>
          <cell r="F746">
            <v>3.1521531582063375E-2</v>
          </cell>
        </row>
        <row r="747">
          <cell r="A747" t="str">
            <v>T_B_c-ICEDSL-S4</v>
          </cell>
          <cell r="B747" t="str">
            <v>VAR_fout</v>
          </cell>
          <cell r="C747" t="str">
            <v>TPBSc</v>
          </cell>
          <cell r="D747">
            <v>5.5431804707040079E-4</v>
          </cell>
          <cell r="E747">
            <v>1.4100064637402717E-5</v>
          </cell>
          <cell r="F747">
            <v>1.6851715655302148E-5</v>
          </cell>
        </row>
        <row r="748">
          <cell r="A748" t="str">
            <v>T_B_c-ICEDSL-S4</v>
          </cell>
          <cell r="B748" t="str">
            <v>VAR_fin</v>
          </cell>
          <cell r="C748" t="str">
            <v>TDSL</v>
          </cell>
          <cell r="D748">
            <v>1.4343299238705684E-2</v>
          </cell>
          <cell r="E748">
            <v>3.6217282275280427E-4</v>
          </cell>
          <cell r="F748">
            <v>4.3003453727235132E-4</v>
          </cell>
        </row>
        <row r="749">
          <cell r="A749" t="str">
            <v>T_B_c-ICEDSL-S4</v>
          </cell>
          <cell r="B749" t="str">
            <v>VAR_ncap</v>
          </cell>
          <cell r="C749" t="str">
            <v>-</v>
          </cell>
          <cell r="E749">
            <v>5.8304859575300599E-8</v>
          </cell>
          <cell r="F749">
            <v>5.1656952143203098E-8</v>
          </cell>
        </row>
        <row r="750">
          <cell r="A750" t="str">
            <v>T_B_c-ICEDSL-S4</v>
          </cell>
          <cell r="B750" t="str">
            <v>VAR_cap</v>
          </cell>
          <cell r="C750" t="str">
            <v>-</v>
          </cell>
          <cell r="D750">
            <v>1.2126144990265801E-5</v>
          </cell>
          <cell r="E750">
            <v>4.4943616555099842E-7</v>
          </cell>
          <cell r="F750">
            <v>5.018742397017029E-7</v>
          </cell>
          <cell r="G750">
            <v>-3.6945493398402985E-9</v>
          </cell>
        </row>
        <row r="751">
          <cell r="A751" t="str">
            <v>D-T-ELC-HGV</v>
          </cell>
          <cell r="B751" t="str">
            <v>VAR_fout</v>
          </cell>
          <cell r="C751" t="str">
            <v>T-ELC-HGV_BatSTGin</v>
          </cell>
          <cell r="D751">
            <v>4.363381702430843E-3</v>
          </cell>
          <cell r="E751">
            <v>4.3417067798530119E-3</v>
          </cell>
          <cell r="F751">
            <v>4.5988235863945719E-3</v>
          </cell>
          <cell r="G751">
            <v>2.3549425506980419E-3</v>
          </cell>
          <cell r="H751">
            <v>1.7344896377474749E-3</v>
          </cell>
          <cell r="I751">
            <v>2.5138462804551835E-3</v>
          </cell>
          <cell r="J751">
            <v>2.7953742947343669E-3</v>
          </cell>
          <cell r="K751">
            <v>5.0124982802937593E-3</v>
          </cell>
          <cell r="L751">
            <v>6.1958192737480303E-3</v>
          </cell>
          <cell r="M751">
            <v>7.9456376318575647E-3</v>
          </cell>
          <cell r="N751">
            <v>1.3533116189263571E-2</v>
          </cell>
          <cell r="O751">
            <v>3.7143044981490375E-2</v>
          </cell>
        </row>
        <row r="752">
          <cell r="A752" t="str">
            <v>D-T-ELC-HGV</v>
          </cell>
          <cell r="B752" t="str">
            <v>VAR_fin</v>
          </cell>
          <cell r="C752" t="str">
            <v>TELC</v>
          </cell>
          <cell r="D752">
            <v>4.363381702430843E-3</v>
          </cell>
          <cell r="E752">
            <v>4.3417067798530119E-3</v>
          </cell>
          <cell r="F752">
            <v>4.5988235863945719E-3</v>
          </cell>
          <cell r="G752">
            <v>2.3549425506980419E-3</v>
          </cell>
          <cell r="H752">
            <v>1.7344896377474749E-3</v>
          </cell>
          <cell r="I752">
            <v>2.5138462804551835E-3</v>
          </cell>
          <cell r="J752">
            <v>2.7953742947343669E-3</v>
          </cell>
          <cell r="K752">
            <v>5.0124982802937593E-3</v>
          </cell>
          <cell r="L752">
            <v>6.1958192737480303E-3</v>
          </cell>
          <cell r="M752">
            <v>7.9456376318575647E-3</v>
          </cell>
          <cell r="N752">
            <v>1.3533116189263571E-2</v>
          </cell>
          <cell r="O752">
            <v>3.7143044981490375E-2</v>
          </cell>
        </row>
        <row r="753">
          <cell r="A753" t="str">
            <v>D-T-ELC-HGV</v>
          </cell>
          <cell r="B753" t="str">
            <v>VAR_ncap</v>
          </cell>
          <cell r="C753" t="str">
            <v>-</v>
          </cell>
          <cell r="D753">
            <v>5.9754993090641105E-4</v>
          </cell>
          <cell r="E753">
            <v>1.24442093508372E-4</v>
          </cell>
          <cell r="F753">
            <v>8.9692582655166297E-5</v>
          </cell>
          <cell r="G753">
            <v>1.4058312001106801E-4</v>
          </cell>
          <cell r="H753">
            <v>2.08307473167305E-4</v>
          </cell>
          <cell r="I753">
            <v>1.9116692503448E-4</v>
          </cell>
          <cell r="J753">
            <v>2.7703837928369501E-4</v>
          </cell>
          <cell r="K753">
            <v>4.6687927653064101E-4</v>
          </cell>
          <cell r="L753">
            <v>4.1073977940245102E-4</v>
          </cell>
          <cell r="M753">
            <v>8.4869553442744295E-4</v>
          </cell>
          <cell r="N753">
            <v>9.9948756051746607E-4</v>
          </cell>
          <cell r="O753">
            <v>3.5631202998189998E-3</v>
          </cell>
        </row>
        <row r="754">
          <cell r="A754" t="str">
            <v>D-T-ELC-HGV</v>
          </cell>
          <cell r="B754" t="str">
            <v>VAR_cap</v>
          </cell>
          <cell r="C754" t="str">
            <v>-</v>
          </cell>
          <cell r="D754">
            <v>5.9754993090641105E-4</v>
          </cell>
          <cell r="E754">
            <v>7.2199202441478299E-4</v>
          </cell>
          <cell r="F754">
            <v>8.1168460706994901E-4</v>
          </cell>
          <cell r="G754">
            <v>3.3580257895503399E-4</v>
          </cell>
          <cell r="H754">
            <v>2.4476552847763701E-4</v>
          </cell>
          <cell r="I754">
            <v>3.5984455564494098E-4</v>
          </cell>
          <cell r="J754">
            <v>3.7616053199601203E-4</v>
          </cell>
          <cell r="K754">
            <v>6.5384218255701298E-4</v>
          </cell>
          <cell r="L754">
            <v>7.52353831449999E-4</v>
          </cell>
          <cell r="M754">
            <v>9.5521453610011202E-4</v>
          </cell>
          <cell r="N754">
            <v>1.5791349915973999E-3</v>
          </cell>
          <cell r="O754">
            <v>4.2376373083819101E-3</v>
          </cell>
        </row>
        <row r="755">
          <cell r="A755" t="str">
            <v>T_TW-FCLH2O-S3</v>
          </cell>
          <cell r="B755" t="str">
            <v>VAR_fout</v>
          </cell>
          <cell r="C755" t="str">
            <v>TPTWL</v>
          </cell>
          <cell r="G755">
            <v>4.3137353509997016E-5</v>
          </cell>
          <cell r="H755">
            <v>1.2665614758970261E-4</v>
          </cell>
          <cell r="I755">
            <v>2.0852800824104658E-4</v>
          </cell>
          <cell r="J755">
            <v>3.0237116369320142E-4</v>
          </cell>
          <cell r="K755">
            <v>4.2649334378376443E-4</v>
          </cell>
          <cell r="L755">
            <v>5.190640783245238E-4</v>
          </cell>
          <cell r="M755">
            <v>6.3281714230076864E-4</v>
          </cell>
          <cell r="N755">
            <v>7.3947515842767209E-4</v>
          </cell>
          <cell r="O755">
            <v>9.1789480508929042E-4</v>
          </cell>
        </row>
        <row r="756">
          <cell r="A756" t="str">
            <v>T_TW-FCLH2O-S3</v>
          </cell>
          <cell r="B756" t="str">
            <v>VAR_fin</v>
          </cell>
          <cell r="C756" t="str">
            <v>TH2O</v>
          </cell>
          <cell r="G756">
            <v>2.4500831737985115E-5</v>
          </cell>
          <cell r="H756">
            <v>7.1174374614872319E-5</v>
          </cell>
          <cell r="I756">
            <v>1.1621019663628777E-4</v>
          </cell>
          <cell r="J756">
            <v>1.6667542915550676E-4</v>
          </cell>
          <cell r="K756">
            <v>2.3185861072657279E-4</v>
          </cell>
          <cell r="L756">
            <v>2.7952425981698397E-4</v>
          </cell>
          <cell r="M756">
            <v>3.3834443656733401E-4</v>
          </cell>
          <cell r="N756">
            <v>3.9433938548798545E-4</v>
          </cell>
          <cell r="O756">
            <v>4.8948510204339468E-4</v>
          </cell>
        </row>
        <row r="757">
          <cell r="A757" t="str">
            <v>T_TW-FCLH2O-S3</v>
          </cell>
          <cell r="B757" t="str">
            <v>VAR_ncap</v>
          </cell>
          <cell r="C757" t="str">
            <v>-</v>
          </cell>
          <cell r="G757">
            <v>1.5198741439661201E-5</v>
          </cell>
          <cell r="H757">
            <v>3.1178461640180102E-5</v>
          </cell>
          <cell r="I757">
            <v>3.07101546694673E-5</v>
          </cell>
          <cell r="J757">
            <v>4.07532139064182E-5</v>
          </cell>
          <cell r="K757">
            <v>5.8792342363438403E-5</v>
          </cell>
          <cell r="L757">
            <v>6.3240377162221902E-5</v>
          </cell>
          <cell r="M757">
            <v>8.1773339736658895E-5</v>
          </cell>
          <cell r="N757">
            <v>8.3712271632652393E-5</v>
          </cell>
          <cell r="O757">
            <v>1.3104733847169801E-4</v>
          </cell>
        </row>
        <row r="758">
          <cell r="A758" t="str">
            <v>T_TW-FCLH2O-S3</v>
          </cell>
          <cell r="B758" t="str">
            <v>VAR_cap</v>
          </cell>
          <cell r="C758" t="str">
            <v>-</v>
          </cell>
          <cell r="G758">
            <v>1.5198741439661201E-5</v>
          </cell>
          <cell r="H758">
            <v>4.6322368483629577E-5</v>
          </cell>
          <cell r="I758">
            <v>7.6944779937461539E-5</v>
          </cell>
          <cell r="J758">
            <v>1.1283944335241208E-4</v>
          </cell>
          <cell r="K758">
            <v>1.6122062725752064E-4</v>
          </cell>
          <cell r="L758">
            <v>1.9862383068739112E-4</v>
          </cell>
          <cell r="M758">
            <v>2.4419982147115354E-4</v>
          </cell>
          <cell r="N758">
            <v>2.872146287483277E-4</v>
          </cell>
          <cell r="O758">
            <v>3.5947038364214298E-4</v>
          </cell>
        </row>
        <row r="759">
          <cell r="A759" t="str">
            <v>D-T-ELC-TW_Bat_S3</v>
          </cell>
          <cell r="B759" t="str">
            <v>VAR_fout</v>
          </cell>
          <cell r="C759" t="str">
            <v>T-ELC-TWSTGin_S3</v>
          </cell>
          <cell r="D759">
            <v>8.4698693869994279E-5</v>
          </cell>
          <cell r="E759">
            <v>1.5792441482100476E-4</v>
          </cell>
          <cell r="F759">
            <v>1.8875280002692189E-4</v>
          </cell>
          <cell r="G759">
            <v>3.9750893852591685E-3</v>
          </cell>
          <cell r="H759">
            <v>9.2052100413754206E-3</v>
          </cell>
          <cell r="I759">
            <v>8.9192100988406599E-3</v>
          </cell>
          <cell r="J759">
            <v>7.7864326550064296E-3</v>
          </cell>
          <cell r="K759">
            <v>1.6420456366938559E-2</v>
          </cell>
          <cell r="L759">
            <v>1.282888614750537E-2</v>
          </cell>
          <cell r="M759">
            <v>1.8157981007487004E-2</v>
          </cell>
          <cell r="N759">
            <v>1.7990192973508949E-2</v>
          </cell>
          <cell r="O759">
            <v>3.2223982170221953E-2</v>
          </cell>
        </row>
        <row r="760">
          <cell r="A760" t="str">
            <v>D-T-ELC-TW_Bat_S3</v>
          </cell>
          <cell r="B760" t="str">
            <v>VAR_fin</v>
          </cell>
          <cell r="C760" t="str">
            <v>TELC</v>
          </cell>
          <cell r="D760">
            <v>8.4698693869994279E-5</v>
          </cell>
          <cell r="E760">
            <v>1.5792441482100476E-4</v>
          </cell>
          <cell r="F760">
            <v>1.8875280002692189E-4</v>
          </cell>
          <cell r="G760">
            <v>3.9750893852591685E-3</v>
          </cell>
          <cell r="H760">
            <v>9.2052100413754206E-3</v>
          </cell>
          <cell r="I760">
            <v>8.9192100988406599E-3</v>
          </cell>
          <cell r="J760">
            <v>7.7864326550064296E-3</v>
          </cell>
          <cell r="K760">
            <v>1.6420456366938559E-2</v>
          </cell>
          <cell r="L760">
            <v>1.282888614750537E-2</v>
          </cell>
          <cell r="M760">
            <v>1.8157981007487004E-2</v>
          </cell>
          <cell r="N760">
            <v>1.7990192973508949E-2</v>
          </cell>
          <cell r="O760">
            <v>3.2223982170221953E-2</v>
          </cell>
        </row>
        <row r="761">
          <cell r="A761" t="str">
            <v>D-T-ELC-TW_Bat_S3</v>
          </cell>
          <cell r="B761" t="str">
            <v>VAR_ncap</v>
          </cell>
          <cell r="C761" t="str">
            <v>-</v>
          </cell>
          <cell r="D761">
            <v>1.1404634268264401E-4</v>
          </cell>
          <cell r="E761">
            <v>7.6910027704112199E-7</v>
          </cell>
          <cell r="F761">
            <v>2.2533244293320201E-6</v>
          </cell>
          <cell r="G761">
            <v>3.0327769483822099E-4</v>
          </cell>
          <cell r="H761">
            <v>5.5380099198652896E-4</v>
          </cell>
          <cell r="I761">
            <v>3.6617097652013902E-5</v>
          </cell>
          <cell r="J761">
            <v>2.61790545870086E-5</v>
          </cell>
          <cell r="K761">
            <v>1.1220206700953601E-3</v>
          </cell>
          <cell r="L761">
            <v>9.5953769015503906E-6</v>
          </cell>
          <cell r="M761">
            <v>7.6465880590495603E-4</v>
          </cell>
          <cell r="N761">
            <v>8.9060332179861205E-6</v>
          </cell>
          <cell r="O761">
            <v>2.6312280932938902E-3</v>
          </cell>
        </row>
        <row r="762">
          <cell r="A762" t="str">
            <v>D-T-ELC-TW_Bat_S3</v>
          </cell>
          <cell r="B762" t="str">
            <v>VAR_cap</v>
          </cell>
          <cell r="C762" t="str">
            <v>-</v>
          </cell>
          <cell r="D762">
            <v>1.1404634268264401E-4</v>
          </cell>
          <cell r="E762">
            <v>1.14815442959685E-4</v>
          </cell>
          <cell r="F762">
            <v>1.1706876738901699E-4</v>
          </cell>
          <cell r="G762">
            <v>4.2034646222723797E-4</v>
          </cell>
          <cell r="H762">
            <v>9.7414745421376704E-4</v>
          </cell>
          <cell r="I762">
            <v>9.4373654757438203E-4</v>
          </cell>
          <cell r="J762">
            <v>8.2413077098067097E-4</v>
          </cell>
          <cell r="K762">
            <v>1.73861781432091E-3</v>
          </cell>
          <cell r="L762">
            <v>1.3576727046549001E-3</v>
          </cell>
          <cell r="M762">
            <v>1.92245390748887E-3</v>
          </cell>
          <cell r="N762">
            <v>1.90518088611985E-3</v>
          </cell>
          <cell r="O762">
            <v>3.4143883093183799E-3</v>
          </cell>
        </row>
        <row r="763">
          <cell r="A763" t="str">
            <v>T_TW-FCLH2O-S4</v>
          </cell>
          <cell r="B763" t="str">
            <v>VAR_fout</v>
          </cell>
          <cell r="C763" t="str">
            <v>TPTWL</v>
          </cell>
          <cell r="G763">
            <v>2.6091846690497293E-5</v>
          </cell>
          <cell r="H763">
            <v>6.7105710761805506E-5</v>
          </cell>
          <cell r="I763">
            <v>1.1706955148711944E-4</v>
          </cell>
          <cell r="J763">
            <v>1.8673027574166994E-4</v>
          </cell>
          <cell r="K763">
            <v>2.9148704618124508E-4</v>
          </cell>
          <cell r="L763">
            <v>3.6216959950196648E-4</v>
          </cell>
          <cell r="M763">
            <v>4.536855628438225E-4</v>
          </cell>
          <cell r="N763">
            <v>5.2148934945643079E-4</v>
          </cell>
          <cell r="O763">
            <v>6.7579502305674876E-4</v>
          </cell>
        </row>
        <row r="764">
          <cell r="A764" t="str">
            <v>T_TW-FCLH2O-S4</v>
          </cell>
          <cell r="B764" t="str">
            <v>VAR_fin</v>
          </cell>
          <cell r="C764" t="str">
            <v>TH2O</v>
          </cell>
          <cell r="G764">
            <v>1.6703686847906681E-5</v>
          </cell>
          <cell r="H764">
            <v>4.2473598478376779E-5</v>
          </cell>
          <cell r="I764">
            <v>7.3306811002806638E-5</v>
          </cell>
          <cell r="J764">
            <v>1.1558987051483859E-4</v>
          </cell>
          <cell r="K764">
            <v>1.7802241991009312E-4</v>
          </cell>
          <cell r="L764">
            <v>2.1894659663520272E-4</v>
          </cell>
          <cell r="M764">
            <v>2.7216920337795836E-4</v>
          </cell>
          <cell r="N764">
            <v>3.1137566340931714E-4</v>
          </cell>
          <cell r="O764">
            <v>4.0274184697789811E-4</v>
          </cell>
        </row>
        <row r="765">
          <cell r="A765" t="str">
            <v>T_TW-FCLH2O-S4</v>
          </cell>
          <cell r="B765" t="str">
            <v>VAR_ncap</v>
          </cell>
          <cell r="C765" t="str">
            <v>-</v>
          </cell>
          <cell r="G765">
            <v>8.6608152393080304E-6</v>
          </cell>
          <cell r="H765">
            <v>1.4876350899591499E-5</v>
          </cell>
          <cell r="I765">
            <v>1.8609429329711601E-5</v>
          </cell>
          <cell r="J765">
            <v>2.5147908603820801E-5</v>
          </cell>
          <cell r="K765">
            <v>3.9634918587532103E-5</v>
          </cell>
          <cell r="L765">
            <v>3.8244789875304203E-5</v>
          </cell>
          <cell r="M765">
            <v>5.00525290236709E-5</v>
          </cell>
          <cell r="N765">
            <v>5.12021595987799E-5</v>
          </cell>
          <cell r="O765">
            <v>8.1904332740120105E-5</v>
          </cell>
        </row>
        <row r="766">
          <cell r="A766" t="str">
            <v>T_TW-FCLH2O-S4</v>
          </cell>
          <cell r="B766" t="str">
            <v>VAR_cap</v>
          </cell>
          <cell r="C766" t="str">
            <v>-</v>
          </cell>
          <cell r="G766">
            <v>8.6608152393080304E-6</v>
          </cell>
          <cell r="H766">
            <v>2.3496743135951366E-5</v>
          </cell>
          <cell r="I766">
            <v>4.2065408802481583E-5</v>
          </cell>
          <cell r="J766">
            <v>6.7162677181676123E-5</v>
          </cell>
          <cell r="K766">
            <v>1.0674403167626008E-4</v>
          </cell>
          <cell r="L766">
            <v>1.3626895358175939E-4</v>
          </cell>
          <cell r="M766">
            <v>1.7137679357895255E-4</v>
          </cell>
          <cell r="N766">
            <v>2.0007474347840353E-4</v>
          </cell>
          <cell r="O766">
            <v>2.6083077172988348E-4</v>
          </cell>
        </row>
        <row r="767">
          <cell r="A767" t="str">
            <v>D-T-ELC-TW_Bat_S4</v>
          </cell>
          <cell r="B767" t="str">
            <v>VAR_fout</v>
          </cell>
          <cell r="C767" t="str">
            <v>T-ELC-TWSTGin_S4</v>
          </cell>
          <cell r="D767">
            <v>4.8518972305526096E-5</v>
          </cell>
          <cell r="E767">
            <v>9.1765344211946245E-5</v>
          </cell>
          <cell r="F767">
            <v>1.1983549177750268E-4</v>
          </cell>
          <cell r="G767">
            <v>4.5451636472817877E-3</v>
          </cell>
          <cell r="H767">
            <v>9.2879527607230439E-3</v>
          </cell>
          <cell r="I767">
            <v>1.0437662155083311E-2</v>
          </cell>
          <cell r="J767">
            <v>1.0605910975616096E-2</v>
          </cell>
          <cell r="K767">
            <v>1.9310959957456787E-2</v>
          </cell>
          <cell r="L767">
            <v>1.5948951100254776E-2</v>
          </cell>
          <cell r="M767">
            <v>2.3966360375560256E-2</v>
          </cell>
          <cell r="N767">
            <v>2.2770396354814076E-2</v>
          </cell>
          <cell r="O767">
            <v>4.1929945092910009E-2</v>
          </cell>
        </row>
        <row r="768">
          <cell r="A768" t="str">
            <v>D-T-ELC-TW_Bat_S4</v>
          </cell>
          <cell r="B768" t="str">
            <v>VAR_fin</v>
          </cell>
          <cell r="C768" t="str">
            <v>TELC</v>
          </cell>
          <cell r="D768">
            <v>4.8518972305526096E-5</v>
          </cell>
          <cell r="E768">
            <v>9.1765344211946245E-5</v>
          </cell>
          <cell r="F768">
            <v>1.1983549177750268E-4</v>
          </cell>
          <cell r="G768">
            <v>4.5451636472817877E-3</v>
          </cell>
          <cell r="H768">
            <v>9.2879527607230439E-3</v>
          </cell>
          <cell r="I768">
            <v>1.0437662155083311E-2</v>
          </cell>
          <cell r="J768">
            <v>1.0605910975616096E-2</v>
          </cell>
          <cell r="K768">
            <v>1.9310959957456787E-2</v>
          </cell>
          <cell r="L768">
            <v>1.5948951100254776E-2</v>
          </cell>
          <cell r="M768">
            <v>2.3966360375560256E-2</v>
          </cell>
          <cell r="N768">
            <v>2.2770396354814076E-2</v>
          </cell>
          <cell r="O768">
            <v>4.1929945092910009E-2</v>
          </cell>
        </row>
        <row r="769">
          <cell r="A769" t="str">
            <v>D-T-ELC-TW_Bat_S4</v>
          </cell>
          <cell r="B769" t="str">
            <v>VAR_ncap</v>
          </cell>
          <cell r="C769" t="str">
            <v>-</v>
          </cell>
          <cell r="D769">
            <v>1.16104356012872E-4</v>
          </cell>
          <cell r="E769">
            <v>7.8154607675393303E-7</v>
          </cell>
          <cell r="F769">
            <v>2.3037872383422398E-6</v>
          </cell>
          <cell r="G769">
            <v>3.6156747324780301E-4</v>
          </cell>
          <cell r="H769">
            <v>5.0205743292940498E-4</v>
          </cell>
          <cell r="I769">
            <v>1.21564705189714E-4</v>
          </cell>
          <cell r="J769">
            <v>9.3471252689085097E-5</v>
          </cell>
          <cell r="K769">
            <v>9.6526805712303203E-4</v>
          </cell>
          <cell r="L769">
            <v>5.3055580988955297E-6</v>
          </cell>
          <cell r="M769">
            <v>1.35104879741372E-3</v>
          </cell>
          <cell r="N769">
            <v>9.9347155709774501E-6</v>
          </cell>
          <cell r="O769">
            <v>2.1089605850295999E-3</v>
          </cell>
        </row>
        <row r="770">
          <cell r="A770" t="str">
            <v>D-T-ELC-TW_Bat_S4</v>
          </cell>
          <cell r="B770" t="str">
            <v>VAR_cap</v>
          </cell>
          <cell r="C770" t="str">
            <v>-</v>
          </cell>
          <cell r="D770">
            <v>1.16104356012872E-4</v>
          </cell>
          <cell r="E770">
            <v>1.16885902089626E-4</v>
          </cell>
          <cell r="F770">
            <v>1.19189689327969E-4</v>
          </cell>
          <cell r="G770">
            <v>4.8075716257577202E-4</v>
          </cell>
          <cell r="H770">
            <v>9.8281459550517689E-4</v>
          </cell>
          <cell r="I770">
            <v>1.1043793006948899E-3</v>
          </cell>
          <cell r="J770">
            <v>1.1219975689367499E-3</v>
          </cell>
          <cell r="K770">
            <v>2.0439289211790401E-3</v>
          </cell>
          <cell r="L770">
            <v>1.6876670060301301E-3</v>
          </cell>
          <cell r="M770">
            <v>2.5366583705144501E-3</v>
          </cell>
          <cell r="N770">
            <v>2.4103954591140199E-3</v>
          </cell>
          <cell r="O770">
            <v>4.4405177132362302E-3</v>
          </cell>
        </row>
        <row r="771">
          <cell r="A771" t="str">
            <v>T_B_u-ICENGA-S1</v>
          </cell>
          <cell r="B771" t="str">
            <v>VAR_fout</v>
          </cell>
          <cell r="C771" t="str">
            <v>CO2_T</v>
          </cell>
          <cell r="E771">
            <v>5.88399322080167E-3</v>
          </cell>
          <cell r="F771">
            <v>6.7981182025849407E-2</v>
          </cell>
          <cell r="I771">
            <v>3.03075249594423E-5</v>
          </cell>
          <cell r="J771">
            <v>3.20098087400106E-5</v>
          </cell>
          <cell r="K771">
            <v>2.9555098472186701E-5</v>
          </cell>
          <cell r="L771">
            <v>4.5534798705105202E-5</v>
          </cell>
          <cell r="M771">
            <v>2.9867219475060901E-5</v>
          </cell>
          <cell r="N771">
            <v>1.47193196518631E-5</v>
          </cell>
          <cell r="O771">
            <v>8.5371814887456388E-5</v>
          </cell>
        </row>
        <row r="772">
          <cell r="A772" t="str">
            <v>T_B_u-ICENGA-S1</v>
          </cell>
          <cell r="B772" t="str">
            <v>VAR_fout</v>
          </cell>
          <cell r="C772" t="str">
            <v>TPBSu</v>
          </cell>
          <cell r="E772">
            <v>1.2543914026347849E-5</v>
          </cell>
          <cell r="F772">
            <v>1.5204246443055903E-4</v>
          </cell>
          <cell r="I772">
            <v>8.2168796842559912E-8</v>
          </cell>
          <cell r="J772">
            <v>9.1089051801537209E-8</v>
          </cell>
          <cell r="K772">
            <v>8.8078716873105091E-8</v>
          </cell>
          <cell r="L772">
            <v>1.357006692701454E-7</v>
          </cell>
          <cell r="M772">
            <v>8.9008885231981605E-8</v>
          </cell>
          <cell r="N772">
            <v>4.38658253634728E-8</v>
          </cell>
          <cell r="O772">
            <v>2.5442107457336687E-7</v>
          </cell>
        </row>
        <row r="773">
          <cell r="A773" t="str">
            <v>T_B_u-ICENGA-S1</v>
          </cell>
          <cell r="B773" t="str">
            <v>VAR_fin</v>
          </cell>
          <cell r="C773" t="str">
            <v>TNGA</v>
          </cell>
          <cell r="E773">
            <v>1.0432612093619996E-4</v>
          </cell>
          <cell r="F773">
            <v>1.2053401068412998E-3</v>
          </cell>
          <cell r="I773">
            <v>5.3736746381989873E-7</v>
          </cell>
          <cell r="J773">
            <v>5.6754980035479763E-7</v>
          </cell>
          <cell r="K773">
            <v>5.2402656865579303E-7</v>
          </cell>
          <cell r="L773">
            <v>8.0735458696995066E-7</v>
          </cell>
          <cell r="M773">
            <v>5.2956062899044239E-7</v>
          </cell>
          <cell r="N773">
            <v>2.6098084489119025E-7</v>
          </cell>
          <cell r="O773">
            <v>1.5136846611251141E-6</v>
          </cell>
        </row>
        <row r="774">
          <cell r="A774" t="str">
            <v>T_B_u-ICENGA-S1</v>
          </cell>
          <cell r="B774" t="str">
            <v>VAR_ncap</v>
          </cell>
          <cell r="C774" t="str">
            <v>-</v>
          </cell>
          <cell r="E774">
            <v>3.1127030515773501E-7</v>
          </cell>
          <cell r="F774">
            <v>2.6801238784836799E-6</v>
          </cell>
          <cell r="G774">
            <v>1.08679568776237E-8</v>
          </cell>
          <cell r="H774">
            <v>1.0396277999362001E-8</v>
          </cell>
          <cell r="I774">
            <v>1.28055107976731E-8</v>
          </cell>
          <cell r="J774">
            <v>1.29538314021516E-8</v>
          </cell>
          <cell r="K774">
            <v>1.44596644609188E-8</v>
          </cell>
          <cell r="L774">
            <v>1.5463275573883098E-8</v>
          </cell>
          <cell r="M774">
            <v>1.46162278808965E-8</v>
          </cell>
          <cell r="N774">
            <v>1.4007071138047E-8</v>
          </cell>
          <cell r="O774">
            <v>1.69579722725665E-8</v>
          </cell>
        </row>
        <row r="775">
          <cell r="A775" t="str">
            <v>T_B_u-ICENGA-S1</v>
          </cell>
          <cell r="B775" t="str">
            <v>VAR_cap</v>
          </cell>
          <cell r="C775" t="str">
            <v>-</v>
          </cell>
          <cell r="E775">
            <v>3.1127030515773501E-7</v>
          </cell>
          <cell r="F775">
            <v>2.9913941836414098E-6</v>
          </cell>
          <cell r="G775">
            <v>2.4618406391860106E-8</v>
          </cell>
          <cell r="H775">
            <v>2.7442950413809999E-8</v>
          </cell>
          <cell r="I775">
            <v>2.5484026462196101E-8</v>
          </cell>
          <cell r="J775">
            <v>3.11499266605341E-8</v>
          </cell>
          <cell r="K775">
            <v>3.1787822975449398E-8</v>
          </cell>
          <cell r="L775">
            <v>3.57497114711432E-8</v>
          </cell>
          <cell r="M775">
            <v>3.7487822874657597E-8</v>
          </cell>
          <cell r="N775">
            <v>3.1362184128505498E-8</v>
          </cell>
          <cell r="O775">
            <v>4.08289923942224E-8</v>
          </cell>
        </row>
        <row r="776">
          <cell r="A776" t="str">
            <v>T_B_u-ICENGA-S2</v>
          </cell>
          <cell r="B776" t="str">
            <v>VAR_fout</v>
          </cell>
          <cell r="C776" t="str">
            <v>CO2_T</v>
          </cell>
          <cell r="E776">
            <v>3.7183852936284998E-3</v>
          </cell>
          <cell r="F776">
            <v>0.93917108932528648</v>
          </cell>
        </row>
        <row r="777">
          <cell r="A777" t="str">
            <v>T_B_u-ICENGA-S2</v>
          </cell>
          <cell r="B777" t="str">
            <v>VAR_fout</v>
          </cell>
          <cell r="C777" t="str">
            <v>TPBSu</v>
          </cell>
          <cell r="E777">
            <v>5.6038226357050538E-6</v>
          </cell>
          <cell r="F777">
            <v>1.4886968013086998E-3</v>
          </cell>
        </row>
        <row r="778">
          <cell r="A778" t="str">
            <v>T_B_u-ICENGA-S2</v>
          </cell>
          <cell r="B778" t="str">
            <v>VAR_fin</v>
          </cell>
          <cell r="C778" t="str">
            <v>TNGA</v>
          </cell>
          <cell r="E778">
            <v>6.5928817262916626E-5</v>
          </cell>
          <cell r="F778">
            <v>1.6651969668888045E-2</v>
          </cell>
        </row>
        <row r="779">
          <cell r="A779" t="str">
            <v>T_B_u-ICENGA-S2</v>
          </cell>
          <cell r="B779" t="str">
            <v>VAR_ncap</v>
          </cell>
          <cell r="C779" t="str">
            <v>-</v>
          </cell>
          <cell r="E779">
            <v>1.44397875233088E-7</v>
          </cell>
          <cell r="F779">
            <v>2.7967391827095599E-5</v>
          </cell>
        </row>
        <row r="780">
          <cell r="A780" t="str">
            <v>T_B_u-ICENGA-S2</v>
          </cell>
          <cell r="B780" t="str">
            <v>VAR_cap</v>
          </cell>
          <cell r="C780" t="str">
            <v>-</v>
          </cell>
          <cell r="E780">
            <v>1.44397875233088E-7</v>
          </cell>
          <cell r="F780">
            <v>2.8111789702328699E-5</v>
          </cell>
          <cell r="G780">
            <v>4.7435420417984411E-9</v>
          </cell>
          <cell r="H780">
            <v>2.337892971400872E-9</v>
          </cell>
        </row>
        <row r="781">
          <cell r="A781" t="str">
            <v>T_B_c-ICEDSLEXT</v>
          </cell>
          <cell r="B781" t="str">
            <v>VAR_fout</v>
          </cell>
          <cell r="C781" t="str">
            <v>CO2_T</v>
          </cell>
          <cell r="D781">
            <v>0.44189295030985298</v>
          </cell>
          <cell r="E781">
            <v>0.44079220985537199</v>
          </cell>
          <cell r="F781">
            <v>0.43759448535326001</v>
          </cell>
        </row>
        <row r="782">
          <cell r="A782" t="str">
            <v>T_B_c-ICEDSLEXT</v>
          </cell>
          <cell r="B782" t="str">
            <v>VAR_fout</v>
          </cell>
          <cell r="C782" t="str">
            <v>TPBSc</v>
          </cell>
          <cell r="D782">
            <v>5.9985609133677148E-2</v>
          </cell>
          <cell r="E782">
            <v>4.7986375779323236E-2</v>
          </cell>
          <cell r="F782">
            <v>2.9992488642788948E-2</v>
          </cell>
        </row>
        <row r="783">
          <cell r="A783" t="str">
            <v>T_B_c-ICEDSLEXT</v>
          </cell>
          <cell r="B783" t="str">
            <v>VAR_fin</v>
          </cell>
          <cell r="C783" t="str">
            <v>TDSL</v>
          </cell>
          <cell r="D783">
            <v>6.0285532102299141E-3</v>
          </cell>
          <cell r="E783">
            <v>6.0135362872492781E-3</v>
          </cell>
          <cell r="F783">
            <v>5.9699111235096787E-3</v>
          </cell>
        </row>
        <row r="784">
          <cell r="A784" t="str">
            <v>T_B_c-ICEDSLEXT</v>
          </cell>
          <cell r="B784" t="str">
            <v>VAR_cap</v>
          </cell>
          <cell r="C784" t="str">
            <v>-</v>
          </cell>
          <cell r="D784">
            <v>1.3033157877014576E-3</v>
          </cell>
          <cell r="E784">
            <v>1.04265638017014E-3</v>
          </cell>
          <cell r="F784">
            <v>6.5166023760633498E-4</v>
          </cell>
        </row>
        <row r="785">
          <cell r="A785" t="str">
            <v>T_B_u-ICENGA-S3</v>
          </cell>
          <cell r="B785" t="str">
            <v>VAR_fout</v>
          </cell>
          <cell r="C785" t="str">
            <v>CO2_T</v>
          </cell>
          <cell r="E785">
            <v>2.66108768692103E-3</v>
          </cell>
          <cell r="F785">
            <v>1.978549488596721E-2</v>
          </cell>
        </row>
        <row r="786">
          <cell r="A786" t="str">
            <v>T_B_u-ICENGA-S3</v>
          </cell>
          <cell r="B786" t="str">
            <v>VAR_fout</v>
          </cell>
          <cell r="C786" t="str">
            <v>TPBSu</v>
          </cell>
          <cell r="E786">
            <v>2.6621319968707989E-6</v>
          </cell>
          <cell r="F786">
            <v>2.0631385077037893E-5</v>
          </cell>
        </row>
        <row r="787">
          <cell r="A787" t="str">
            <v>T_B_u-ICENGA-S3</v>
          </cell>
          <cell r="B787" t="str">
            <v>VAR_fin</v>
          </cell>
          <cell r="C787" t="str">
            <v>TNGA</v>
          </cell>
          <cell r="E787">
            <v>4.7182405796472125E-5</v>
          </cell>
          <cell r="F787">
            <v>3.5080664691431205E-4</v>
          </cell>
        </row>
        <row r="788">
          <cell r="A788" t="str">
            <v>T_B_u-ICENGA-S3</v>
          </cell>
          <cell r="B788" t="str">
            <v>VAR_ncap</v>
          </cell>
          <cell r="C788" t="str">
            <v>-</v>
          </cell>
          <cell r="E788">
            <v>6.5648414216518098E-8</v>
          </cell>
          <cell r="F788">
            <v>3.1625450383193201E-7</v>
          </cell>
        </row>
        <row r="789">
          <cell r="A789" t="str">
            <v>T_B_u-ICENGA-S3</v>
          </cell>
          <cell r="B789" t="str">
            <v>VAR_cap</v>
          </cell>
          <cell r="C789" t="str">
            <v>-</v>
          </cell>
          <cell r="E789">
            <v>6.5648414216518098E-8</v>
          </cell>
          <cell r="F789">
            <v>3.8190291804845002E-7</v>
          </cell>
          <cell r="G789">
            <v>4.4648048809820122E-9</v>
          </cell>
        </row>
        <row r="790">
          <cell r="A790" t="str">
            <v>T_B_u-ICENGA-S4</v>
          </cell>
          <cell r="B790" t="str">
            <v>VAR_fout</v>
          </cell>
          <cell r="C790" t="str">
            <v>CO2_T</v>
          </cell>
          <cell r="F790">
            <v>1.198083222234252E-3</v>
          </cell>
        </row>
        <row r="791">
          <cell r="A791" t="str">
            <v>T_B_u-ICENGA-S4</v>
          </cell>
          <cell r="B791" t="str">
            <v>VAR_fout</v>
          </cell>
          <cell r="C791" t="str">
            <v>TPBSu</v>
          </cell>
          <cell r="F791">
            <v>8.3411993221145529E-7</v>
          </cell>
        </row>
        <row r="792">
          <cell r="A792" t="str">
            <v>T_B_u-ICENGA-S4</v>
          </cell>
          <cell r="B792" t="str">
            <v>VAR_fin</v>
          </cell>
          <cell r="C792" t="str">
            <v>TNGA</v>
          </cell>
          <cell r="F792">
            <v>2.1242610323302345E-5</v>
          </cell>
        </row>
        <row r="793">
          <cell r="A793" t="str">
            <v>T_B_u-ICENGA-S4</v>
          </cell>
          <cell r="B793" t="str">
            <v>VAR_ncap</v>
          </cell>
          <cell r="C793" t="str">
            <v>-</v>
          </cell>
          <cell r="E793">
            <v>1.00210411122295E-8</v>
          </cell>
          <cell r="F793">
            <v>2.0899872652835901E-8</v>
          </cell>
        </row>
        <row r="794">
          <cell r="A794" t="str">
            <v>T_B_u-ICENGA-S4</v>
          </cell>
          <cell r="B794" t="str">
            <v>VAR_cap</v>
          </cell>
          <cell r="C794" t="str">
            <v>-</v>
          </cell>
          <cell r="E794">
            <v>1.00210411122295E-8</v>
          </cell>
          <cell r="F794">
            <v>3.0920913765065302E-8</v>
          </cell>
          <cell r="G794">
            <v>2.0645718492898313E-11</v>
          </cell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18.873149273927272</v>
          </cell>
          <cell r="C9">
            <v>22.214285116772967</v>
          </cell>
          <cell r="D9">
            <v>26.234636902244215</v>
          </cell>
          <cell r="E9">
            <v>30.738028003053515</v>
          </cell>
          <cell r="F9">
            <v>39.040464008744493</v>
          </cell>
          <cell r="G9">
            <v>42.045114810552285</v>
          </cell>
          <cell r="H9">
            <v>43.884356412562568</v>
          </cell>
          <cell r="I9">
            <v>47.005920125314432</v>
          </cell>
          <cell r="J9">
            <v>49.152049978690272</v>
          </cell>
          <cell r="K9">
            <v>52.347242590104699</v>
          </cell>
          <cell r="L9">
            <v>54.343507548824839</v>
          </cell>
          <cell r="M9">
            <v>55.78608166947631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3.048067359934987E-4</v>
          </cell>
          <cell r="H28">
            <v>3.6915764314641282E-2</v>
          </cell>
          <cell r="I28">
            <v>7.8234486373157941E-2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</sheetData>
      <sheetData sheetId="56"/>
      <sheetData sheetId="57"/>
      <sheetData sheetId="58">
        <row r="14">
          <cell r="B14">
            <v>82.760006147636844</v>
          </cell>
          <cell r="C14">
            <v>83.109712014280547</v>
          </cell>
          <cell r="D14">
            <v>73.072385704255808</v>
          </cell>
          <cell r="E14">
            <v>73.078864134710372</v>
          </cell>
          <cell r="F14">
            <v>57.368236951326253</v>
          </cell>
          <cell r="G14">
            <v>33.16592444893142</v>
          </cell>
          <cell r="H14">
            <v>0.85477716286081373</v>
          </cell>
          <cell r="I14">
            <v>5.8362318156821198</v>
          </cell>
          <cell r="J14">
            <v>5.792451448058836</v>
          </cell>
          <cell r="K14">
            <v>5.7451828872914605</v>
          </cell>
          <cell r="L14">
            <v>5.3990749029885654</v>
          </cell>
          <cell r="M14">
            <v>5.6535356383894078</v>
          </cell>
        </row>
        <row r="15">
          <cell r="B15">
            <v>66.745679999996938</v>
          </cell>
          <cell r="C15">
            <v>49.79880272042594</v>
          </cell>
          <cell r="D15">
            <v>68.534766593212652</v>
          </cell>
          <cell r="E15">
            <v>69.617936454117398</v>
          </cell>
          <cell r="F15">
            <v>70.70230294535466</v>
          </cell>
          <cell r="G15">
            <v>71.787070620196403</v>
          </cell>
          <cell r="H15">
            <v>72.871347957925721</v>
          </cell>
          <cell r="I15">
            <v>73.956372894292386</v>
          </cell>
          <cell r="J15">
            <v>73.956376943374877</v>
          </cell>
          <cell r="K15">
            <v>73.956432969456429</v>
          </cell>
          <cell r="L15">
            <v>73.956436818231353</v>
          </cell>
          <cell r="M15">
            <v>73.955970595593016</v>
          </cell>
        </row>
        <row r="16">
          <cell r="B16">
            <v>66.632400513568854</v>
          </cell>
          <cell r="C16">
            <v>55.764004154854931</v>
          </cell>
          <cell r="D16">
            <v>65.551417749832652</v>
          </cell>
          <cell r="E16">
            <v>64.468275679026817</v>
          </cell>
          <cell r="F16">
            <v>63.383969368795363</v>
          </cell>
          <cell r="G16">
            <v>62.299204126580534</v>
          </cell>
          <cell r="H16">
            <v>61.21492577383524</v>
          </cell>
          <cell r="I16">
            <v>60.129903182655362</v>
          </cell>
          <cell r="J16">
            <v>60.129900586362993</v>
          </cell>
          <cell r="K16">
            <v>60.129843003729704</v>
          </cell>
          <cell r="L16">
            <v>60.129842330749057</v>
          </cell>
          <cell r="M16">
            <v>60.130335854346129</v>
          </cell>
        </row>
        <row r="17">
          <cell r="B17">
            <v>12.841926677204274</v>
          </cell>
          <cell r="C17">
            <v>16.03471589723048</v>
          </cell>
          <cell r="D17">
            <v>5.7984382740127378</v>
          </cell>
          <cell r="E17">
            <v>12.738814074872735</v>
          </cell>
          <cell r="F17">
            <v>12.776097590592649</v>
          </cell>
          <cell r="G17">
            <v>12.806513585056605</v>
          </cell>
          <cell r="H17">
            <v>12.836369790407339</v>
          </cell>
          <cell r="I17">
            <v>12.868806435231248</v>
          </cell>
          <cell r="J17">
            <v>12.898288569493319</v>
          </cell>
          <cell r="K17">
            <v>12.933800237168349</v>
          </cell>
          <cell r="L17">
            <v>12.972972813248598</v>
          </cell>
          <cell r="M17">
            <v>13.171337639344175</v>
          </cell>
        </row>
        <row r="18">
          <cell r="B18">
            <v>3.9603192165147752E-2</v>
          </cell>
          <cell r="C18">
            <v>4.0921741177653021E-5</v>
          </cell>
          <cell r="D18">
            <v>3.6829281070392184E-3</v>
          </cell>
          <cell r="E18">
            <v>1.769358089038319E-3</v>
          </cell>
          <cell r="F18">
            <v>2.2222212371971928E-3</v>
          </cell>
          <cell r="G18">
            <v>2.8691039277796678E-3</v>
          </cell>
          <cell r="H18">
            <v>9.4537332715362889E-3</v>
          </cell>
          <cell r="I18">
            <v>1.88732737660804E-2</v>
          </cell>
          <cell r="J18">
            <v>1.0039286931708606E-2</v>
          </cell>
          <cell r="K18">
            <v>1.2047809618373444E-2</v>
          </cell>
          <cell r="L18">
            <v>1.431985257064536E-2</v>
          </cell>
          <cell r="M18">
            <v>2.0391627459347361E-2</v>
          </cell>
        </row>
        <row r="19">
          <cell r="B19">
            <v>6.5070003715803306</v>
          </cell>
          <cell r="C19">
            <v>7.3027685645083071</v>
          </cell>
          <cell r="D19">
            <v>7.7034798059781844</v>
          </cell>
          <cell r="E19">
            <v>7.3981415056795852</v>
          </cell>
          <cell r="F19">
            <v>7.4918623048020727</v>
          </cell>
          <cell r="G19">
            <v>7.6680287472978952</v>
          </cell>
          <cell r="H19">
            <v>7.848450706343705</v>
          </cell>
          <cell r="I19">
            <v>8.0332949330900973</v>
          </cell>
          <cell r="J19">
            <v>8.0332833298814244</v>
          </cell>
          <cell r="K19">
            <v>8.0332884049366609</v>
          </cell>
          <cell r="L19">
            <v>8.0332900645404344</v>
          </cell>
          <cell r="M19">
            <v>8.0333263418927388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2.0491289985745648E-2</v>
          </cell>
          <cell r="H21">
            <v>3.6046094436879503</v>
          </cell>
          <cell r="I21">
            <v>8.6596158644076695</v>
          </cell>
          <cell r="J21">
            <v>9.7681290897298201</v>
          </cell>
          <cell r="K21">
            <v>11.500126863775902</v>
          </cell>
          <cell r="L21">
            <v>12.425254265757221</v>
          </cell>
          <cell r="M21">
            <v>11.386079094328183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8.9638608466044833E-3</v>
          </cell>
          <cell r="G22">
            <v>6.7422437719700481E-2</v>
          </cell>
          <cell r="H22">
            <v>0.46220771207547667</v>
          </cell>
          <cell r="I22">
            <v>0.26292475228066103</v>
          </cell>
          <cell r="J22">
            <v>0.39910237685953914</v>
          </cell>
          <cell r="K22">
            <v>0.3072387355080804</v>
          </cell>
          <cell r="L22">
            <v>5.1781815175710517E-2</v>
          </cell>
          <cell r="M22">
            <v>0.1723784721168084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0.96588301732439241</v>
          </cell>
          <cell r="C24">
            <v>1.6129721411806288E-4</v>
          </cell>
          <cell r="D24">
            <v>1.6000437752145696E-2</v>
          </cell>
          <cell r="E24">
            <v>0.89402526351358602</v>
          </cell>
          <cell r="F24">
            <v>0.38984307859184086</v>
          </cell>
          <cell r="G24">
            <v>0.87175234151642411</v>
          </cell>
          <cell r="H24">
            <v>0.71046902973611759</v>
          </cell>
          <cell r="I24">
            <v>0.11410852025251426</v>
          </cell>
          <cell r="J24">
            <v>0.11952215299446435</v>
          </cell>
          <cell r="K24">
            <v>1.5806241040524121E-2</v>
          </cell>
          <cell r="L24">
            <v>5.0466428884738341E-3</v>
          </cell>
          <cell r="M24">
            <v>5.8451699989088887E-3</v>
          </cell>
        </row>
        <row r="25">
          <cell r="B25">
            <v>0.40783598442070862</v>
          </cell>
          <cell r="C25">
            <v>5.8751433942015353E-2</v>
          </cell>
          <cell r="D25">
            <v>0.29524639736852087</v>
          </cell>
          <cell r="E25">
            <v>1.0867003810923705</v>
          </cell>
          <cell r="F25">
            <v>1.3231282385461958</v>
          </cell>
          <cell r="G25">
            <v>1.5473699983872027</v>
          </cell>
          <cell r="H25">
            <v>1.2563584668852941</v>
          </cell>
          <cell r="I25">
            <v>0.63870931492514915</v>
          </cell>
          <cell r="J25">
            <v>0.36679983119620013</v>
          </cell>
          <cell r="K25">
            <v>0.37453211166878581</v>
          </cell>
          <cell r="L25">
            <v>0.4053210855238068</v>
          </cell>
          <cell r="M25">
            <v>0.34672459871046152</v>
          </cell>
        </row>
        <row r="26">
          <cell r="B26">
            <v>1.5400751403773376</v>
          </cell>
          <cell r="C26">
            <v>1.4150674170042303</v>
          </cell>
          <cell r="D26">
            <v>1.3920730723965333</v>
          </cell>
          <cell r="E26">
            <v>1.4053185951147162</v>
          </cell>
          <cell r="F26">
            <v>1.3947558053921054</v>
          </cell>
          <cell r="G26">
            <v>1.3943348579012891</v>
          </cell>
          <cell r="H26">
            <v>1.3933663818247979</v>
          </cell>
          <cell r="I26">
            <v>1.3918209847030794</v>
          </cell>
          <cell r="J26">
            <v>1.3918200571977546</v>
          </cell>
          <cell r="K26">
            <v>1.3918182598250455</v>
          </cell>
          <cell r="L26">
            <v>1.391816238825095</v>
          </cell>
          <cell r="M26">
            <v>1.3918004134190416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1.8031993001388538E-3</v>
          </cell>
          <cell r="C28">
            <v>2.785602404618923E-5</v>
          </cell>
          <cell r="D28">
            <v>1.1074486920138312E-3</v>
          </cell>
          <cell r="E28">
            <v>7.3385182996396679E-4</v>
          </cell>
          <cell r="F28">
            <v>1.039695722883242E-3</v>
          </cell>
          <cell r="G28">
            <v>1.1532511660071511E-3</v>
          </cell>
          <cell r="H28">
            <v>1.1752212724732314E-3</v>
          </cell>
          <cell r="I28">
            <v>1.7609581090413556E-3</v>
          </cell>
          <cell r="J28">
            <v>1.2777321484483859E-3</v>
          </cell>
          <cell r="K28">
            <v>1.7670435525961102E-3</v>
          </cell>
          <cell r="L28">
            <v>1.3507276872726174E-3</v>
          </cell>
          <cell r="M28">
            <v>1.7690756262803572E-3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0.46092946806281493</v>
          </cell>
          <cell r="H29">
            <v>1.0145770157867637</v>
          </cell>
          <cell r="I29">
            <v>1.014658111930925</v>
          </cell>
          <cell r="J29">
            <v>0.88366793986063241</v>
          </cell>
          <cell r="K29">
            <v>0.58872272819367022</v>
          </cell>
          <cell r="L29">
            <v>2.920049207248979E-2</v>
          </cell>
          <cell r="M29">
            <v>1.9892139967809291E-2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1.8927139312730522E-3</v>
          </cell>
          <cell r="H30">
            <v>1.9329595636958395E-3</v>
          </cell>
          <cell r="I30">
            <v>3.3566977855187521E-3</v>
          </cell>
          <cell r="J30">
            <v>3.374954105947283E-3</v>
          </cell>
          <cell r="K30">
            <v>3.8245540298928023E-2</v>
          </cell>
          <cell r="L30">
            <v>4.0100207031980958E-2</v>
          </cell>
          <cell r="M30">
            <v>4.0636065124901533E-2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5.4915607716595257E-3</v>
          </cell>
          <cell r="I32">
            <v>8.5331714328763467E-3</v>
          </cell>
          <cell r="J32">
            <v>9.0147530764400872E-3</v>
          </cell>
          <cell r="K32">
            <v>1.0059012233796327E-2</v>
          </cell>
          <cell r="L32">
            <v>1.1687307299713821E-2</v>
          </cell>
          <cell r="M32">
            <v>2.0730814841950881E-2</v>
          </cell>
        </row>
        <row r="33">
          <cell r="B33">
            <v>0.52400000000000047</v>
          </cell>
          <cell r="C33">
            <v>0.54529230746486002</v>
          </cell>
          <cell r="D33">
            <v>0.503164905798409</v>
          </cell>
          <cell r="E33">
            <v>0.54657696956086987</v>
          </cell>
          <cell r="F33">
            <v>0.5470761562361417</v>
          </cell>
          <cell r="G33">
            <v>0.54724784812225757</v>
          </cell>
          <cell r="H33">
            <v>0.55273988564425414</v>
          </cell>
          <cell r="I33">
            <v>0.55281225691644442</v>
          </cell>
          <cell r="J33">
            <v>0.55282019454418119</v>
          </cell>
          <cell r="K33">
            <v>0.55283772132341857</v>
          </cell>
          <cell r="L33">
            <v>0.55342834497210747</v>
          </cell>
          <cell r="M33">
            <v>0.55653054330829999</v>
          </cell>
        </row>
        <row r="34">
          <cell r="B34">
            <v>0</v>
          </cell>
          <cell r="C34">
            <v>0</v>
          </cell>
          <cell r="D34">
            <v>0.15619404613268542</v>
          </cell>
          <cell r="E34">
            <v>0.30116756440086828</v>
          </cell>
          <cell r="F34">
            <v>1.0500146152760959</v>
          </cell>
          <cell r="G34">
            <v>1.0515057706679878</v>
          </cell>
          <cell r="H34">
            <v>0.85774286604747529</v>
          </cell>
          <cell r="I34">
            <v>0.75209545904569852</v>
          </cell>
          <cell r="J34">
            <v>0.23194639823125895</v>
          </cell>
          <cell r="K34">
            <v>8.2552343717400403E-2</v>
          </cell>
          <cell r="L34">
            <v>8.3302201902129405E-2</v>
          </cell>
          <cell r="M34">
            <v>1.0090386764474102</v>
          </cell>
        </row>
        <row r="35">
          <cell r="B35">
            <v>3.517953999707534</v>
          </cell>
          <cell r="C35">
            <v>4.8486223629257434</v>
          </cell>
          <cell r="D35">
            <v>11.927077850684414</v>
          </cell>
          <cell r="E35">
            <v>14.116600821845296</v>
          </cell>
          <cell r="F35">
            <v>14.836697360292424</v>
          </cell>
          <cell r="G35">
            <v>15.593517416461676</v>
          </cell>
          <cell r="H35">
            <v>16.388945344742538</v>
          </cell>
          <cell r="I35">
            <v>17.224949043055599</v>
          </cell>
          <cell r="J35">
            <v>18.103597582950265</v>
          </cell>
          <cell r="K35">
            <v>19.027068944121876</v>
          </cell>
          <cell r="L35">
            <v>19.997650575076346</v>
          </cell>
          <cell r="M35">
            <v>21.017784969573515</v>
          </cell>
        </row>
        <row r="36">
          <cell r="B36">
            <v>2.1349390887346629</v>
          </cell>
          <cell r="C36">
            <v>3.3906968890761346</v>
          </cell>
          <cell r="D36">
            <v>6.9697615016382839</v>
          </cell>
          <cell r="E36">
            <v>18.917238811391851</v>
          </cell>
          <cell r="F36">
            <v>19.8822148995033</v>
          </cell>
          <cell r="G36">
            <v>20.896407718056516</v>
          </cell>
          <cell r="H36">
            <v>21.962334684595938</v>
          </cell>
          <cell r="I36">
            <v>23.082637001311717</v>
          </cell>
          <cell r="J36">
            <v>24.260085018839593</v>
          </cell>
          <cell r="K36">
            <v>25.497598952371124</v>
          </cell>
          <cell r="L36">
            <v>26.798238494954347</v>
          </cell>
          <cell r="M36">
            <v>28.165371246640877</v>
          </cell>
        </row>
        <row r="37">
          <cell r="B37">
            <v>0.86248322578584768</v>
          </cell>
          <cell r="C37">
            <v>1.2876189037011077</v>
          </cell>
          <cell r="D37">
            <v>5.8107753183328441</v>
          </cell>
          <cell r="E37">
            <v>13.439522789975808</v>
          </cell>
          <cell r="F37">
            <v>14.125083298233466</v>
          </cell>
          <cell r="G37">
            <v>14.845604524664282</v>
          </cell>
          <cell r="H37">
            <v>15.602879834951064</v>
          </cell>
          <cell r="I37">
            <v>16.398785942949473</v>
          </cell>
          <cell r="J37">
            <v>17.235290218903749</v>
          </cell>
          <cell r="K37">
            <v>18.11446759757866</v>
          </cell>
          <cell r="L37">
            <v>19.038492601518048</v>
          </cell>
          <cell r="M37">
            <v>20.009692594447074</v>
          </cell>
        </row>
        <row r="38">
          <cell r="B38">
            <v>2.8396236857719668</v>
          </cell>
          <cell r="C38">
            <v>3.2944551386163567</v>
          </cell>
          <cell r="D38">
            <v>3.9362047310641173</v>
          </cell>
          <cell r="E38">
            <v>4.4088901557220552</v>
          </cell>
          <cell r="F38">
            <v>4.6337904350980068</v>
          </cell>
          <cell r="G38">
            <v>4.8701588541244414</v>
          </cell>
          <cell r="H38">
            <v>5.1185867382733212</v>
          </cell>
          <cell r="I38">
            <v>5.3796875317432953</v>
          </cell>
          <cell r="J38">
            <v>5.6541069341514083</v>
          </cell>
          <cell r="K38">
            <v>5.9425271688172998</v>
          </cell>
          <cell r="L38">
            <v>6.2456608388504664</v>
          </cell>
          <cell r="M38">
            <v>6.5643056511261717</v>
          </cell>
        </row>
        <row r="39">
          <cell r="B39">
            <v>0.66998042768838351</v>
          </cell>
          <cell r="C39">
            <v>9.0359747289150819E-2</v>
          </cell>
          <cell r="D39">
            <v>5.7496925907562023E-2</v>
          </cell>
          <cell r="E39">
            <v>0.65347854089976964</v>
          </cell>
          <cell r="F39">
            <v>0.64308664286903883</v>
          </cell>
          <cell r="G39">
            <v>0.16106741141704128</v>
          </cell>
          <cell r="H39">
            <v>0.10326008849920913</v>
          </cell>
          <cell r="I39">
            <v>6.2150533857531706E-2</v>
          </cell>
          <cell r="J39">
            <v>3.0880489442306848E-2</v>
          </cell>
          <cell r="K39">
            <v>3.3654685471633659E-2</v>
          </cell>
          <cell r="L39">
            <v>4.9195266556800198E-2</v>
          </cell>
          <cell r="M39">
            <v>8.3195978065244244E-2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7.0506911392989383E-2</v>
          </cell>
          <cell r="C41">
            <v>0.17146542823888006</v>
          </cell>
          <cell r="D41">
            <v>2.6880629506238138E-3</v>
          </cell>
          <cell r="E41">
            <v>0.16903080360047118</v>
          </cell>
          <cell r="F41">
            <v>0.16828810560129134</v>
          </cell>
          <cell r="G41">
            <v>1.8879212181814875E-2</v>
          </cell>
          <cell r="H41">
            <v>2.068245067641698E-2</v>
          </cell>
          <cell r="I41">
            <v>2.5579829629367144E-2</v>
          </cell>
          <cell r="J41">
            <v>2.7089087380025492E-2</v>
          </cell>
          <cell r="K41">
            <v>2.7431322551345418E-2</v>
          </cell>
          <cell r="L41">
            <v>2.7089419722349014E-2</v>
          </cell>
          <cell r="M41">
            <v>2.7576400747821701E-2</v>
          </cell>
        </row>
        <row r="42">
          <cell r="B42">
            <v>0.17254438545275039</v>
          </cell>
          <cell r="C42">
            <v>0.52161627045213488</v>
          </cell>
          <cell r="D42">
            <v>1.1560691731524171</v>
          </cell>
          <cell r="E42">
            <v>2.0488281379616402</v>
          </cell>
          <cell r="F42">
            <v>2.5361680206798507</v>
          </cell>
          <cell r="G42">
            <v>2.9852741414882238</v>
          </cell>
          <cell r="H42">
            <v>3.9471916285114048</v>
          </cell>
          <cell r="I42">
            <v>5.0448527941818462</v>
          </cell>
          <cell r="J42">
            <v>5.496527794429662</v>
          </cell>
          <cell r="K42">
            <v>5.4870733076743186</v>
          </cell>
          <cell r="L42">
            <v>5.4595940399466318</v>
          </cell>
          <cell r="M42">
            <v>5.4966423208098583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0.23005119068626309</v>
          </cell>
          <cell r="C44">
            <v>0.2301592886560587</v>
          </cell>
          <cell r="D44">
            <v>0.33670967569808757</v>
          </cell>
          <cell r="E44">
            <v>0.3329465170295568</v>
          </cell>
          <cell r="F44">
            <v>0.32918716858742697</v>
          </cell>
          <cell r="G44">
            <v>0.32752542920464189</v>
          </cell>
          <cell r="H44">
            <v>0.32586380893754929</v>
          </cell>
          <cell r="I44">
            <v>0.32420479636343547</v>
          </cell>
          <cell r="J44">
            <v>0.32420220218308737</v>
          </cell>
          <cell r="K44">
            <v>0.32420461171108023</v>
          </cell>
          <cell r="L44">
            <v>0.32420273208577077</v>
          </cell>
          <cell r="M44">
            <v>0.32420993697084527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1.7766350562548091E-3</v>
          </cell>
          <cell r="F46">
            <v>5.6145544029723602E-3</v>
          </cell>
          <cell r="G46">
            <v>9.3891283971954693E-3</v>
          </cell>
          <cell r="H46">
            <v>9.3076060437629719E-3</v>
          </cell>
          <cell r="I46">
            <v>2.8260256108047617E-2</v>
          </cell>
          <cell r="J46">
            <v>2.3684250561635582E-2</v>
          </cell>
          <cell r="K46">
            <v>7.036442289148194E-2</v>
          </cell>
          <cell r="L46">
            <v>7.3974304129959395E-2</v>
          </cell>
          <cell r="M46">
            <v>8.8279780438599603E-2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1.4548904266495379E-3</v>
          </cell>
          <cell r="F47">
            <v>2.0988607968315054E-3</v>
          </cell>
          <cell r="G47">
            <v>3.6714416118286326E-3</v>
          </cell>
          <cell r="H47">
            <v>4.8275675366552208E-3</v>
          </cell>
          <cell r="I47">
            <v>9.5217780900371841E-3</v>
          </cell>
          <cell r="J47">
            <v>7.6681833883452712E-3</v>
          </cell>
          <cell r="K47">
            <v>1.1564967236619617E-2</v>
          </cell>
          <cell r="L47">
            <v>1.2972675775143811E-2</v>
          </cell>
          <cell r="M47">
            <v>2.3478610850418608E-2</v>
          </cell>
        </row>
        <row r="48">
          <cell r="B48">
            <v>1.4261770251983092E-2</v>
          </cell>
          <cell r="C48">
            <v>2.9960883658010397E-3</v>
          </cell>
          <cell r="D48">
            <v>1.0365207988092984E-2</v>
          </cell>
          <cell r="E48">
            <v>9.7865639597765324E-3</v>
          </cell>
          <cell r="F48">
            <v>1.3329254260874942E-2</v>
          </cell>
          <cell r="G48">
            <v>1.4602034564317443E-2</v>
          </cell>
          <cell r="H48">
            <v>1.8715442463700036E-2</v>
          </cell>
          <cell r="I48">
            <v>2.3439013171261795E-2</v>
          </cell>
          <cell r="J48">
            <v>2.0371861252386429E-2</v>
          </cell>
          <cell r="K48">
            <v>2.1394036324065491E-2</v>
          </cell>
          <cell r="L48">
            <v>0.10017586408132352</v>
          </cell>
          <cell r="M48">
            <v>0.11195388980492472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2.6270848116428697E-4</v>
          </cell>
          <cell r="F49">
            <v>9.3815503107092944E-4</v>
          </cell>
          <cell r="G49">
            <v>9.5649294287727504E-4</v>
          </cell>
          <cell r="H49">
            <v>1.0090153741818284E-3</v>
          </cell>
          <cell r="I49">
            <v>2.410495677982215E-3</v>
          </cell>
          <cell r="J49">
            <v>1.9522124646516553E-3</v>
          </cell>
          <cell r="K49">
            <v>3.1346356935418691E-3</v>
          </cell>
          <cell r="L49">
            <v>3.0171691951066271E-3</v>
          </cell>
          <cell r="M49">
            <v>5.5987157177324253E-3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1.3502875588474522E-3</v>
          </cell>
          <cell r="F50">
            <v>2.7437170629366616E-3</v>
          </cell>
          <cell r="G50">
            <v>2.790717796755977E-3</v>
          </cell>
          <cell r="H50">
            <v>2.7587801009270191E-3</v>
          </cell>
          <cell r="I50">
            <v>6.4529395176878409E-3</v>
          </cell>
          <cell r="J50">
            <v>6.073009892462634E-3</v>
          </cell>
          <cell r="K50">
            <v>7.7203641331343503E-3</v>
          </cell>
          <cell r="L50">
            <v>4.9774771948146593E-3</v>
          </cell>
          <cell r="M50">
            <v>9.2668836642865737E-3</v>
          </cell>
        </row>
        <row r="51">
          <cell r="B51">
            <v>2.7833687428223744E-2</v>
          </cell>
          <cell r="C51">
            <v>2.3690469794095247E-2</v>
          </cell>
          <cell r="D51">
            <v>0.10400113468331124</v>
          </cell>
          <cell r="E51">
            <v>0.62832020547829548</v>
          </cell>
          <cell r="F51">
            <v>0.65805732529300653</v>
          </cell>
          <cell r="G51">
            <v>0.7407487136467108</v>
          </cell>
          <cell r="H51">
            <v>0.67254754373628389</v>
          </cell>
          <cell r="I51">
            <v>0.72811866115842372</v>
          </cell>
          <cell r="J51">
            <v>0.71190457040986366</v>
          </cell>
          <cell r="K51">
            <v>0.67503877163601167</v>
          </cell>
          <cell r="L51">
            <v>0.6153562530525859</v>
          </cell>
          <cell r="M51">
            <v>0.54291223585891812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1.1539223720099271E-3</v>
          </cell>
          <cell r="F52">
            <v>4.6087313504237833E-3</v>
          </cell>
          <cell r="G52">
            <v>4.7250821372716439E-3</v>
          </cell>
          <cell r="H52">
            <v>5.3302873407040843E-3</v>
          </cell>
          <cell r="I52">
            <v>1.4655305742700051E-2</v>
          </cell>
          <cell r="J52">
            <v>1.2627137591413963E-2</v>
          </cell>
          <cell r="K52">
            <v>2.5812962924490541E-2</v>
          </cell>
          <cell r="L52">
            <v>2.5077106208255737E-2</v>
          </cell>
          <cell r="M52">
            <v>4.4154881755204115E-2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3.7538235446236759E-3</v>
          </cell>
          <cell r="F53">
            <v>4.8793409182426462E-3</v>
          </cell>
          <cell r="G53">
            <v>4.3905465514295985E-3</v>
          </cell>
          <cell r="H53">
            <v>4.5423321527178796E-3</v>
          </cell>
          <cell r="I53">
            <v>1.2503696732069578E-2</v>
          </cell>
          <cell r="J53">
            <v>1.1935268901118887E-2</v>
          </cell>
          <cell r="K53">
            <v>1.037396647185641E-2</v>
          </cell>
          <cell r="L53">
            <v>9.8084472959613089E-3</v>
          </cell>
          <cell r="M53">
            <v>1.8760061464410206E-2</v>
          </cell>
        </row>
        <row r="54">
          <cell r="B54">
            <v>0.95937154447778306</v>
          </cell>
          <cell r="C54">
            <v>1.1060026264677421</v>
          </cell>
          <cell r="D54">
            <v>1.1060020092072389</v>
          </cell>
          <cell r="E54">
            <v>1.1059997394890209</v>
          </cell>
          <cell r="F54">
            <v>1.1060000247927093</v>
          </cell>
          <cell r="G54">
            <v>1.1060010550618784</v>
          </cell>
          <cell r="H54">
            <v>1.1060026591657277</v>
          </cell>
          <cell r="I54">
            <v>1.1060074028093589</v>
          </cell>
          <cell r="J54">
            <v>1.1060089377793842</v>
          </cell>
          <cell r="K54">
            <v>1.1060174126417279</v>
          </cell>
          <cell r="L54">
            <v>1.1060272334802825</v>
          </cell>
          <cell r="M54">
            <v>1.155836960213853</v>
          </cell>
        </row>
        <row r="55">
          <cell r="B55">
            <v>0.59442788420400838</v>
          </cell>
          <cell r="C55">
            <v>0.62588768449998855</v>
          </cell>
          <cell r="D55">
            <v>0.52643581164925846</v>
          </cell>
          <cell r="E55">
            <v>2.2370827320491253</v>
          </cell>
          <cell r="F55">
            <v>3.9462082160892913</v>
          </cell>
          <cell r="G55">
            <v>3.7633702379032594</v>
          </cell>
          <cell r="H55">
            <v>3.7042040399423022</v>
          </cell>
          <cell r="I55">
            <v>2.5767816055801904</v>
          </cell>
          <cell r="J55">
            <v>2.5810695637114134</v>
          </cell>
          <cell r="K55">
            <v>2.635674099873865</v>
          </cell>
          <cell r="L55">
            <v>2.8407042742867064</v>
          </cell>
          <cell r="M55">
            <v>3.0037339162220227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3.9749258279597396E-3</v>
          </cell>
          <cell r="F56">
            <v>3.0993185991248836E-3</v>
          </cell>
          <cell r="G56">
            <v>2.4352982555070333E-3</v>
          </cell>
          <cell r="H56">
            <v>3.646891764244025E-3</v>
          </cell>
          <cell r="I56">
            <v>5.9326226555966597E-3</v>
          </cell>
          <cell r="J56">
            <v>5.353799139702041E-3</v>
          </cell>
          <cell r="K56">
            <v>7.025501060492126E-3</v>
          </cell>
          <cell r="L56">
            <v>7.0292029218229904E-3</v>
          </cell>
          <cell r="M56">
            <v>1.5385836093663754E-2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1.179105126916615E-3</v>
          </cell>
          <cell r="F57">
            <v>2.8953630721704183E-3</v>
          </cell>
          <cell r="G57">
            <v>3.2528650828365759E-3</v>
          </cell>
          <cell r="H57">
            <v>3.8976150945933346E-3</v>
          </cell>
          <cell r="I57">
            <v>1.0094890472438606E-2</v>
          </cell>
          <cell r="J57">
            <v>9.2836695781904639E-3</v>
          </cell>
          <cell r="K57">
            <v>2.2665986264664602E-2</v>
          </cell>
          <cell r="L57">
            <v>1.7124567029159758E-2</v>
          </cell>
          <cell r="M57">
            <v>3.2710624900402413E-2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1.5482697969182767E-3</v>
          </cell>
          <cell r="F58">
            <v>5.0160456906486479E-3</v>
          </cell>
          <cell r="G58">
            <v>4.8652148536410481E-3</v>
          </cell>
          <cell r="H58">
            <v>3.6935913152874459E-3</v>
          </cell>
          <cell r="I58">
            <v>8.0401352033081953E-3</v>
          </cell>
          <cell r="J58">
            <v>8.0583033708022927E-3</v>
          </cell>
          <cell r="K58">
            <v>1.7102008247060679E-2</v>
          </cell>
          <cell r="L58">
            <v>1.3202210715426897E-2</v>
          </cell>
          <cell r="M58">
            <v>3.0320257447241102E-2</v>
          </cell>
        </row>
        <row r="70">
          <cell r="B70">
            <v>9.4545802649295144E-2</v>
          </cell>
          <cell r="C70">
            <v>8.5633337525082929E-3</v>
          </cell>
          <cell r="D70">
            <v>9.4423605280360368E-2</v>
          </cell>
          <cell r="E70">
            <v>4.4373299866415215E-2</v>
          </cell>
          <cell r="F70">
            <v>3.8775502586266879E-2</v>
          </cell>
          <cell r="G70">
            <v>3.8452013164747459E-2</v>
          </cell>
          <cell r="H70">
            <v>3.2555216034506683E-3</v>
          </cell>
          <cell r="I70">
            <v>1.5457209749288801E-2</v>
          </cell>
          <cell r="J70">
            <v>6.0494941745929849E-2</v>
          </cell>
          <cell r="K70">
            <v>9.4432621945946524E-2</v>
          </cell>
          <cell r="L70">
            <v>9.4456659806437679E-2</v>
          </cell>
          <cell r="M70">
            <v>9.4427595898435426E-2</v>
          </cell>
        </row>
        <row r="71">
          <cell r="B71">
            <v>3.4454982323482652E-3</v>
          </cell>
          <cell r="C71">
            <v>2.7645156718262768E-3</v>
          </cell>
          <cell r="D71">
            <v>3.3740713410252755E-3</v>
          </cell>
          <cell r="E71">
            <v>3.2527304258650495E-3</v>
          </cell>
          <cell r="F71">
            <v>8.2866386601692012E-3</v>
          </cell>
          <cell r="G71">
            <v>0.12923076937689842</v>
          </cell>
          <cell r="H71">
            <v>0.12996628379370059</v>
          </cell>
          <cell r="I71">
            <v>0.19993212544272057</v>
          </cell>
          <cell r="J71">
            <v>0.2018231653334695</v>
          </cell>
          <cell r="K71">
            <v>0.25502604335867479</v>
          </cell>
          <cell r="L71">
            <v>0.25589740859814841</v>
          </cell>
          <cell r="M71">
            <v>0.26035355486955369</v>
          </cell>
        </row>
        <row r="72">
          <cell r="B72">
            <v>3.1560171826208899E-3</v>
          </cell>
          <cell r="C72">
            <v>2.5365597343884878E-3</v>
          </cell>
          <cell r="D72">
            <v>3.0183836835387871E-3</v>
          </cell>
          <cell r="E72">
            <v>3.0881149462474141E-3</v>
          </cell>
          <cell r="F72">
            <v>8.0777484467988749E-3</v>
          </cell>
          <cell r="G72">
            <v>5.3640190585488218E-2</v>
          </cell>
          <cell r="H72">
            <v>0.37237251283052453</v>
          </cell>
          <cell r="I72">
            <v>0.83626815562150947</v>
          </cell>
          <cell r="J72">
            <v>1.3024595450777903</v>
          </cell>
          <cell r="K72">
            <v>1.8093531322255549</v>
          </cell>
          <cell r="L72">
            <v>2.0265311815289171</v>
          </cell>
          <cell r="M72">
            <v>2.2998538378854656</v>
          </cell>
        </row>
        <row r="73">
          <cell r="B73">
            <v>1.019431933396277E-3</v>
          </cell>
          <cell r="C73">
            <v>1.0156643007527024E-3</v>
          </cell>
          <cell r="D73">
            <v>1.0154415776126666E-3</v>
          </cell>
          <cell r="E73">
            <v>3.5259252768449351E-2</v>
          </cell>
          <cell r="F73">
            <v>5.7827246248632322E-2</v>
          </cell>
          <cell r="G73">
            <v>5.9449743293853163E-2</v>
          </cell>
          <cell r="H73">
            <v>6.1368107041624022E-2</v>
          </cell>
          <cell r="I73">
            <v>8.1142444011185547E-2</v>
          </cell>
          <cell r="J73">
            <v>8.1866297813003822E-2</v>
          </cell>
          <cell r="K73">
            <v>0.11118373194249559</v>
          </cell>
          <cell r="L73">
            <v>0.17233347270190821</v>
          </cell>
          <cell r="M73">
            <v>0.15042595470870737</v>
          </cell>
        </row>
        <row r="74">
          <cell r="B74">
            <v>2.0360161351639997E-3</v>
          </cell>
          <cell r="C74">
            <v>2.0286522519577938E-3</v>
          </cell>
          <cell r="D74">
            <v>2.0330277175569945E-3</v>
          </cell>
          <cell r="E74">
            <v>5.8100100190701318E-2</v>
          </cell>
          <cell r="F74">
            <v>0.1013070855060076</v>
          </cell>
          <cell r="G74">
            <v>0.10815677987828645</v>
          </cell>
          <cell r="H74">
            <v>0.11917249312654588</v>
          </cell>
          <cell r="I74">
            <v>0.1370367148590452</v>
          </cell>
          <cell r="J74">
            <v>0.14534188878692078</v>
          </cell>
          <cell r="K74">
            <v>0.14336757794845389</v>
          </cell>
          <cell r="L74">
            <v>0.12964550867169861</v>
          </cell>
          <cell r="M74">
            <v>0.14757856785415677</v>
          </cell>
        </row>
        <row r="75">
          <cell r="B75">
            <v>2.0390302078393961E-3</v>
          </cell>
          <cell r="C75">
            <v>2.0317277545125155E-3</v>
          </cell>
          <cell r="D75">
            <v>2.0358149892518006E-3</v>
          </cell>
          <cell r="E75">
            <v>5.8447736325613009E-2</v>
          </cell>
          <cell r="F75">
            <v>0.10242614345005177</v>
          </cell>
          <cell r="G75">
            <v>0.12844848520250901</v>
          </cell>
          <cell r="H75">
            <v>0.12692573307826366</v>
          </cell>
          <cell r="I75">
            <v>0.13703311540366997</v>
          </cell>
          <cell r="J75">
            <v>0.14526325982579155</v>
          </cell>
          <cell r="K75">
            <v>0.14340611746315807</v>
          </cell>
          <cell r="L75">
            <v>0.12969661577368696</v>
          </cell>
          <cell r="M75">
            <v>0.14759203836834203</v>
          </cell>
        </row>
        <row r="76">
          <cell r="B76">
            <v>1.0229467144932981E-3</v>
          </cell>
          <cell r="C76">
            <v>1.0192027597491612E-3</v>
          </cell>
          <cell r="D76">
            <v>1.0193846955860305E-3</v>
          </cell>
          <cell r="E76">
            <v>3.8870612959905494E-2</v>
          </cell>
          <cell r="F76">
            <v>6.8044855903949861E-2</v>
          </cell>
          <cell r="G76">
            <v>8.5816440570998728E-2</v>
          </cell>
          <cell r="H76">
            <v>8.4622958175852997E-2</v>
          </cell>
          <cell r="I76">
            <v>9.0099694064612559E-2</v>
          </cell>
          <cell r="J76">
            <v>9.4723741579032586E-2</v>
          </cell>
          <cell r="K76">
            <v>9.3660942848823939E-2</v>
          </cell>
          <cell r="L76">
            <v>8.4859977160598621E-2</v>
          </cell>
          <cell r="M76">
            <v>9.7937236316378948E-2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2.5908572559447403E-4</v>
          </cell>
          <cell r="H90">
            <v>2.5955529470776261E-4</v>
          </cell>
          <cell r="I90">
            <v>2.6071755619980571E-4</v>
          </cell>
          <cell r="J90">
            <v>2.6168659065285157E-4</v>
          </cell>
          <cell r="K90">
            <v>2.658841155518536E-4</v>
          </cell>
          <cell r="L90">
            <v>2.712387188058667E-4</v>
          </cell>
          <cell r="M90">
            <v>4.0728734024580532E-4</v>
          </cell>
        </row>
        <row r="91">
          <cell r="B91">
            <v>1.8035554543685344</v>
          </cell>
          <cell r="C91">
            <v>3.0994146267992513E-4</v>
          </cell>
          <cell r="D91">
            <v>3.2048817253881492E-2</v>
          </cell>
          <cell r="E91">
            <v>1.9120802588180641</v>
          </cell>
          <cell r="F91">
            <v>0.82928715493805949</v>
          </cell>
          <cell r="G91">
            <v>1.8443966625102697</v>
          </cell>
          <cell r="H91">
            <v>1.495168413238777</v>
          </cell>
          <cell r="I91">
            <v>0.23885502018745283</v>
          </cell>
          <cell r="J91">
            <v>0.25018698168344355</v>
          </cell>
          <cell r="K91">
            <v>3.3086048390316813E-2</v>
          </cell>
          <cell r="L91">
            <v>1.0563768475288084E-2</v>
          </cell>
          <cell r="M91">
            <v>1.2235266875767864E-2</v>
          </cell>
        </row>
        <row r="92">
          <cell r="B92">
            <v>1.3114990790955681</v>
          </cell>
          <cell r="C92">
            <v>0.40218484750151695</v>
          </cell>
          <cell r="D92">
            <v>1.0181843550591529</v>
          </cell>
          <cell r="E92">
            <v>2.8420773878951606</v>
          </cell>
          <cell r="F92">
            <v>3.4603517346533281</v>
          </cell>
          <cell r="G92">
            <v>4.0469644577830293</v>
          </cell>
          <cell r="H92">
            <v>3.2859926785932108</v>
          </cell>
          <cell r="I92">
            <v>1.7517050009946717</v>
          </cell>
          <cell r="J92">
            <v>1.0704822203377671</v>
          </cell>
          <cell r="K92">
            <v>1.1608527109791404</v>
          </cell>
          <cell r="L92">
            <v>1.5729363734964816</v>
          </cell>
          <cell r="M92">
            <v>1.5225652553482094</v>
          </cell>
        </row>
        <row r="93">
          <cell r="B93">
            <v>14.385946699015747</v>
          </cell>
          <cell r="C93">
            <v>13.051650229730351</v>
          </cell>
          <cell r="D93">
            <v>12.796460591393965</v>
          </cell>
          <cell r="E93">
            <v>12.779634117947209</v>
          </cell>
          <cell r="F93">
            <v>12.342945979537426</v>
          </cell>
          <cell r="G93">
            <v>12.034789919581511</v>
          </cell>
          <cell r="H93">
            <v>11.72007435641949</v>
          </cell>
          <cell r="I93">
            <v>11.399067600953073</v>
          </cell>
          <cell r="J93">
            <v>11.399072415425429</v>
          </cell>
          <cell r="K93">
            <v>11.399075755204553</v>
          </cell>
          <cell r="L93">
            <v>11.39906395133872</v>
          </cell>
          <cell r="M93">
            <v>11.399032196764191</v>
          </cell>
        </row>
        <row r="94">
          <cell r="B94">
            <v>9.2735964007140872E-3</v>
          </cell>
          <cell r="C94">
            <v>1.4325955223754461E-4</v>
          </cell>
          <cell r="D94">
            <v>5.6954504160711249E-3</v>
          </cell>
          <cell r="E94">
            <v>3.774095125528969E-3</v>
          </cell>
          <cell r="F94">
            <v>5.3470065748280971E-3</v>
          </cell>
          <cell r="G94">
            <v>5.9310059966081992E-3</v>
          </cell>
          <cell r="H94">
            <v>6.0439951155766081E-3</v>
          </cell>
          <cell r="I94">
            <v>9.0563559893555318E-3</v>
          </cell>
          <cell r="J94">
            <v>6.5711939063059777E-3</v>
          </cell>
          <cell r="K94">
            <v>9.0876525562085565E-3</v>
          </cell>
          <cell r="L94">
            <v>6.9465995345448818E-3</v>
          </cell>
          <cell r="M94">
            <v>9.0981032208704068E-3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0.58768507178008855</v>
          </cell>
          <cell r="H95">
            <v>1.3189501205227925</v>
          </cell>
          <cell r="I95">
            <v>1.3444219983084755</v>
          </cell>
          <cell r="J95">
            <v>1.1708600203153383</v>
          </cell>
          <cell r="K95">
            <v>0.78005761485661329</v>
          </cell>
          <cell r="L95">
            <v>3.8690651996048951E-2</v>
          </cell>
          <cell r="M95">
            <v>2.6357085457347312E-2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2.2982954879744132E-3</v>
          </cell>
          <cell r="H96">
            <v>2.3931880312424623E-3</v>
          </cell>
          <cell r="I96">
            <v>4.2358329198212731E-3</v>
          </cell>
          <cell r="J96">
            <v>4.2588706575048966E-3</v>
          </cell>
          <cell r="K96">
            <v>4.826222942483771E-2</v>
          </cell>
          <cell r="L96">
            <v>5.0602642207023485E-2</v>
          </cell>
          <cell r="M96">
            <v>5.1278844086185167E-2</v>
          </cell>
        </row>
        <row r="97">
          <cell r="B97">
            <v>1.7329121522592981</v>
          </cell>
          <cell r="C97">
            <v>2.0065190722600255</v>
          </cell>
          <cell r="D97">
            <v>2.0072508503352178</v>
          </cell>
          <cell r="E97">
            <v>6.7368137715825463E-2</v>
          </cell>
          <cell r="F97">
            <v>0.90928996471611534</v>
          </cell>
          <cell r="G97">
            <v>0.90973675288774358</v>
          </cell>
          <cell r="H97">
            <v>3.9708108991318998E-2</v>
          </cell>
          <cell r="I97">
            <v>4.0103121730691183E-3</v>
          </cell>
          <cell r="J97">
            <v>1.6980589666896798E-3</v>
          </cell>
          <cell r="K97">
            <v>5.3431905222040424E-3</v>
          </cell>
          <cell r="L97">
            <v>1.2375389116520245E-3</v>
          </cell>
          <cell r="M97">
            <v>1.6952288958827276E-3</v>
          </cell>
        </row>
        <row r="98">
          <cell r="B98">
            <v>0.90177662940065095</v>
          </cell>
          <cell r="C98">
            <v>1.542124826699006</v>
          </cell>
          <cell r="D98">
            <v>1.5421250604433603</v>
          </cell>
          <cell r="E98">
            <v>1.5421240543920189</v>
          </cell>
          <cell r="F98">
            <v>1.5421256370817449</v>
          </cell>
          <cell r="G98">
            <v>1.5421270714056583</v>
          </cell>
          <cell r="H98">
            <v>1.5421286219279737</v>
          </cell>
          <cell r="I98">
            <v>1.5421322323199522</v>
          </cell>
          <cell r="J98">
            <v>1.5421327333724268</v>
          </cell>
          <cell r="K98">
            <v>1.5421416104908505</v>
          </cell>
          <cell r="L98">
            <v>1.5421454845578866</v>
          </cell>
          <cell r="M98">
            <v>1.5421663245184931</v>
          </cell>
        </row>
        <row r="99">
          <cell r="B99">
            <v>2.9000677115916611</v>
          </cell>
          <cell r="C99">
            <v>7.6038476191466238</v>
          </cell>
          <cell r="D99">
            <v>7.6022407923923776</v>
          </cell>
          <cell r="E99">
            <v>2.3002242292927995</v>
          </cell>
          <cell r="F99">
            <v>1.3944861199058614</v>
          </cell>
          <cell r="G99">
            <v>0</v>
          </cell>
          <cell r="H99">
            <v>1.8168244932823052</v>
          </cell>
          <cell r="I99">
            <v>8.9542551016596335</v>
          </cell>
          <cell r="J99">
            <v>9.3352679397327591</v>
          </cell>
          <cell r="K99">
            <v>9.3353345999213602</v>
          </cell>
          <cell r="L99">
            <v>9.3351763536531198</v>
          </cell>
          <cell r="M99">
            <v>8.1193818372762028</v>
          </cell>
        </row>
        <row r="100">
          <cell r="B100">
            <v>0.18408892322306933</v>
          </cell>
          <cell r="C100">
            <v>0.18584950046103374</v>
          </cell>
          <cell r="D100">
            <v>1.4560197329110945E-3</v>
          </cell>
          <cell r="E100">
            <v>1.4328628359242498E-3</v>
          </cell>
          <cell r="F100">
            <v>1.1319221782612509E-3</v>
          </cell>
          <cell r="G100">
            <v>1.0202063136999719E-3</v>
          </cell>
          <cell r="H100">
            <v>9.9631325826629981E-4</v>
          </cell>
          <cell r="I100">
            <v>4.1740506506204221E-4</v>
          </cell>
          <cell r="J100">
            <v>8.9331685070588064E-4</v>
          </cell>
          <cell r="K100">
            <v>4.0648557410163043E-4</v>
          </cell>
          <cell r="L100">
            <v>8.1592025278423303E-4</v>
          </cell>
          <cell r="M100">
            <v>4.1361468811144329E-4</v>
          </cell>
        </row>
        <row r="101">
          <cell r="B101">
            <v>1.2790455231112203</v>
          </cell>
          <cell r="C101">
            <v>1.154334836306109</v>
          </cell>
          <cell r="D101">
            <v>0.98969992822343134</v>
          </cell>
          <cell r="E101">
            <v>0.7658139411045024</v>
          </cell>
          <cell r="F101">
            <v>0.59815153148080036</v>
          </cell>
          <cell r="G101">
            <v>0.46287885197152917</v>
          </cell>
          <cell r="H101">
            <v>0.35816961607320097</v>
          </cell>
          <cell r="I101">
            <v>0.27715238020238114</v>
          </cell>
          <cell r="J101">
            <v>0.21446257527260773</v>
          </cell>
          <cell r="K101">
            <v>0.16596983039021812</v>
          </cell>
          <cell r="L101">
            <v>0.12843958572144368</v>
          </cell>
          <cell r="M101">
            <v>9.9444444522226519E-2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4.0397089492131722E-5</v>
          </cell>
          <cell r="F102">
            <v>6.1396490079054059E-5</v>
          </cell>
          <cell r="G102">
            <v>6.4631529783314561E-5</v>
          </cell>
          <cell r="H102">
            <v>6.6488355421123377E-5</v>
          </cell>
          <cell r="I102">
            <v>7.03975276485946E-5</v>
          </cell>
          <cell r="J102">
            <v>7.1912757881633101E-5</v>
          </cell>
          <cell r="K102">
            <v>8.3092789112563728E-5</v>
          </cell>
          <cell r="L102">
            <v>8.9338693636973005E-5</v>
          </cell>
          <cell r="M102">
            <v>1.4750969230471552E-4</v>
          </cell>
        </row>
        <row r="103">
          <cell r="F103">
            <v>1.0466179760906551</v>
          </cell>
          <cell r="G103">
            <v>0.18242625432442611</v>
          </cell>
          <cell r="H103">
            <v>0.11554139191213786</v>
          </cell>
          <cell r="I103">
            <v>6.8692695316219451E-2</v>
          </cell>
          <cell r="J103">
            <v>3.4131067278339255E-2</v>
          </cell>
          <cell r="K103">
            <v>3.719728394233203E-2</v>
          </cell>
          <cell r="L103">
            <v>5.4373715668042485E-2</v>
          </cell>
          <cell r="M103">
            <v>9.1953449440533339E-2</v>
          </cell>
        </row>
        <row r="104">
          <cell r="B104">
            <v>0.92940928654395227</v>
          </cell>
          <cell r="C104">
            <v>2.0722125733391099</v>
          </cell>
          <cell r="D104">
            <v>2.8064838508560879E-2</v>
          </cell>
          <cell r="E104">
            <v>1.3014136384638137</v>
          </cell>
          <cell r="F104">
            <v>0.83437150499334012</v>
          </cell>
          <cell r="G104">
            <v>4.1849926533218409E-2</v>
          </cell>
          <cell r="H104">
            <v>4.5847201302642318E-2</v>
          </cell>
          <cell r="I104">
            <v>5.6703318995080479E-2</v>
          </cell>
          <cell r="J104">
            <v>6.0048920780603157E-2</v>
          </cell>
          <cell r="K104">
            <v>6.0807560316982721E-2</v>
          </cell>
          <cell r="L104">
            <v>6.0049657490466375E-2</v>
          </cell>
          <cell r="M104">
            <v>6.1129158051338998E-2</v>
          </cell>
        </row>
        <row r="105">
          <cell r="B105">
            <v>0.65988362536169198</v>
          </cell>
          <cell r="C105">
            <v>1.8165910149088584</v>
          </cell>
          <cell r="D105">
            <v>3.4334172848948183</v>
          </cell>
          <cell r="E105">
            <v>4.3340595226111684</v>
          </cell>
          <cell r="F105">
            <v>5.3649708129766145</v>
          </cell>
          <cell r="G105">
            <v>6.3150029916097248</v>
          </cell>
          <cell r="H105">
            <v>8.34982844492799</v>
          </cell>
          <cell r="I105">
            <v>10.6718039876924</v>
          </cell>
          <cell r="J105">
            <v>11.627270334370458</v>
          </cell>
          <cell r="K105">
            <v>11.60727045854185</v>
          </cell>
          <cell r="L105">
            <v>11.549141238348669</v>
          </cell>
          <cell r="M105">
            <v>11.627512601713196</v>
          </cell>
        </row>
        <row r="106">
          <cell r="B106">
            <v>1.9348736538659803</v>
          </cell>
          <cell r="C106">
            <v>1.8587811183256313</v>
          </cell>
          <cell r="D106">
            <v>2.5503153117250594</v>
          </cell>
          <cell r="E106">
            <v>2.2433372211164957</v>
          </cell>
          <cell r="F106">
            <v>1.9426765966661987</v>
          </cell>
          <cell r="G106">
            <v>1.6589290504082113</v>
          </cell>
          <cell r="H106">
            <v>1.3779617515931764</v>
          </cell>
          <cell r="I106">
            <v>1.0997828432070569</v>
          </cell>
          <cell r="J106">
            <v>1.0997740431057907</v>
          </cell>
          <cell r="K106">
            <v>1.099782216820606</v>
          </cell>
          <cell r="L106">
            <v>1.0997758406667328</v>
          </cell>
          <cell r="M106">
            <v>1.0998002814186338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7.2744521332476894E-4</v>
          </cell>
          <cell r="F107">
            <v>9.964774884039494E-4</v>
          </cell>
          <cell r="G107">
            <v>1.6504645777945235E-3</v>
          </cell>
          <cell r="H107">
            <v>2.0590783795487403E-3</v>
          </cell>
          <cell r="I107">
            <v>3.8421209836992185E-3</v>
          </cell>
          <cell r="J107">
            <v>3.0941792619638836E-3</v>
          </cell>
          <cell r="K107">
            <v>4.6665657270570423E-3</v>
          </cell>
          <cell r="L107">
            <v>5.2345884706720674E-3</v>
          </cell>
          <cell r="M107">
            <v>9.4738254308706846E-3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1.327989840028848E-3</v>
          </cell>
          <cell r="F108">
            <v>3.7827351381642042E-3</v>
          </cell>
          <cell r="G108">
            <v>5.6334770383172838E-3</v>
          </cell>
          <cell r="H108">
            <v>5.1191833240696333E-3</v>
          </cell>
          <cell r="I108">
            <v>1.4130128054023808E-2</v>
          </cell>
          <cell r="J108">
            <v>1.1842125280817789E-2</v>
          </cell>
          <cell r="K108">
            <v>3.5182211445740991E-2</v>
          </cell>
          <cell r="L108">
            <v>3.6987152064979677E-2</v>
          </cell>
          <cell r="M108">
            <v>4.4139890219299795E-2</v>
          </cell>
        </row>
        <row r="109">
          <cell r="B109">
            <v>3.4333891347366752E-2</v>
          </cell>
          <cell r="C109">
            <v>7.1398846558560292E-3</v>
          </cell>
          <cell r="D109">
            <v>2.4322591231318788E-2</v>
          </cell>
          <cell r="E109">
            <v>2.2957756048725856E-2</v>
          </cell>
          <cell r="F109">
            <v>3.2244791631471356E-2</v>
          </cell>
          <cell r="G109">
            <v>3.4818298797367073E-2</v>
          </cell>
          <cell r="H109">
            <v>4.3421244481583306E-2</v>
          </cell>
          <cell r="I109">
            <v>5.5740226865946998E-2</v>
          </cell>
          <cell r="J109">
            <v>4.8160537305177317E-2</v>
          </cell>
          <cell r="K109">
            <v>5.2745970987639924E-2</v>
          </cell>
          <cell r="L109">
            <v>0.22365776725653691</v>
          </cell>
          <cell r="M109">
            <v>0.25440760583926714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3.6451928445676617E-3</v>
          </cell>
          <cell r="F110">
            <v>7.2538161992657304E-3</v>
          </cell>
          <cell r="G110">
            <v>7.2224207267141353E-3</v>
          </cell>
          <cell r="H110">
            <v>6.998103463586423E-3</v>
          </cell>
          <cell r="I110">
            <v>1.6037596461400197E-2</v>
          </cell>
          <cell r="J110">
            <v>1.5093351130045202E-2</v>
          </cell>
          <cell r="K110">
            <v>1.9187547653730555E-2</v>
          </cell>
          <cell r="L110">
            <v>1.237060574137577E-2</v>
          </cell>
          <cell r="M110">
            <v>2.3031138019378387E-2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</row>
        <row r="112">
          <cell r="B112">
            <v>6.0466286482003348E-2</v>
          </cell>
          <cell r="C112">
            <v>5.0964463524860573E-2</v>
          </cell>
          <cell r="D112">
            <v>0.22043458891497236</v>
          </cell>
          <cell r="E112">
            <v>1.3011132107684487</v>
          </cell>
          <cell r="F112">
            <v>1.3534908416087728</v>
          </cell>
          <cell r="G112">
            <v>1.5036580229596292</v>
          </cell>
          <cell r="H112">
            <v>1.3507406231511374</v>
          </cell>
          <cell r="I112">
            <v>1.4620602350552006</v>
          </cell>
          <cell r="J112">
            <v>1.4260987524409459</v>
          </cell>
          <cell r="K112">
            <v>1.3799280248746797</v>
          </cell>
          <cell r="L112">
            <v>1.26101651681031</v>
          </cell>
          <cell r="M112">
            <v>1.1566209372973104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9.9855404635309664E-3</v>
          </cell>
          <cell r="F113">
            <v>1.2979527565768621E-2</v>
          </cell>
          <cell r="G113">
            <v>1.1679286392965452E-2</v>
          </cell>
          <cell r="H113">
            <v>1.2083051046638718E-2</v>
          </cell>
          <cell r="I113">
            <v>3.3261065198608761E-2</v>
          </cell>
          <cell r="J113">
            <v>3.1748991165537956E-2</v>
          </cell>
          <cell r="K113">
            <v>2.7595772880800319E-2</v>
          </cell>
          <cell r="L113">
            <v>2.6091436156744391E-2</v>
          </cell>
          <cell r="M113">
            <v>4.9903611777248863E-2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B115">
            <v>1.4243186639473009</v>
          </cell>
          <cell r="C115">
            <v>1.5784079148783152</v>
          </cell>
          <cell r="D115">
            <v>1.4830000296085248</v>
          </cell>
          <cell r="E115">
            <v>1.3239856386096416</v>
          </cell>
          <cell r="F115">
            <v>1.164974591514562</v>
          </cell>
          <cell r="G115">
            <v>1.0059641399662935</v>
          </cell>
          <cell r="H115">
            <v>1.0059655989802256</v>
          </cell>
          <cell r="I115">
            <v>1.0059699135650677</v>
          </cell>
          <cell r="J115">
            <v>1.0059713096982754</v>
          </cell>
          <cell r="K115">
            <v>1.0059790180160655</v>
          </cell>
          <cell r="L115">
            <v>1.0059879505675899</v>
          </cell>
          <cell r="M115">
            <v>1.0512924271647559</v>
          </cell>
        </row>
        <row r="116">
          <cell r="B116">
            <v>0.69261122509105766</v>
          </cell>
          <cell r="C116">
            <v>0.75022374958405835</v>
          </cell>
          <cell r="D116">
            <v>0.65745496105879397</v>
          </cell>
          <cell r="E116">
            <v>2.9811060674100145</v>
          </cell>
          <cell r="F116">
            <v>5.5889879001630778</v>
          </cell>
          <cell r="G116">
            <v>5.6450553568548854</v>
          </cell>
          <cell r="H116">
            <v>5.5563060599134531</v>
          </cell>
          <cell r="I116">
            <v>3.8651724083702828</v>
          </cell>
          <cell r="J116">
            <v>3.8716043455671243</v>
          </cell>
          <cell r="K116">
            <v>3.9535111498107973</v>
          </cell>
          <cell r="L116">
            <v>4.2610564114300571</v>
          </cell>
          <cell r="M116">
            <v>4.5056008743330294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6.3526009155800431E-3</v>
          </cell>
          <cell r="F117">
            <v>4.8464823840237477E-3</v>
          </cell>
          <cell r="G117">
            <v>3.7242574133983064E-3</v>
          </cell>
          <cell r="H117">
            <v>5.4664681224232993E-3</v>
          </cell>
          <cell r="I117">
            <v>8.7126262522155412E-3</v>
          </cell>
          <cell r="J117">
            <v>7.8625683178506003E-3</v>
          </cell>
          <cell r="K117">
            <v>1.0317623170735051E-2</v>
          </cell>
          <cell r="L117">
            <v>1.0323059709696934E-2</v>
          </cell>
          <cell r="M117">
            <v>2.2595578253317736E-2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4.6448093907548342E-4</v>
          </cell>
          <cell r="F118">
            <v>1.492479168611033E-3</v>
          </cell>
          <cell r="G118">
            <v>1.4356371699268686E-3</v>
          </cell>
          <cell r="H118">
            <v>1.0811225769495516E-3</v>
          </cell>
          <cell r="I118">
            <v>2.3342328009604424E-3</v>
          </cell>
          <cell r="J118">
            <v>2.3395074302329216E-3</v>
          </cell>
          <cell r="K118">
            <v>4.9650991685014859E-3</v>
          </cell>
          <cell r="L118">
            <v>3.8328998851239349E-3</v>
          </cell>
          <cell r="M118">
            <v>8.8026553879086908E-3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8.8743175341618832E-4</v>
          </cell>
          <cell r="F119">
            <v>2.0010740297037467E-3</v>
          </cell>
          <cell r="G119">
            <v>2.0481002373415481E-3</v>
          </cell>
          <cell r="H119">
            <v>2.3285268922610715E-3</v>
          </cell>
          <cell r="I119">
            <v>5.7058076583348695E-3</v>
          </cell>
          <cell r="J119">
            <v>5.2472915007163523E-3</v>
          </cell>
          <cell r="K119">
            <v>1.2811209627853924E-2</v>
          </cell>
          <cell r="L119">
            <v>9.6791031034381379E-3</v>
          </cell>
          <cell r="M119">
            <v>1.8488614074140507E-2</v>
          </cell>
        </row>
        <row r="123">
          <cell r="B123">
            <v>0</v>
          </cell>
          <cell r="C123">
            <v>3.3405456473014263</v>
          </cell>
          <cell r="D123">
            <v>3.4417682446558082</v>
          </cell>
          <cell r="E123">
            <v>3.6173321217141066</v>
          </cell>
          <cell r="F123">
            <v>3.8018532895302655</v>
          </cell>
          <cell r="G123">
            <v>3.99578638100142</v>
          </cell>
          <cell r="H123">
            <v>4.1996121939344517</v>
          </cell>
          <cell r="I123">
            <v>4.4138367878036497</v>
          </cell>
          <cell r="J123">
            <v>4.6389864404367751</v>
          </cell>
          <cell r="K123">
            <v>4.8756243946867297</v>
          </cell>
          <cell r="L123">
            <v>5.1243328438578688</v>
          </cell>
          <cell r="M123">
            <v>5.3857450877398536</v>
          </cell>
        </row>
      </sheetData>
      <sheetData sheetId="59">
        <row r="13">
          <cell r="B13">
            <v>16.052414035077803</v>
          </cell>
          <cell r="C13">
            <v>20.043398845087996</v>
          </cell>
          <cell r="D13">
            <v>7.2480485481152455</v>
          </cell>
          <cell r="E13">
            <v>15.923518733431001</v>
          </cell>
          <cell r="F13">
            <v>15.970124889871377</v>
          </cell>
          <cell r="G13">
            <v>16.008140850401265</v>
          </cell>
          <cell r="H13">
            <v>16.045460132269557</v>
          </cell>
          <cell r="I13">
            <v>16.086006799236031</v>
          </cell>
          <cell r="J13">
            <v>16.122859837551609</v>
          </cell>
          <cell r="K13">
            <v>16.167248749713149</v>
          </cell>
          <cell r="L13">
            <v>16.216214288474951</v>
          </cell>
          <cell r="M13">
            <v>16.464169748036145</v>
          </cell>
        </row>
        <row r="14">
          <cell r="B14">
            <v>250.94822217467998</v>
          </cell>
          <cell r="C14">
            <v>254.39252495563562</v>
          </cell>
          <cell r="D14">
            <v>224.15584756872414</v>
          </cell>
          <cell r="E14">
            <v>221.52789535729713</v>
          </cell>
          <cell r="F14">
            <v>173.71236014282653</v>
          </cell>
          <cell r="G14">
            <v>100.02410055867948</v>
          </cell>
          <cell r="H14">
            <v>3.3856668300036867</v>
          </cell>
          <cell r="I14">
            <v>21.582477861567504</v>
          </cell>
          <cell r="J14">
            <v>21.619862978763727</v>
          </cell>
          <cell r="K14">
            <v>21.477319190718941</v>
          </cell>
          <cell r="L14">
            <v>20.433440479585226</v>
          </cell>
          <cell r="M14">
            <v>20.660262600323637</v>
          </cell>
        </row>
        <row r="15">
          <cell r="B15">
            <v>66.745679999996938</v>
          </cell>
          <cell r="C15">
            <v>49.79880272042594</v>
          </cell>
          <cell r="D15">
            <v>68.534766593212652</v>
          </cell>
          <cell r="E15">
            <v>69.617936454117398</v>
          </cell>
          <cell r="F15">
            <v>70.70230294535466</v>
          </cell>
          <cell r="G15">
            <v>71.787070620196403</v>
          </cell>
          <cell r="H15">
            <v>72.871347957925721</v>
          </cell>
          <cell r="I15">
            <v>73.956372894292386</v>
          </cell>
          <cell r="J15">
            <v>73.956376943374877</v>
          </cell>
          <cell r="K15">
            <v>73.956432969456429</v>
          </cell>
          <cell r="L15">
            <v>73.956436818231353</v>
          </cell>
          <cell r="M15">
            <v>73.955970595593016</v>
          </cell>
        </row>
        <row r="16">
          <cell r="B16">
            <v>66.632400513568854</v>
          </cell>
          <cell r="C16">
            <v>55.764004154854931</v>
          </cell>
          <cell r="D16">
            <v>65.551417749832652</v>
          </cell>
          <cell r="E16">
            <v>64.468275679026817</v>
          </cell>
          <cell r="F16">
            <v>63.383969368795363</v>
          </cell>
          <cell r="G16">
            <v>62.299204126580534</v>
          </cell>
          <cell r="H16">
            <v>61.21492577383524</v>
          </cell>
          <cell r="I16">
            <v>60.129903182655362</v>
          </cell>
          <cell r="J16">
            <v>60.129900586362993</v>
          </cell>
          <cell r="K16">
            <v>60.129843003729704</v>
          </cell>
          <cell r="L16">
            <v>60.129842330749057</v>
          </cell>
          <cell r="M16">
            <v>60.130335854346129</v>
          </cell>
        </row>
        <row r="18">
          <cell r="B18">
            <v>0.12014311757477594</v>
          </cell>
          <cell r="C18">
            <v>2.4314785029788349E-4</v>
          </cell>
          <cell r="D18">
            <v>1.2479674432142186E-2</v>
          </cell>
          <cell r="E18">
            <v>5.7518808445952531E-3</v>
          </cell>
          <cell r="F18">
            <v>7.3286854263023525E-3</v>
          </cell>
          <cell r="G18">
            <v>9.1064137074630697E-3</v>
          </cell>
          <cell r="H18">
            <v>2.9283525330750418E-2</v>
          </cell>
          <cell r="I18">
            <v>5.8934645744346335E-2</v>
          </cell>
          <cell r="J18">
            <v>3.1417712278630605E-2</v>
          </cell>
          <cell r="K18">
            <v>3.7460669324218779E-2</v>
          </cell>
          <cell r="L18">
            <v>4.4734000185088607E-2</v>
          </cell>
          <cell r="M18">
            <v>6.3923853850533119E-2</v>
          </cell>
        </row>
        <row r="19">
          <cell r="B19">
            <v>18.203591518172477</v>
          </cell>
          <cell r="C19">
            <v>20.42978458717597</v>
          </cell>
          <cell r="D19">
            <v>21.550790171917555</v>
          </cell>
          <cell r="E19">
            <v>20.69659417128959</v>
          </cell>
          <cell r="F19">
            <v>20.958781822520375</v>
          </cell>
          <cell r="G19">
            <v>21.451614429755175</v>
          </cell>
          <cell r="H19">
            <v>21.956352013254126</v>
          </cell>
          <cell r="I19">
            <v>22.47346106597216</v>
          </cell>
          <cell r="J19">
            <v>22.473428605535837</v>
          </cell>
          <cell r="K19">
            <v>22.473442803204087</v>
          </cell>
          <cell r="L19">
            <v>22.473447446011438</v>
          </cell>
          <cell r="M19">
            <v>22.473548933342769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3.4459778137166407E-2</v>
          </cell>
          <cell r="H21">
            <v>5.7741354631919357</v>
          </cell>
          <cell r="I21">
            <v>13.799016547763605</v>
          </cell>
          <cell r="J21">
            <v>15.668451146307762</v>
          </cell>
          <cell r="K21">
            <v>18.444272956242767</v>
          </cell>
          <cell r="L21">
            <v>19.929522084317163</v>
          </cell>
          <cell r="M21">
            <v>18.265649600195914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2.2435665478696441E-2</v>
          </cell>
          <cell r="G22">
            <v>0.17580958664071275</v>
          </cell>
          <cell r="H22">
            <v>1.0895195851271506</v>
          </cell>
          <cell r="I22">
            <v>0.6048138526893333</v>
          </cell>
          <cell r="J22">
            <v>0.90487101720048624</v>
          </cell>
          <cell r="K22">
            <v>0.69614258335823864</v>
          </cell>
          <cell r="L22">
            <v>0.11854752906936897</v>
          </cell>
          <cell r="M22">
            <v>0.39052382810097619</v>
          </cell>
          <cell r="P22">
            <v>2.5620517885213183</v>
          </cell>
          <cell r="Q22">
            <v>1.1786787552639448</v>
          </cell>
          <cell r="R22">
            <v>1.1212596314971648</v>
          </cell>
          <cell r="S22">
            <v>3.7006117113362209</v>
          </cell>
          <cell r="T22">
            <v>4.7565379036613722</v>
          </cell>
          <cell r="U22">
            <v>5.2734085326149414</v>
          </cell>
          <cell r="V22">
            <v>6.8920970984553511</v>
          </cell>
          <cell r="W22">
            <v>7.4615361079202627</v>
          </cell>
          <cell r="X22">
            <v>7.9391478398375162</v>
          </cell>
          <cell r="Y22">
            <v>8.3493551914126645</v>
          </cell>
          <cell r="Z22">
            <v>8.3836526882922868</v>
          </cell>
          <cell r="AA22">
            <v>8.1156891999471092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3.3359347242219411E-4</v>
          </cell>
          <cell r="H23">
            <v>4.4884129702485519E-4</v>
          </cell>
          <cell r="I23">
            <v>1.2338593843568128E-3</v>
          </cell>
          <cell r="J23">
            <v>5.8252915038135194E-4</v>
          </cell>
          <cell r="K23">
            <v>1.0001801831018059E-3</v>
          </cell>
          <cell r="L23">
            <v>7.2748034793334779E-4</v>
          </cell>
          <cell r="M23">
            <v>1.4545768348946167E-3</v>
          </cell>
          <cell r="P23">
            <v>6.8918166439885423E-2</v>
          </cell>
          <cell r="Q23">
            <v>5.3716703365956832E-2</v>
          </cell>
          <cell r="R23">
            <v>0.11241444542349473</v>
          </cell>
          <cell r="S23">
            <v>0.16018246037057615</v>
          </cell>
          <cell r="T23">
            <v>0.16376788466645356</v>
          </cell>
          <cell r="U23">
            <v>0.1289882877204663</v>
          </cell>
          <cell r="V23">
            <v>0.12543474047886968</v>
          </cell>
          <cell r="W23">
            <v>0.12264788091087629</v>
          </cell>
          <cell r="X23">
            <v>0.11951207701844663</v>
          </cell>
          <cell r="Y23">
            <v>0.12065987914657011</v>
          </cell>
          <cell r="Z23">
            <v>0.12366849358994164</v>
          </cell>
          <cell r="AA23">
            <v>0.1315986292624865</v>
          </cell>
        </row>
        <row r="24">
          <cell r="B24">
            <v>3.6798492689855324</v>
          </cell>
          <cell r="C24">
            <v>7.5927118441032485E-4</v>
          </cell>
          <cell r="D24">
            <v>6.4983351883729515E-2</v>
          </cell>
          <cell r="E24">
            <v>3.6266651998492709</v>
          </cell>
          <cell r="F24">
            <v>1.5737692504837901</v>
          </cell>
          <cell r="G24">
            <v>3.5046550499944202</v>
          </cell>
          <cell r="H24">
            <v>2.8453793848484685</v>
          </cell>
          <cell r="I24">
            <v>0.45771567307705879</v>
          </cell>
          <cell r="J24">
            <v>0.47688508013009362</v>
          </cell>
          <cell r="K24">
            <v>6.5397810482530142E-2</v>
          </cell>
          <cell r="L24">
            <v>2.254430722869873E-2</v>
          </cell>
          <cell r="M24">
            <v>2.7531109575159342E-2</v>
          </cell>
        </row>
        <row r="25">
          <cell r="B25">
            <v>1.6728139880049802</v>
          </cell>
          <cell r="C25">
            <v>0.23491651507932401</v>
          </cell>
          <cell r="D25">
            <v>1.1386163768759503</v>
          </cell>
          <cell r="E25">
            <v>3.9519514632645887</v>
          </cell>
          <cell r="F25">
            <v>4.5532306554741933</v>
          </cell>
          <cell r="G25">
            <v>5.0540473819293386</v>
          </cell>
          <cell r="H25">
            <v>4.1041873218172817</v>
          </cell>
          <cell r="I25">
            <v>2.0881938466149812</v>
          </cell>
          <cell r="J25">
            <v>1.1992303875740133</v>
          </cell>
          <cell r="K25">
            <v>1.2249666797812166</v>
          </cell>
          <cell r="L25">
            <v>1.3248061283423775</v>
          </cell>
          <cell r="M25">
            <v>1.1357360438299895</v>
          </cell>
        </row>
        <row r="26">
          <cell r="B26">
            <v>40.158338277411517</v>
          </cell>
          <cell r="C26">
            <v>37.679450225073339</v>
          </cell>
          <cell r="D26">
            <v>36.91814069607647</v>
          </cell>
          <cell r="E26">
            <v>37.446126231621058</v>
          </cell>
          <cell r="F26">
            <v>37.204866120846226</v>
          </cell>
          <cell r="G26">
            <v>36.987440512063969</v>
          </cell>
          <cell r="H26">
            <v>36.759028607823197</v>
          </cell>
          <cell r="I26">
            <v>36.518339723133671</v>
          </cell>
          <cell r="J26">
            <v>36.518224870075535</v>
          </cell>
          <cell r="K26">
            <v>36.518045988873119</v>
          </cell>
          <cell r="L26">
            <v>36.517958331493453</v>
          </cell>
          <cell r="M26">
            <v>36.516829399042756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2.1855862149474575E-2</v>
          </cell>
          <cell r="C28">
            <v>3.9134019642273203E-4</v>
          </cell>
          <cell r="D28">
            <v>1.1497929176956034E-2</v>
          </cell>
          <cell r="E28">
            <v>7.0410273557690636E-3</v>
          </cell>
          <cell r="F28">
            <v>9.9568672621112436E-3</v>
          </cell>
          <cell r="G28">
            <v>1.0657690800186446E-2</v>
          </cell>
          <cell r="H28">
            <v>1.1046017927181434E-2</v>
          </cell>
          <cell r="I28">
            <v>1.7469612781167668E-2</v>
          </cell>
          <cell r="J28">
            <v>1.2321864614540552E-2</v>
          </cell>
          <cell r="K28">
            <v>1.7388075401062235E-2</v>
          </cell>
          <cell r="L28">
            <v>1.3253380756624786E-2</v>
          </cell>
          <cell r="M28">
            <v>1.8269013676841601E-2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1.1523236701570361</v>
          </cell>
          <cell r="H29">
            <v>2.5364425394669077</v>
          </cell>
          <cell r="I29">
            <v>2.5366452798273142</v>
          </cell>
          <cell r="J29">
            <v>2.2091698496515808</v>
          </cell>
          <cell r="K29">
            <v>1.4718068204841763</v>
          </cell>
          <cell r="L29">
            <v>7.3001230181224494E-2</v>
          </cell>
          <cell r="M29">
            <v>4.9730349919523222E-2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4.5064617411263146E-3</v>
          </cell>
          <cell r="H30">
            <v>4.6022846754662818E-3</v>
          </cell>
          <cell r="I30">
            <v>7.9921375845684508E-3</v>
          </cell>
          <cell r="J30">
            <v>8.0356050141601916E-3</v>
          </cell>
          <cell r="K30">
            <v>9.1060810235542938E-2</v>
          </cell>
          <cell r="L30">
            <v>9.5476683409478458E-2</v>
          </cell>
          <cell r="M30">
            <v>9.6752536011670193E-2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4.3955422057792023E-4</v>
          </cell>
          <cell r="H31">
            <v>4.9444957279225817E-4</v>
          </cell>
          <cell r="I31">
            <v>1.2692832993838274E-3</v>
          </cell>
          <cell r="J31">
            <v>6.1424886279085598E-4</v>
          </cell>
          <cell r="K31">
            <v>1.1727706889987216E-3</v>
          </cell>
          <cell r="L31">
            <v>9.7451736489516155E-4</v>
          </cell>
          <cell r="M31">
            <v>2.2967250564303889E-3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3.6610405144396854E-2</v>
          </cell>
          <cell r="I32">
            <v>5.6887809552508967E-2</v>
          </cell>
          <cell r="J32">
            <v>6.009835384293391E-2</v>
          </cell>
          <cell r="K32">
            <v>6.7060081558642223E-2</v>
          </cell>
          <cell r="L32">
            <v>7.7915381998092212E-2</v>
          </cell>
          <cell r="M32">
            <v>0.13820543227967247</v>
          </cell>
        </row>
        <row r="33">
          <cell r="B33">
            <v>0.52400000000000047</v>
          </cell>
          <cell r="C33">
            <v>0.54529230746486002</v>
          </cell>
          <cell r="D33">
            <v>0.503164905798409</v>
          </cell>
          <cell r="E33">
            <v>0.54657696956086987</v>
          </cell>
          <cell r="F33">
            <v>0.5470761562361417</v>
          </cell>
          <cell r="G33">
            <v>0.54724784812225757</v>
          </cell>
          <cell r="H33">
            <v>0.55273988564425414</v>
          </cell>
          <cell r="I33">
            <v>0.55281225691644442</v>
          </cell>
          <cell r="J33">
            <v>0.55282019454418119</v>
          </cell>
          <cell r="K33">
            <v>0.55283772132341857</v>
          </cell>
          <cell r="L33">
            <v>0.55342834497210747</v>
          </cell>
          <cell r="M33">
            <v>0.55653054330829999</v>
          </cell>
        </row>
        <row r="34">
          <cell r="B34">
            <v>0</v>
          </cell>
          <cell r="C34">
            <v>0</v>
          </cell>
          <cell r="D34">
            <v>0.15619404613268542</v>
          </cell>
          <cell r="E34">
            <v>0.30116756440086828</v>
          </cell>
          <cell r="F34">
            <v>1.0500146152760959</v>
          </cell>
          <cell r="G34">
            <v>1.0515057706679878</v>
          </cell>
          <cell r="H34">
            <v>0.85774286604747529</v>
          </cell>
          <cell r="I34">
            <v>0.75209545904569852</v>
          </cell>
          <cell r="J34">
            <v>0.23194639823125895</v>
          </cell>
          <cell r="K34">
            <v>8.2552343717400403E-2</v>
          </cell>
          <cell r="L34">
            <v>8.3302201902129405E-2</v>
          </cell>
          <cell r="M34">
            <v>1.0090386764474102</v>
          </cell>
        </row>
        <row r="35">
          <cell r="B35">
            <v>3.517953999707534</v>
          </cell>
          <cell r="C35">
            <v>4.8486223629257434</v>
          </cell>
          <cell r="D35">
            <v>11.927077850684414</v>
          </cell>
          <cell r="E35">
            <v>14.116600821845296</v>
          </cell>
          <cell r="F35">
            <v>14.836697360292424</v>
          </cell>
          <cell r="G35">
            <v>15.593517416461676</v>
          </cell>
          <cell r="H35">
            <v>16.388945344742538</v>
          </cell>
          <cell r="I35">
            <v>17.224949043055599</v>
          </cell>
          <cell r="J35">
            <v>18.103597582950265</v>
          </cell>
          <cell r="K35">
            <v>19.027068944121876</v>
          </cell>
          <cell r="L35">
            <v>19.997650575076346</v>
          </cell>
          <cell r="M35">
            <v>21.017784969573515</v>
          </cell>
        </row>
        <row r="36">
          <cell r="B36">
            <v>2.1349390887346629</v>
          </cell>
          <cell r="C36">
            <v>3.3906968890761346</v>
          </cell>
          <cell r="D36">
            <v>6.9697615016382839</v>
          </cell>
          <cell r="E36">
            <v>18.917238811391851</v>
          </cell>
          <cell r="F36">
            <v>19.8822148995033</v>
          </cell>
          <cell r="G36">
            <v>20.896407718056516</v>
          </cell>
          <cell r="H36">
            <v>21.962334684595938</v>
          </cell>
          <cell r="I36">
            <v>23.082637001311717</v>
          </cell>
          <cell r="J36">
            <v>24.260085018839593</v>
          </cell>
          <cell r="K36">
            <v>25.497598952371124</v>
          </cell>
          <cell r="L36">
            <v>26.798238494954347</v>
          </cell>
          <cell r="M36">
            <v>28.165371246640877</v>
          </cell>
        </row>
        <row r="37">
          <cell r="B37">
            <v>0.86248322578584768</v>
          </cell>
          <cell r="C37">
            <v>1.2876189037011077</v>
          </cell>
          <cell r="D37">
            <v>5.8107753183328441</v>
          </cell>
          <cell r="E37">
            <v>13.439522789975808</v>
          </cell>
          <cell r="F37">
            <v>14.125083298233466</v>
          </cell>
          <cell r="G37">
            <v>14.845604524664282</v>
          </cell>
          <cell r="H37">
            <v>15.602879834951064</v>
          </cell>
          <cell r="I37">
            <v>16.398785942949473</v>
          </cell>
          <cell r="J37">
            <v>17.235290218903749</v>
          </cell>
          <cell r="K37">
            <v>18.11446759757866</v>
          </cell>
          <cell r="L37">
            <v>19.038492601518048</v>
          </cell>
          <cell r="M37">
            <v>20.009692594447074</v>
          </cell>
        </row>
        <row r="38">
          <cell r="B38">
            <v>2.8396236857719668</v>
          </cell>
          <cell r="C38">
            <v>3.2944551386163567</v>
          </cell>
          <cell r="D38">
            <v>3.9362047310641173</v>
          </cell>
          <cell r="E38">
            <v>4.4088901557220552</v>
          </cell>
          <cell r="F38">
            <v>4.6337904350980068</v>
          </cell>
          <cell r="G38">
            <v>4.8701588541244414</v>
          </cell>
          <cell r="H38">
            <v>5.1185867382733212</v>
          </cell>
          <cell r="I38">
            <v>5.3796875317432953</v>
          </cell>
          <cell r="J38">
            <v>5.6541069341514083</v>
          </cell>
          <cell r="K38">
            <v>5.9425271688172998</v>
          </cell>
          <cell r="L38">
            <v>6.2456608388504664</v>
          </cell>
          <cell r="M38">
            <v>6.5643056511261717</v>
          </cell>
        </row>
        <row r="39">
          <cell r="B39">
            <v>1.9213996205781443</v>
          </cell>
          <cell r="C39">
            <v>0.25674261404627979</v>
          </cell>
          <cell r="D39">
            <v>0.16408721719862052</v>
          </cell>
          <cell r="E39">
            <v>1.8157328197465632</v>
          </cell>
          <cell r="F39">
            <v>1.7868105809037202</v>
          </cell>
          <cell r="G39">
            <v>0.45210572252765824</v>
          </cell>
          <cell r="H39">
            <v>0.29198174746224081</v>
          </cell>
          <cell r="I39">
            <v>0.17750552119006219</v>
          </cell>
          <cell r="J39">
            <v>8.8861609229961683E-2</v>
          </cell>
          <cell r="K39">
            <v>9.7382953987405471E-2</v>
          </cell>
          <cell r="L39">
            <v>0.14072452566900892</v>
          </cell>
          <cell r="M39">
            <v>0.2395471185897334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2.8086548597984137E-4</v>
          </cell>
          <cell r="H40">
            <v>3.5032399172367918E-4</v>
          </cell>
          <cell r="I40">
            <v>8.8867754899257302E-4</v>
          </cell>
          <cell r="J40">
            <v>4.3689745304653681E-4</v>
          </cell>
          <cell r="K40">
            <v>7.5096516484607855E-4</v>
          </cell>
          <cell r="L40">
            <v>7.3213866897893682E-4</v>
          </cell>
          <cell r="M40">
            <v>1.4685171266334562E-3</v>
          </cell>
        </row>
        <row r="41">
          <cell r="B41">
            <v>0.29562089063586394</v>
          </cell>
          <cell r="C41">
            <v>0.69513663310317653</v>
          </cell>
          <cell r="D41">
            <v>1.1966187875798414E-2</v>
          </cell>
          <cell r="E41">
            <v>0.64361298558790658</v>
          </cell>
          <cell r="F41">
            <v>0.63964884513214015</v>
          </cell>
          <cell r="G41">
            <v>7.2291140488860997E-2</v>
          </cell>
          <cell r="H41">
            <v>8.0003025024600743E-2</v>
          </cell>
          <cell r="I41">
            <v>0.10073944219248596</v>
          </cell>
          <cell r="J41">
            <v>0.10701872742661905</v>
          </cell>
          <cell r="K41">
            <v>0.10646684537174665</v>
          </cell>
          <cell r="L41">
            <v>0.10503507673695413</v>
          </cell>
          <cell r="M41">
            <v>0.10945921084674877</v>
          </cell>
        </row>
        <row r="42">
          <cell r="B42">
            <v>0.87378944781891155</v>
          </cell>
          <cell r="C42">
            <v>2.3099170345829769</v>
          </cell>
          <cell r="D42">
            <v>4.5387208857873249</v>
          </cell>
          <cell r="E42">
            <v>6.0547008375490154</v>
          </cell>
          <cell r="F42">
            <v>7.3360383388000372</v>
          </cell>
          <cell r="G42">
            <v>8.4556678731820956</v>
          </cell>
          <cell r="H42">
            <v>10.953724386283396</v>
          </cell>
          <cell r="I42">
            <v>13.722702218759069</v>
          </cell>
          <cell r="J42">
            <v>14.950496905505201</v>
          </cell>
          <cell r="K42">
            <v>14.925743441850148</v>
          </cell>
          <cell r="L42">
            <v>14.850752349281169</v>
          </cell>
          <cell r="M42">
            <v>14.953487699018808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4.4576625651690402E-4</v>
          </cell>
          <cell r="H43">
            <v>4.9467450100366831E-4</v>
          </cell>
          <cell r="I43">
            <v>1.2680717160062781E-3</v>
          </cell>
          <cell r="J43">
            <v>6.1348648092095952E-4</v>
          </cell>
          <cell r="K43">
            <v>1.1718481345943524E-3</v>
          </cell>
          <cell r="L43">
            <v>9.7291247074082808E-4</v>
          </cell>
          <cell r="M43">
            <v>2.2947578555887892E-3</v>
          </cell>
        </row>
        <row r="44">
          <cell r="B44">
            <v>3.7119657530540007</v>
          </cell>
          <cell r="C44">
            <v>3.7138570539526361</v>
          </cell>
          <cell r="D44">
            <v>5.4331979125555225</v>
          </cell>
          <cell r="E44">
            <v>5.3724750189229367</v>
          </cell>
          <cell r="F44">
            <v>5.3118136076759921</v>
          </cell>
          <cell r="G44">
            <v>5.2849995313443792</v>
          </cell>
          <cell r="H44">
            <v>5.2581873770814891</v>
          </cell>
          <cell r="I44">
            <v>5.2314173009442628</v>
          </cell>
          <cell r="J44">
            <v>5.2313754408604289</v>
          </cell>
          <cell r="K44">
            <v>5.2314143213661151</v>
          </cell>
          <cell r="L44">
            <v>5.2313839914497287</v>
          </cell>
          <cell r="M44">
            <v>5.2315002505577244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3.5891617298076973E-3</v>
          </cell>
          <cell r="F46">
            <v>1.0745558665975806E-2</v>
          </cell>
          <cell r="G46">
            <v>1.7071142540355393E-2</v>
          </cell>
          <cell r="H46">
            <v>1.6187140945674739E-2</v>
          </cell>
          <cell r="I46">
            <v>4.710042684674598E-2</v>
          </cell>
          <cell r="J46">
            <v>3.9473750936059301E-2</v>
          </cell>
          <cell r="K46">
            <v>0.11727403815246977</v>
          </cell>
          <cell r="L46">
            <v>0.12329050688326554</v>
          </cell>
          <cell r="M46">
            <v>0.14713296739766607</v>
          </cell>
        </row>
        <row r="47">
          <cell r="B47">
            <v>0</v>
          </cell>
        </row>
        <row r="48">
          <cell r="B48">
            <v>6.6635957588494957E-2</v>
          </cell>
          <cell r="C48">
            <v>1.1064750996570101E-2</v>
          </cell>
          <cell r="D48">
            <v>4.2075009061234063E-2</v>
          </cell>
          <cell r="E48">
            <v>3.7784942860098994E-2</v>
          </cell>
          <cell r="F48">
            <v>5.320062870138717E-2</v>
          </cell>
          <cell r="G48">
            <v>5.661663440706996E-2</v>
          </cell>
          <cell r="H48">
            <v>7.0490790446847584E-2</v>
          </cell>
          <cell r="I48">
            <v>9.1982711000844625E-2</v>
          </cell>
          <cell r="J48">
            <v>7.5724878127496092E-2</v>
          </cell>
          <cell r="K48">
            <v>8.5012216600844903E-2</v>
          </cell>
          <cell r="L48">
            <v>0.35449371093163645</v>
          </cell>
          <cell r="M48">
            <v>0.40407998972064202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6.2549638372449284E-4</v>
          </cell>
          <cell r="F49">
            <v>2.1817558862114632E-3</v>
          </cell>
          <cell r="G49">
            <v>2.1738475974483525E-3</v>
          </cell>
          <cell r="H49">
            <v>2.2674502790602877E-3</v>
          </cell>
          <cell r="I49">
            <v>5.3566570621827007E-3</v>
          </cell>
          <cell r="J49">
            <v>4.3382499214481215E-3</v>
          </cell>
          <cell r="K49">
            <v>6.9658570967597085E-3</v>
          </cell>
          <cell r="L49">
            <v>6.7048204335702797E-3</v>
          </cell>
          <cell r="M49">
            <v>1.2441590483849848E-2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6.9666692077589801E-3</v>
          </cell>
          <cell r="F50">
            <v>1.2872587387405479E-2</v>
          </cell>
          <cell r="G50">
            <v>1.2765089871641024E-2</v>
          </cell>
          <cell r="H50">
            <v>1.2635646949644532E-2</v>
          </cell>
          <cell r="I50">
            <v>2.9506485680030517E-2</v>
          </cell>
          <cell r="J50">
            <v>2.5445440494868354E-2</v>
          </cell>
          <cell r="K50">
            <v>3.3915003988445165E-2</v>
          </cell>
          <cell r="L50">
            <v>2.2740655537273627E-2</v>
          </cell>
          <cell r="M50">
            <v>4.4267914138746631E-2</v>
          </cell>
        </row>
        <row r="51">
          <cell r="B51">
            <v>0.11124294850921469</v>
          </cell>
          <cell r="C51">
            <v>8.1174422759289697E-2</v>
          </cell>
          <cell r="D51">
            <v>0.35667215602720681</v>
          </cell>
          <cell r="E51">
            <v>2.1025756229892378</v>
          </cell>
          <cell r="F51">
            <v>2.1870122694232794</v>
          </cell>
          <cell r="G51">
            <v>2.4492963642574961</v>
          </cell>
          <cell r="H51">
            <v>2.2051216568157743</v>
          </cell>
          <cell r="I51">
            <v>2.3688727958398323</v>
          </cell>
          <cell r="J51">
            <v>2.3130997924870753</v>
          </cell>
          <cell r="K51">
            <v>2.1993144359789918</v>
          </cell>
          <cell r="L51">
            <v>2.000885071401453</v>
          </cell>
          <cell r="M51">
            <v>1.7751516007696739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2.7474342190712559E-3</v>
          </cell>
          <cell r="F52">
            <v>1.0717979884706481E-2</v>
          </cell>
          <cell r="G52">
            <v>1.0738823039253742E-2</v>
          </cell>
          <cell r="H52">
            <v>1.1978173799335025E-2</v>
          </cell>
          <cell r="I52">
            <v>3.256734609488901E-2</v>
          </cell>
          <cell r="J52">
            <v>2.8060305758697709E-2</v>
          </cell>
          <cell r="K52">
            <v>5.7362139832201189E-2</v>
          </cell>
          <cell r="L52">
            <v>5.5726902685012736E-2</v>
          </cell>
          <cell r="M52">
            <v>9.8121959456009128E-2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1.5676789611200417E-2</v>
          </cell>
          <cell r="F53">
            <v>1.9975597191630442E-2</v>
          </cell>
          <cell r="G53">
            <v>1.7778573030401534E-2</v>
          </cell>
          <cell r="H53">
            <v>1.8197018350339673E-2</v>
          </cell>
          <cell r="I53">
            <v>4.8867819887991791E-2</v>
          </cell>
          <cell r="J53">
            <v>4.4385873787928048E-2</v>
          </cell>
          <cell r="K53">
            <v>4.0973372236650193E-2</v>
          </cell>
          <cell r="L53">
            <v>3.8203291025347266E-2</v>
          </cell>
          <cell r="M53">
            <v>7.4726298243584455E-2</v>
          </cell>
        </row>
        <row r="54">
          <cell r="B54">
            <v>2.6454152270692646</v>
          </cell>
          <cell r="C54">
            <v>3.0462498628839039</v>
          </cell>
          <cell r="D54">
            <v>3.0425806976027925</v>
          </cell>
          <cell r="E54">
            <v>3.0351834435336968</v>
          </cell>
          <cell r="F54">
            <v>2.9923153882979352</v>
          </cell>
          <cell r="G54">
            <v>2.9537514551891051</v>
          </cell>
          <cell r="H54">
            <v>2.9229423915946779</v>
          </cell>
          <cell r="I54">
            <v>2.8809852889460901</v>
          </cell>
          <cell r="J54">
            <v>2.8791952649816701</v>
          </cell>
          <cell r="K54">
            <v>2.8863077625088351</v>
          </cell>
          <cell r="L54">
            <v>2.8868666512184853</v>
          </cell>
          <cell r="M54">
            <v>3.0279081659686535</v>
          </cell>
        </row>
        <row r="55">
          <cell r="B55">
            <v>1.6642734701682094</v>
          </cell>
          <cell r="C55">
            <v>1.7385798187726478</v>
          </cell>
          <cell r="D55">
            <v>1.4642497427471575</v>
          </cell>
          <cell r="E55">
            <v>6.2289710491548078</v>
          </cell>
          <cell r="F55">
            <v>11.002226346201752</v>
          </cell>
          <cell r="G55">
            <v>10.534452512549757</v>
          </cell>
          <cell r="H55">
            <v>10.377976574270773</v>
          </cell>
          <cell r="I55">
            <v>7.2005603934720215</v>
          </cell>
          <cell r="J55">
            <v>7.2205074900608901</v>
          </cell>
          <cell r="K55">
            <v>7.3802952392969452</v>
          </cell>
          <cell r="L55">
            <v>7.938980897254047</v>
          </cell>
          <cell r="M55">
            <v>8.3989504957736827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1.2437211036022732E-2</v>
          </cell>
          <cell r="F56">
            <v>9.9496953124765322E-3</v>
          </cell>
          <cell r="G56">
            <v>7.8830500037659745E-3</v>
          </cell>
          <cell r="H56">
            <v>1.1143756806369984E-2</v>
          </cell>
          <cell r="I56">
            <v>1.8665532315816077E-2</v>
          </cell>
          <cell r="J56">
            <v>1.5904607679019869E-2</v>
          </cell>
          <cell r="K56">
            <v>2.1479728494110634E-2</v>
          </cell>
          <cell r="L56">
            <v>2.1069917939453543E-2</v>
          </cell>
          <cell r="M56">
            <v>4.6457673053820266E-2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2.4823265829823473E-3</v>
          </cell>
          <cell r="F57">
            <v>5.7051489106806222E-3</v>
          </cell>
          <cell r="G57">
            <v>6.0238242274751426E-3</v>
          </cell>
          <cell r="H57">
            <v>6.9912378378355735E-3</v>
          </cell>
          <cell r="I57">
            <v>1.7556331256414967E-2</v>
          </cell>
          <cell r="J57">
            <v>1.614551230989645E-2</v>
          </cell>
          <cell r="K57">
            <v>3.9419106547242795E-2</v>
          </cell>
          <cell r="L57">
            <v>2.978185570288655E-2</v>
          </cell>
          <cell r="M57">
            <v>5.6888043305047632E-2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2.5804496615304626E-3</v>
          </cell>
          <cell r="F58">
            <v>8.2909846126423981E-3</v>
          </cell>
          <cell r="G58">
            <v>7.9757620551492592E-3</v>
          </cell>
          <cell r="H58">
            <v>6.0058395370527528E-3</v>
          </cell>
          <cell r="I58">
            <v>1.2967960005335805E-2</v>
          </cell>
          <cell r="J58">
            <v>1.2997263501294017E-2</v>
          </cell>
          <cell r="K58">
            <v>2.758388426945272E-2</v>
          </cell>
          <cell r="L58">
            <v>2.1293888250688557E-2</v>
          </cell>
          <cell r="M58">
            <v>4.8903641043937282E-2</v>
          </cell>
        </row>
        <row r="63">
          <cell r="B63">
            <v>0.13509956177268698</v>
          </cell>
          <cell r="C63">
            <v>1.2235627120077124E-2</v>
          </cell>
          <cell r="D63">
            <v>0.13489094841233035</v>
          </cell>
          <cell r="E63">
            <v>6.3391836443596583E-2</v>
          </cell>
          <cell r="F63">
            <v>5.5395112373416926E-2</v>
          </cell>
          <cell r="G63">
            <v>5.4932661994588079E-2</v>
          </cell>
          <cell r="H63">
            <v>4.6516014318872759E-3</v>
          </cell>
          <cell r="I63">
            <v>2.2084478468407394E-2</v>
          </cell>
          <cell r="J63">
            <v>8.6422776996585349E-2</v>
          </cell>
          <cell r="K63">
            <v>0.13490648065431882</v>
          </cell>
          <cell r="L63">
            <v>0.13494097151814549</v>
          </cell>
          <cell r="M63">
            <v>0.13490028246298602</v>
          </cell>
        </row>
        <row r="64">
          <cell r="B64">
            <v>3.9767101690146734E-3</v>
          </cell>
          <cell r="C64">
            <v>3.1955704003548396E-3</v>
          </cell>
          <cell r="D64">
            <v>3.8915490173467974E-3</v>
          </cell>
          <cell r="E64">
            <v>3.7525919493753674E-3</v>
          </cell>
          <cell r="F64">
            <v>9.558250373299949E-3</v>
          </cell>
          <cell r="G64">
            <v>0.14904881161193798</v>
          </cell>
          <cell r="H64">
            <v>0.14989695814962559</v>
          </cell>
          <cell r="I64">
            <v>0.23059528871519738</v>
          </cell>
          <cell r="J64">
            <v>0.23277295647504948</v>
          </cell>
          <cell r="K64">
            <v>0.29413920247262026</v>
          </cell>
          <cell r="L64">
            <v>0.29514213605057882</v>
          </cell>
          <cell r="M64">
            <v>0.30028633480682532</v>
          </cell>
        </row>
        <row r="65">
          <cell r="B65">
            <v>3.528089446071823E-3</v>
          </cell>
          <cell r="C65">
            <v>2.8370054444341645E-3</v>
          </cell>
          <cell r="D65">
            <v>3.3762842909064415E-3</v>
          </cell>
          <cell r="E65">
            <v>3.4542528641127446E-3</v>
          </cell>
          <cell r="F65">
            <v>9.0331391359097079E-3</v>
          </cell>
          <cell r="G65">
            <v>5.9982371671402329E-2</v>
          </cell>
          <cell r="H65">
            <v>0.41639871393131472</v>
          </cell>
          <cell r="I65">
            <v>0.93514308214897113</v>
          </cell>
          <cell r="J65">
            <v>1.4564506695370514</v>
          </cell>
          <cell r="K65">
            <v>2.0232768206987837</v>
          </cell>
          <cell r="L65">
            <v>2.2661317059747219</v>
          </cell>
          <cell r="M65">
            <v>2.5717729171120038</v>
          </cell>
        </row>
        <row r="66">
          <cell r="B66">
            <v>1.1287759496078594E-3</v>
          </cell>
          <cell r="C66">
            <v>1.1248909103289992E-3</v>
          </cell>
          <cell r="D66">
            <v>1.1238160463243763E-3</v>
          </cell>
          <cell r="E66">
            <v>3.8992600618164133E-2</v>
          </cell>
          <cell r="F66">
            <v>6.3949792989016124E-2</v>
          </cell>
          <cell r="G66">
            <v>6.5743754804493612E-2</v>
          </cell>
          <cell r="H66">
            <v>6.7865215955771788E-2</v>
          </cell>
          <cell r="I66">
            <v>8.9734248245771434E-2</v>
          </cell>
          <cell r="J66">
            <v>9.053356702180948E-2</v>
          </cell>
          <cell r="K66">
            <v>0.12295796505888729</v>
          </cell>
          <cell r="L66">
            <v>0.19057903691029188</v>
          </cell>
          <cell r="M66">
            <v>0.16635850449745876</v>
          </cell>
        </row>
        <row r="67">
          <cell r="B67">
            <v>2.2544026930582336E-3</v>
          </cell>
          <cell r="C67">
            <v>2.24684745135191E-3</v>
          </cell>
          <cell r="D67">
            <v>2.2493144570883581E-3</v>
          </cell>
          <cell r="E67">
            <v>6.4252140090330367E-2</v>
          </cell>
          <cell r="F67">
            <v>0.1120333037292814</v>
          </cell>
          <cell r="G67">
            <v>0.11960753071097044</v>
          </cell>
          <cell r="H67">
            <v>0.13178945767769928</v>
          </cell>
          <cell r="I67">
            <v>0.15154743888725455</v>
          </cell>
          <cell r="J67">
            <v>0.16072951344807845</v>
          </cell>
          <cell r="K67">
            <v>0.15855273734396147</v>
          </cell>
          <cell r="L67">
            <v>0.14337343261513733</v>
          </cell>
          <cell r="M67">
            <v>0.16321810435559664</v>
          </cell>
        </row>
        <row r="68">
          <cell r="B68">
            <v>2.2577358499235199E-3</v>
          </cell>
          <cell r="C68">
            <v>2.2502444550553126E-3</v>
          </cell>
          <cell r="D68">
            <v>2.2521228153824574E-3</v>
          </cell>
          <cell r="E68">
            <v>6.4636369277296324E-2</v>
          </cell>
          <cell r="F68">
            <v>0.11327103487811516</v>
          </cell>
          <cell r="G68">
            <v>0.14204740707790897</v>
          </cell>
          <cell r="H68">
            <v>0.14036346484920328</v>
          </cell>
          <cell r="I68">
            <v>0.15154360502163167</v>
          </cell>
          <cell r="J68">
            <v>0.1606425274788072</v>
          </cell>
          <cell r="K68">
            <v>0.15859734716917667</v>
          </cell>
          <cell r="L68">
            <v>0.14343009821744607</v>
          </cell>
          <cell r="M68">
            <v>0.16323300092302218</v>
          </cell>
        </row>
        <row r="69">
          <cell r="B69">
            <v>1.1326628222899674E-3</v>
          </cell>
          <cell r="C69">
            <v>1.1288146347176696E-3</v>
          </cell>
          <cell r="D69">
            <v>1.1277809875475532E-3</v>
          </cell>
          <cell r="E69">
            <v>4.2986216322520483E-2</v>
          </cell>
          <cell r="F69">
            <v>7.524908342344945E-2</v>
          </cell>
          <cell r="G69">
            <v>9.4901755146316061E-2</v>
          </cell>
          <cell r="H69">
            <v>9.3581931038429808E-2</v>
          </cell>
          <cell r="I69">
            <v>9.9639756348349456E-2</v>
          </cell>
          <cell r="J69">
            <v>0.10475214795435095</v>
          </cell>
          <cell r="K69">
            <v>0.10358015403813087</v>
          </cell>
          <cell r="L69">
            <v>9.3845392647339862E-2</v>
          </cell>
          <cell r="M69">
            <v>0.10831342262934571</v>
          </cell>
        </row>
        <row r="90">
          <cell r="B90">
            <v>2.0280905720307381</v>
          </cell>
          <cell r="C90">
            <v>2.3483027733084469</v>
          </cell>
          <cell r="D90">
            <v>2.3491591999964276</v>
          </cell>
          <cell r="E90">
            <v>7.8843399406371042E-2</v>
          </cell>
          <cell r="F90">
            <v>1.0641753549241537</v>
          </cell>
          <cell r="G90">
            <v>1.0646982474882059</v>
          </cell>
          <cell r="H90">
            <v>4.647185454465734E-2</v>
          </cell>
          <cell r="I90">
            <v>4.6934152423697651E-3</v>
          </cell>
          <cell r="J90">
            <v>1.9873006122126243E-3</v>
          </cell>
          <cell r="K90">
            <v>6.253331600518738E-3</v>
          </cell>
          <cell r="L90">
            <v>1.4483371219772608E-3</v>
          </cell>
          <cell r="M90">
            <v>1.9839884766757608E-3</v>
          </cell>
        </row>
        <row r="91">
          <cell r="B91">
            <v>1.183953063426149</v>
          </cell>
          <cell r="C91">
            <v>2.0246736866193751</v>
          </cell>
          <cell r="D91">
            <v>2.0246739935050653</v>
          </cell>
          <cell r="E91">
            <v>2.0246726726485171</v>
          </cell>
          <cell r="F91">
            <v>2.0246747505803349</v>
          </cell>
          <cell r="G91">
            <v>2.0246766337209423</v>
          </cell>
          <cell r="H91">
            <v>2.0246786694197878</v>
          </cell>
          <cell r="I91">
            <v>2.0246834095455641</v>
          </cell>
          <cell r="J91">
            <v>2.0246840673832054</v>
          </cell>
          <cell r="K91">
            <v>2.0246957222556072</v>
          </cell>
          <cell r="L91">
            <v>2.0247008085634461</v>
          </cell>
          <cell r="M91">
            <v>2.0247281695909938</v>
          </cell>
        </row>
        <row r="92">
          <cell r="B92">
            <v>1.4500338557958306</v>
          </cell>
          <cell r="C92">
            <v>3.8019238095733119</v>
          </cell>
          <cell r="D92">
            <v>3.8011203961961888</v>
          </cell>
          <cell r="E92">
            <v>1.1501121146463997</v>
          </cell>
          <cell r="F92">
            <v>0.69724305995293068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</row>
        <row r="93">
          <cell r="B93">
            <v>0.21544601041503528</v>
          </cell>
          <cell r="C93">
            <v>0.21750647845029705</v>
          </cell>
          <cell r="D93">
            <v>1.7040332305118791E-3</v>
          </cell>
          <cell r="E93">
            <v>1.6769318656820016E-3</v>
          </cell>
          <cell r="F93">
            <v>1.3247299899254452E-3</v>
          </cell>
          <cell r="G93">
            <v>1.1939848212406941E-3</v>
          </cell>
          <cell r="H93">
            <v>1.1660219032134536E-3</v>
          </cell>
          <cell r="I93">
            <v>4.8850443807352153E-4</v>
          </cell>
          <cell r="J93">
            <v>1.0454814344689842E-3</v>
          </cell>
          <cell r="K93">
            <v>4.7572495779847434E-4</v>
          </cell>
          <cell r="L93">
            <v>9.5490136072000711E-4</v>
          </cell>
          <cell r="M93">
            <v>4.8406842107870135E-4</v>
          </cell>
        </row>
        <row r="94">
          <cell r="B94">
            <v>1.8272078901588846</v>
          </cell>
          <cell r="C94">
            <v>1.6490497661515846</v>
          </cell>
          <cell r="D94">
            <v>1.4138570403191881</v>
          </cell>
          <cell r="E94">
            <v>1.0940199158635753</v>
          </cell>
          <cell r="F94">
            <v>0.85450218782971465</v>
          </cell>
          <cell r="G94">
            <v>0.66125550281647016</v>
          </cell>
          <cell r="H94">
            <v>0.5116708801045724</v>
          </cell>
          <cell r="I94">
            <v>0.39593197171768701</v>
          </cell>
          <cell r="J94">
            <v>0.30637510753229663</v>
          </cell>
          <cell r="K94">
            <v>0.23709975770031158</v>
          </cell>
          <cell r="L94">
            <v>0.18348512245920529</v>
          </cell>
          <cell r="M94">
            <v>0.14206349217460928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8.0794178984263418E-5</v>
          </cell>
          <cell r="F95">
            <v>1.2279298015810806E-4</v>
          </cell>
          <cell r="G95">
            <v>1.2926305956662907E-4</v>
          </cell>
          <cell r="H95">
            <v>1.3297671084224678E-4</v>
          </cell>
          <cell r="I95">
            <v>1.4079505529718928E-4</v>
          </cell>
          <cell r="J95">
            <v>1.438255157632662E-4</v>
          </cell>
          <cell r="K95">
            <v>1.6618557822512743E-4</v>
          </cell>
          <cell r="L95">
            <v>1.7867738727394601E-4</v>
          </cell>
          <cell r="M95">
            <v>2.9501938460943153E-4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3.048067359934987E-4</v>
          </cell>
          <cell r="H96">
            <v>3.0535917024442631E-4</v>
          </cell>
          <cell r="I96">
            <v>3.0672653670565372E-4</v>
          </cell>
          <cell r="J96">
            <v>3.0786657723864876E-4</v>
          </cell>
          <cell r="K96">
            <v>3.1280484182570997E-4</v>
          </cell>
          <cell r="L96">
            <v>3.1910437506572529E-4</v>
          </cell>
          <cell r="M96">
            <v>4.7916157675977121E-4</v>
          </cell>
        </row>
        <row r="97">
          <cell r="B97">
            <v>0</v>
          </cell>
          <cell r="C97">
            <v>1.113515215767142</v>
          </cell>
          <cell r="D97">
            <v>1.1472560815519364</v>
          </cell>
          <cell r="E97">
            <v>1.2057773739047015</v>
          </cell>
          <cell r="F97">
            <v>1.2672844298434214</v>
          </cell>
          <cell r="G97">
            <v>1.3319287936671409</v>
          </cell>
          <cell r="H97">
            <v>1.3998707313114827</v>
          </cell>
          <cell r="I97">
            <v>1.4712789292678858</v>
          </cell>
          <cell r="J97">
            <v>1.5463288134789244</v>
          </cell>
          <cell r="K97">
            <v>1.6252081315622429</v>
          </cell>
          <cell r="L97">
            <v>1.7081109479526226</v>
          </cell>
          <cell r="M97">
            <v>1.7952483625799507</v>
          </cell>
        </row>
      </sheetData>
      <sheetData sheetId="60">
        <row r="14">
          <cell r="B14">
            <v>3.0935586168093083</v>
          </cell>
          <cell r="C14">
            <v>3.0935584353319499</v>
          </cell>
          <cell r="D14">
            <v>2.9131724622697526</v>
          </cell>
          <cell r="E14">
            <v>2.757683342195385</v>
          </cell>
          <cell r="F14">
            <v>2.1760293775031574</v>
          </cell>
          <cell r="G14">
            <v>1.3533869160516643</v>
          </cell>
          <cell r="H14">
            <v>0.15944438686266266</v>
          </cell>
          <cell r="I14">
            <v>0.36895011414438378</v>
          </cell>
          <cell r="J14">
            <v>0.33694903507309026</v>
          </cell>
          <cell r="K14">
            <v>0.25489790322660832</v>
          </cell>
          <cell r="L14">
            <v>0.25495979143550668</v>
          </cell>
          <cell r="M14">
            <v>0.25779051786630514</v>
          </cell>
        </row>
        <row r="15">
          <cell r="B15">
            <v>7.3394300010600002</v>
          </cell>
          <cell r="C15">
            <v>7.3414387781923356</v>
          </cell>
          <cell r="D15">
            <v>7.3457810758396738</v>
          </cell>
          <cell r="E15">
            <v>7.41528933229272</v>
          </cell>
          <cell r="F15">
            <v>7.4153722687017565</v>
          </cell>
          <cell r="G15">
            <v>7.4153741377636191</v>
          </cell>
          <cell r="H15">
            <v>7.4904603531786256</v>
          </cell>
          <cell r="I15">
            <v>7.6088168132307041</v>
          </cell>
          <cell r="J15">
            <v>7.608818241231865</v>
          </cell>
          <cell r="K15">
            <v>7.6088246467306275</v>
          </cell>
          <cell r="L15">
            <v>7.6088267675763444</v>
          </cell>
          <cell r="M15">
            <v>7.6088314685554383</v>
          </cell>
        </row>
        <row r="16">
          <cell r="B16">
            <v>4.7247299999999992</v>
          </cell>
          <cell r="C16">
            <v>4.8074819601839582</v>
          </cell>
          <cell r="D16">
            <v>4.8590040135885593</v>
          </cell>
          <cell r="E16">
            <v>4.8628957049509154</v>
          </cell>
          <cell r="F16">
            <v>4.8629537274428136</v>
          </cell>
          <cell r="G16">
            <v>4.862955196435724</v>
          </cell>
          <cell r="H16">
            <v>4.8629573925582852</v>
          </cell>
          <cell r="I16">
            <v>4.8629614586221797</v>
          </cell>
          <cell r="J16">
            <v>4.8629627443393861</v>
          </cell>
          <cell r="K16">
            <v>4.8629674543487464</v>
          </cell>
          <cell r="L16">
            <v>4.8629794140090148</v>
          </cell>
          <cell r="M16">
            <v>4.8634416385970054</v>
          </cell>
        </row>
        <row r="17">
          <cell r="B17">
            <v>3.3394499999999998</v>
          </cell>
          <cell r="C17">
            <v>3.9712532029717118</v>
          </cell>
          <cell r="D17">
            <v>4.3596742568506617</v>
          </cell>
          <cell r="E17">
            <v>4.3596742568506617</v>
          </cell>
          <cell r="F17">
            <v>4.3596816353752406</v>
          </cell>
          <cell r="G17">
            <v>4.3596841310974517</v>
          </cell>
          <cell r="H17">
            <v>4.3596990259726853</v>
          </cell>
          <cell r="I17">
            <v>4.3597718315826635</v>
          </cell>
          <cell r="J17">
            <v>4.3597722465284994</v>
          </cell>
          <cell r="K17">
            <v>4.3598535055193182</v>
          </cell>
          <cell r="L17">
            <v>4.3598546420101822</v>
          </cell>
          <cell r="M17">
            <v>4.3602138816943778</v>
          </cell>
        </row>
        <row r="18">
          <cell r="B18">
            <v>2.1526394752099005E-2</v>
          </cell>
          <cell r="C18">
            <v>2.1390393349644966E-2</v>
          </cell>
          <cell r="D18">
            <v>1.2026767593768577E-2</v>
          </cell>
          <cell r="E18">
            <v>3.4089867089364574E-2</v>
          </cell>
          <cell r="F18">
            <v>5.8401063653725729E-2</v>
          </cell>
          <cell r="G18">
            <v>6.0192625775271388E-2</v>
          </cell>
          <cell r="H18">
            <v>5.4482420385976144E-2</v>
          </cell>
          <cell r="I18">
            <v>5.3173800527284494E-2</v>
          </cell>
          <cell r="J18">
            <v>4.4896572376682355E-2</v>
          </cell>
          <cell r="K18">
            <v>2.2615787333643562E-2</v>
          </cell>
          <cell r="L18">
            <v>2.1240163034650608E-2</v>
          </cell>
          <cell r="M18">
            <v>2.4463410608523736E-2</v>
          </cell>
        </row>
        <row r="19">
          <cell r="B19">
            <v>0.28738579568292544</v>
          </cell>
          <cell r="C19">
            <v>0.28738383344935359</v>
          </cell>
          <cell r="D19">
            <v>0.28738317953059483</v>
          </cell>
          <cell r="E19">
            <v>0.27599249212753985</v>
          </cell>
          <cell r="F19">
            <v>0.27948904070634761</v>
          </cell>
          <cell r="G19">
            <v>0.28606108173327194</v>
          </cell>
          <cell r="H19">
            <v>0.29279175807912211</v>
          </cell>
          <cell r="I19">
            <v>0.29968822940540407</v>
          </cell>
          <cell r="J19">
            <v>0.29968715597985263</v>
          </cell>
          <cell r="K19">
            <v>0.29969274518715094</v>
          </cell>
          <cell r="L19">
            <v>0.30830236141870582</v>
          </cell>
          <cell r="M19">
            <v>0.31330908950169123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2.0775529402333199E-3</v>
          </cell>
          <cell r="H21">
            <v>0.18080073346688452</v>
          </cell>
          <cell r="I21">
            <v>0.36969577666261444</v>
          </cell>
          <cell r="J21">
            <v>0.57868507575802941</v>
          </cell>
          <cell r="K21">
            <v>0.67934902787492479</v>
          </cell>
          <cell r="L21">
            <v>0.73859457025097153</v>
          </cell>
          <cell r="M21">
            <v>0.6839252813626574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1.6706048148116201E-2</v>
          </cell>
          <cell r="G22">
            <v>6.9373386951420923E-2</v>
          </cell>
          <cell r="H22">
            <v>6.9378848079033828E-2</v>
          </cell>
          <cell r="I22">
            <v>6.9379831506961032E-2</v>
          </cell>
          <cell r="J22">
            <v>6.9387683193012917E-2</v>
          </cell>
          <cell r="K22">
            <v>5.2686335568293892E-2</v>
          </cell>
          <cell r="L22">
            <v>1.0485551974917316E-2</v>
          </cell>
          <cell r="M22">
            <v>2.1726657182206524E-2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4.7677296022689497E-2</v>
          </cell>
          <cell r="C24">
            <v>5.480427047074854E-5</v>
          </cell>
          <cell r="D24">
            <v>1.1256405597013242E-3</v>
          </cell>
          <cell r="E24">
            <v>4.8673957518656705E-2</v>
          </cell>
          <cell r="F24">
            <v>4.8664196778069949E-2</v>
          </cell>
          <cell r="G24">
            <v>7.5779323017724831E-2</v>
          </cell>
          <cell r="H24">
            <v>5.985453133971512E-2</v>
          </cell>
          <cell r="I24">
            <v>2.7180462413119902E-2</v>
          </cell>
          <cell r="J24">
            <v>2.3580550656632424E-2</v>
          </cell>
          <cell r="K24">
            <v>1.402897305977955E-3</v>
          </cell>
          <cell r="L24">
            <v>1.3794889282079772E-3</v>
          </cell>
          <cell r="M24">
            <v>1.4562309347690089E-3</v>
          </cell>
        </row>
        <row r="25">
          <cell r="B25">
            <v>1.5225437321250201E-2</v>
          </cell>
          <cell r="C25">
            <v>1.0729993024290049E-2</v>
          </cell>
          <cell r="D25">
            <v>1.1014340129174814E-2</v>
          </cell>
          <cell r="E25">
            <v>4.0540683116552192E-2</v>
          </cell>
          <cell r="F25">
            <v>4.9362408361110777E-2</v>
          </cell>
          <cell r="G25">
            <v>5.7727529719101812E-2</v>
          </cell>
          <cell r="H25">
            <v>4.6869791132632711E-2</v>
          </cell>
          <cell r="I25">
            <v>2.6078190335136045E-2</v>
          </cell>
          <cell r="J25">
            <v>1.6430878109491152E-2</v>
          </cell>
          <cell r="K25">
            <v>1.5683372003800936E-2</v>
          </cell>
          <cell r="L25">
            <v>1.5142107778202515E-2</v>
          </cell>
          <cell r="M25">
            <v>1.5146139114957675E-2</v>
          </cell>
        </row>
        <row r="26">
          <cell r="B26">
            <v>7.7992499028188972E-2</v>
          </cell>
          <cell r="C26">
            <v>7.1001382247963735E-2</v>
          </cell>
          <cell r="D26">
            <v>7.0490331321610783E-2</v>
          </cell>
          <cell r="E26">
            <v>7.0489886811654107E-2</v>
          </cell>
          <cell r="F26">
            <v>6.9926040536123169E-2</v>
          </cell>
          <cell r="G26">
            <v>7.0079227968557242E-2</v>
          </cell>
          <cell r="H26">
            <v>7.0201977312065775E-2</v>
          </cell>
          <cell r="I26">
            <v>7.0293049972225366E-2</v>
          </cell>
          <cell r="J26">
            <v>7.0293382586497338E-2</v>
          </cell>
          <cell r="K26">
            <v>7.0294571883564944E-2</v>
          </cell>
          <cell r="L26">
            <v>7.0293292690386353E-2</v>
          </cell>
          <cell r="M26">
            <v>7.029377678500856E-2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2.0586434646017709E-3</v>
          </cell>
          <cell r="C28">
            <v>7.7943710400247244E-4</v>
          </cell>
          <cell r="D28">
            <v>7.2914170977498097E-4</v>
          </cell>
          <cell r="E28">
            <v>5.631856023608512E-4</v>
          </cell>
          <cell r="F28">
            <v>5.3963927067430303E-4</v>
          </cell>
          <cell r="G28">
            <v>2.8831522615002398E-4</v>
          </cell>
          <cell r="H28">
            <v>2.8925409546819229E-4</v>
          </cell>
          <cell r="I28">
            <v>4.4782643172626305E-4</v>
          </cell>
          <cell r="J28">
            <v>4.3421225620032973E-4</v>
          </cell>
          <cell r="K28">
            <v>5.6102420100249408E-4</v>
          </cell>
          <cell r="L28">
            <v>4.60051814126399E-4</v>
          </cell>
          <cell r="M28">
            <v>7.8450478025010508E-4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1.7196328124947001E-2</v>
          </cell>
          <cell r="H29">
            <v>3.785059984151426E-2</v>
          </cell>
          <cell r="I29">
            <v>3.7855525057081243E-2</v>
          </cell>
          <cell r="J29">
            <v>3.558140805815363E-2</v>
          </cell>
          <cell r="K29">
            <v>2.1971358381183057E-2</v>
          </cell>
          <cell r="L29">
            <v>1.325120410990971E-3</v>
          </cell>
          <cell r="M29">
            <v>1.328688265272646E-3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1.56981165879409E-4</v>
          </cell>
          <cell r="H30">
            <v>1.866905023199365E-4</v>
          </cell>
          <cell r="I30">
            <v>3.329539401309164E-4</v>
          </cell>
          <cell r="J30">
            <v>3.1467282758769835E-4</v>
          </cell>
          <cell r="K30">
            <v>2.188322804210377E-3</v>
          </cell>
          <cell r="L30">
            <v>2.181920257410307E-3</v>
          </cell>
          <cell r="M30">
            <v>2.4563162928520777E-3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2.1838555622160827E-4</v>
          </cell>
          <cell r="I32">
            <v>3.5484206379102716E-4</v>
          </cell>
          <cell r="J32">
            <v>3.6998200546418209E-4</v>
          </cell>
          <cell r="K32">
            <v>4.1033348155373274E-4</v>
          </cell>
          <cell r="L32">
            <v>4.7979590774447923E-4</v>
          </cell>
          <cell r="M32">
            <v>8.4982225619928983E-4</v>
          </cell>
        </row>
        <row r="33">
          <cell r="B33">
            <v>8.7120000000000003E-2</v>
          </cell>
          <cell r="C33">
            <v>9.0660049286905672E-2</v>
          </cell>
          <cell r="D33">
            <v>8.3655966780834673E-2</v>
          </cell>
          <cell r="E33">
            <v>9.0873921655966403E-2</v>
          </cell>
          <cell r="F33">
            <v>9.0957618025568107E-2</v>
          </cell>
          <cell r="G33">
            <v>9.0986156890045439E-2</v>
          </cell>
          <cell r="H33">
            <v>9.1899813099397903E-2</v>
          </cell>
          <cell r="I33">
            <v>9.1911831336914496E-2</v>
          </cell>
          <cell r="J33">
            <v>9.1913200038911194E-2</v>
          </cell>
          <cell r="K33">
            <v>9.1916546374277597E-2</v>
          </cell>
          <cell r="L33">
            <v>9.2015461843183294E-2</v>
          </cell>
          <cell r="M33">
            <v>9.2532119859281795E-2</v>
          </cell>
        </row>
        <row r="34">
          <cell r="B34">
            <v>0</v>
          </cell>
          <cell r="C34">
            <v>0</v>
          </cell>
          <cell r="D34">
            <v>4.4925818250089497E-2</v>
          </cell>
          <cell r="E34">
            <v>6.8691530165628706E-2</v>
          </cell>
          <cell r="F34">
            <v>0.23950225585868182</v>
          </cell>
          <cell r="G34">
            <v>0.23989871241605004</v>
          </cell>
          <cell r="H34">
            <v>0.19570020718602479</v>
          </cell>
          <cell r="I34">
            <v>0.17159297826607306</v>
          </cell>
          <cell r="J34">
            <v>5.289409369450751E-2</v>
          </cell>
          <cell r="K34">
            <v>1.8787327736603521E-2</v>
          </cell>
          <cell r="L34">
            <v>1.8885345713351799E-2</v>
          </cell>
          <cell r="M34">
            <v>0.22992675728805373</v>
          </cell>
        </row>
        <row r="35">
          <cell r="B35">
            <v>1.1186210000000001</v>
          </cell>
          <cell r="C35">
            <v>1.6529270639037714</v>
          </cell>
          <cell r="D35">
            <v>3.5611897410870399</v>
          </cell>
          <cell r="E35">
            <v>3.4922759129037297</v>
          </cell>
          <cell r="F35">
            <v>3.6704190558322201</v>
          </cell>
          <cell r="G35">
            <v>3.857646883443381</v>
          </cell>
          <cell r="H35">
            <v>4.0544232763261698</v>
          </cell>
          <cell r="I35">
            <v>4.2612400968537498</v>
          </cell>
          <cell r="J35">
            <v>4.4786068814762503</v>
          </cell>
          <cell r="K35">
            <v>4.7070621354574103</v>
          </cell>
          <cell r="L35">
            <v>4.9471730665311604</v>
          </cell>
          <cell r="M35">
            <v>5.1995439126137102</v>
          </cell>
        </row>
        <row r="36">
          <cell r="B36">
            <v>0.67885700000000004</v>
          </cell>
          <cell r="C36">
            <v>1.1559107858430906</v>
          </cell>
          <cell r="D36">
            <v>2.0810823819296878</v>
          </cell>
          <cell r="E36">
            <v>4.6800075419398279</v>
          </cell>
          <cell r="F36">
            <v>4.9187358187573844</v>
          </cell>
          <cell r="G36">
            <v>5.1696404542237442</v>
          </cell>
          <cell r="H36">
            <v>5.433340120993611</v>
          </cell>
          <cell r="I36">
            <v>5.7104952411563739</v>
          </cell>
          <cell r="J36">
            <v>6.0017884149866783</v>
          </cell>
          <cell r="K36">
            <v>6.3079410779528109</v>
          </cell>
          <cell r="L36">
            <v>6.6297119317289273</v>
          </cell>
          <cell r="M36">
            <v>6.9679407294718674</v>
          </cell>
        </row>
        <row r="37">
          <cell r="B37">
            <v>0.27424799999999999</v>
          </cell>
          <cell r="C37">
            <v>0.4389577282416291</v>
          </cell>
          <cell r="D37">
            <v>1.7349879638767671</v>
          </cell>
          <cell r="E37">
            <v>3.3247824159177917</v>
          </cell>
          <cell r="F37">
            <v>3.4943811185248421</v>
          </cell>
          <cell r="G37">
            <v>3.6726292550498738</v>
          </cell>
          <cell r="H37">
            <v>3.8599642922614201</v>
          </cell>
          <cell r="I37">
            <v>4.0568597185811797</v>
          </cell>
          <cell r="J37">
            <v>4.2638007888278704</v>
          </cell>
          <cell r="K37">
            <v>4.4812982096969094</v>
          </cell>
          <cell r="L37">
            <v>4.7098905114123699</v>
          </cell>
          <cell r="M37">
            <v>4.9501578573501206</v>
          </cell>
        </row>
        <row r="38">
          <cell r="B38">
            <v>0.90292899999999998</v>
          </cell>
          <cell r="C38">
            <v>1.1231012959627422</v>
          </cell>
          <cell r="D38">
            <v>1.1752760918046323</v>
          </cell>
          <cell r="E38">
            <v>1.0907103611418494</v>
          </cell>
          <cell r="F38">
            <v>1.146347741193531</v>
          </cell>
          <cell r="G38">
            <v>1.204822719824161</v>
          </cell>
          <cell r="H38">
            <v>1.2662776210789299</v>
          </cell>
          <cell r="I38">
            <v>1.33087001985459</v>
          </cell>
          <cell r="J38">
            <v>1.3987580571860601</v>
          </cell>
          <cell r="K38">
            <v>1.4701095946565901</v>
          </cell>
          <cell r="L38">
            <v>1.54510107709031</v>
          </cell>
          <cell r="M38">
            <v>1.62393202167077</v>
          </cell>
        </row>
        <row r="39">
          <cell r="B39">
            <v>2.9053684377305704E-2</v>
          </cell>
          <cell r="C39">
            <v>2.1488496443124366E-2</v>
          </cell>
          <cell r="D39">
            <v>1.3672830756429631E-2</v>
          </cell>
          <cell r="E39">
            <v>2.7071809478251097E-2</v>
          </cell>
          <cell r="F39">
            <v>2.6120297677271455E-2</v>
          </cell>
          <cell r="G39">
            <v>2.6126905426025398E-2</v>
          </cell>
          <cell r="H39">
            <v>1.8871169294860927E-2</v>
          </cell>
          <cell r="I39">
            <v>9.399003714107004E-3</v>
          </cell>
          <cell r="J39">
            <v>7.1737620408185258E-3</v>
          </cell>
          <cell r="K39">
            <v>6.2573885851508306E-3</v>
          </cell>
          <cell r="L39">
            <v>7.0058910443216863E-3</v>
          </cell>
          <cell r="M39">
            <v>1.2851904787291172E-2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8.3049675782543454E-3</v>
          </cell>
          <cell r="C41">
            <v>6.4009241802460235E-3</v>
          </cell>
          <cell r="D41">
            <v>6.4046648400571922E-3</v>
          </cell>
          <cell r="E41">
            <v>2.5965798698386819E-2</v>
          </cell>
          <cell r="F41">
            <v>3.9176730412768063E-2</v>
          </cell>
          <cell r="G41">
            <v>4.6908858740603E-2</v>
          </cell>
          <cell r="H41">
            <v>5.2388619541197529E-2</v>
          </cell>
          <cell r="I41">
            <v>6.3489701101830623E-2</v>
          </cell>
          <cell r="J41">
            <v>6.8939281873308347E-2</v>
          </cell>
          <cell r="K41">
            <v>6.8799615760951019E-2</v>
          </cell>
          <cell r="L41">
            <v>6.8507171156025115E-2</v>
          </cell>
          <cell r="M41">
            <v>6.8445777622745993E-2</v>
          </cell>
        </row>
        <row r="42">
          <cell r="B42">
            <v>6.4679695677718908E-3</v>
          </cell>
          <cell r="C42">
            <v>1.9286481076832972E-2</v>
          </cell>
          <cell r="D42">
            <v>4.2744953651719743E-2</v>
          </cell>
          <cell r="E42">
            <v>7.5754533715851904E-2</v>
          </cell>
          <cell r="F42">
            <v>9.3774762726174535E-2</v>
          </cell>
          <cell r="G42">
            <v>0.11263699603813594</v>
          </cell>
          <cell r="H42">
            <v>0.15607848955678125</v>
          </cell>
          <cell r="I42">
            <v>0.20576208243163169</v>
          </cell>
          <cell r="J42">
            <v>0.22653353259170353</v>
          </cell>
          <cell r="K42">
            <v>0.22672053056404959</v>
          </cell>
          <cell r="L42">
            <v>0.22672490749743285</v>
          </cell>
          <cell r="M42">
            <v>0.22606715624129042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4.7796334150524672E-2</v>
          </cell>
          <cell r="C44">
            <v>1.5313866146717876E-2</v>
          </cell>
          <cell r="D44">
            <v>1.5313228448859594E-2</v>
          </cell>
          <cell r="E44">
            <v>1.3545945672416598E-2</v>
          </cell>
          <cell r="F44">
            <v>1.339306838226903E-2</v>
          </cell>
          <cell r="G44">
            <v>1.3791828289532898E-2</v>
          </cell>
          <cell r="H44">
            <v>1.3793665059081795E-2</v>
          </cell>
          <cell r="I44">
            <v>1.319190115639461E-2</v>
          </cell>
          <cell r="J44">
            <v>1.3190695859199507E-2</v>
          </cell>
          <cell r="K44">
            <v>1.3192051735210446E-2</v>
          </cell>
          <cell r="L44">
            <v>1.3191460470352315E-2</v>
          </cell>
          <cell r="M44">
            <v>1.3194887082459099E-2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1.4676254139056599E-4</v>
          </cell>
          <cell r="F46">
            <v>3.708741867341894E-4</v>
          </cell>
          <cell r="G46">
            <v>5.062364387020484E-4</v>
          </cell>
          <cell r="H46">
            <v>5.0347485289783294E-4</v>
          </cell>
          <cell r="I46">
            <v>1.2234518049167187E-3</v>
          </cell>
          <cell r="J46">
            <v>1.0719456592842114E-3</v>
          </cell>
          <cell r="K46">
            <v>3.0822945126947323E-3</v>
          </cell>
          <cell r="L46">
            <v>3.124267444126104E-3</v>
          </cell>
          <cell r="M46">
            <v>4.2745015063961923E-3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1.05742662686646E-4</v>
          </cell>
          <cell r="F47">
            <v>1.8462426172456873E-4</v>
          </cell>
          <cell r="G47">
            <v>2.3712447682675887E-4</v>
          </cell>
          <cell r="H47">
            <v>2.5425237975847044E-4</v>
          </cell>
          <cell r="I47">
            <v>4.7975688811357402E-4</v>
          </cell>
          <cell r="J47">
            <v>4.0677242714902813E-4</v>
          </cell>
          <cell r="K47">
            <v>6.5036023758455891E-4</v>
          </cell>
          <cell r="L47">
            <v>6.1731502909891176E-4</v>
          </cell>
          <cell r="M47">
            <v>1.2142005026368006E-3</v>
          </cell>
        </row>
        <row r="48">
          <cell r="B48">
            <v>4.1512403469719369E-3</v>
          </cell>
          <cell r="C48">
            <v>8.0731698830224037E-4</v>
          </cell>
          <cell r="D48">
            <v>9.2126025714627695E-4</v>
          </cell>
          <cell r="E48">
            <v>8.7004549207064514E-4</v>
          </cell>
          <cell r="F48">
            <v>1.1850291919522904E-3</v>
          </cell>
          <cell r="G48">
            <v>1.298036283035927E-3</v>
          </cell>
          <cell r="H48">
            <v>1.6636641340173745E-3</v>
          </cell>
          <cell r="I48">
            <v>2.0838139101966367E-3</v>
          </cell>
          <cell r="J48">
            <v>1.8109207322954399E-3</v>
          </cell>
          <cell r="K48">
            <v>1.9019937388723431E-3</v>
          </cell>
          <cell r="L48">
            <v>8.9048976550172281E-3</v>
          </cell>
          <cell r="M48">
            <v>9.9522275221146546E-3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2.3233822450438502E-5</v>
          </cell>
          <cell r="F49">
            <v>8.3486343352022236E-5</v>
          </cell>
          <cell r="G49">
            <v>8.4759636364309344E-5</v>
          </cell>
          <cell r="H49">
            <v>8.9448115877511337E-5</v>
          </cell>
          <cell r="I49">
            <v>2.1420691310831329E-4</v>
          </cell>
          <cell r="J49">
            <v>1.7318619531751848E-4</v>
          </cell>
          <cell r="K49">
            <v>2.7862143394058469E-4</v>
          </cell>
          <cell r="L49">
            <v>2.6822324044168267E-4</v>
          </cell>
          <cell r="M49">
            <v>4.9798340973861654E-4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1.200955133890057E-4</v>
          </cell>
          <cell r="F50">
            <v>2.4407618415274532E-4</v>
          </cell>
          <cell r="G50">
            <v>2.48226176960082E-4</v>
          </cell>
          <cell r="H50">
            <v>2.4533801425374543E-4</v>
          </cell>
          <cell r="I50">
            <v>5.7382445151174662E-4</v>
          </cell>
          <cell r="J50">
            <v>5.3995365823446349E-4</v>
          </cell>
          <cell r="K50">
            <v>6.8657415057284501E-4</v>
          </cell>
          <cell r="L50">
            <v>4.4264792256408969E-4</v>
          </cell>
          <cell r="M50">
            <v>8.2429761948086817E-4</v>
          </cell>
        </row>
        <row r="51">
          <cell r="B51">
            <v>8.3996617455357019E-3</v>
          </cell>
          <cell r="C51">
            <v>6.9050522937853112E-3</v>
          </cell>
          <cell r="D51">
            <v>7.7171180277217392E-3</v>
          </cell>
          <cell r="E51">
            <v>4.6623939547847063E-2</v>
          </cell>
          <cell r="F51">
            <v>4.8831593081650859E-2</v>
          </cell>
          <cell r="G51">
            <v>5.4966861380301921E-2</v>
          </cell>
          <cell r="H51">
            <v>4.9905775592695933E-2</v>
          </cell>
          <cell r="I51">
            <v>5.403073171858766E-2</v>
          </cell>
          <cell r="J51">
            <v>5.282676568521133E-2</v>
          </cell>
          <cell r="K51">
            <v>5.0091873803691102E-2</v>
          </cell>
          <cell r="L51">
            <v>4.5662956830718623E-2</v>
          </cell>
          <cell r="M51">
            <v>4.0289409925693784E-2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1.026293916758895E-4</v>
          </cell>
          <cell r="F52">
            <v>4.1024888465539657E-4</v>
          </cell>
          <cell r="G52">
            <v>4.2009319465869738E-4</v>
          </cell>
          <cell r="H52">
            <v>4.738577540714271E-4</v>
          </cell>
          <cell r="I52">
            <v>1.3033813136144386E-3</v>
          </cell>
          <cell r="J52">
            <v>1.1225306863481075E-3</v>
          </cell>
          <cell r="K52">
            <v>2.2951704417204215E-3</v>
          </cell>
          <cell r="L52">
            <v>2.2296976033779024E-3</v>
          </cell>
          <cell r="M52">
            <v>3.9268809966208126E-3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2.7876116400435701E-4</v>
          </cell>
          <cell r="F53">
            <v>3.6294972979093287E-4</v>
          </cell>
          <cell r="G53">
            <v>3.2669653447232378E-4</v>
          </cell>
          <cell r="H53">
            <v>3.3772611837466304E-4</v>
          </cell>
          <cell r="I53">
            <v>9.2868703205013759E-4</v>
          </cell>
          <cell r="J53">
            <v>8.861179351704134E-4</v>
          </cell>
          <cell r="K53">
            <v>7.7142538165830095E-4</v>
          </cell>
          <cell r="L53">
            <v>7.2858378254311786E-4</v>
          </cell>
          <cell r="M53">
            <v>1.3945164221589794E-3</v>
          </cell>
        </row>
        <row r="54">
          <cell r="B54">
            <v>7.3512212582086248E-2</v>
          </cell>
          <cell r="C54">
            <v>8.4748961510234172E-2</v>
          </cell>
          <cell r="D54">
            <v>8.4749079507402583E-2</v>
          </cell>
          <cell r="E54">
            <v>8.4749491500355642E-2</v>
          </cell>
          <cell r="F54">
            <v>8.4749446513878141E-2</v>
          </cell>
          <cell r="G54">
            <v>8.474917261514027E-2</v>
          </cell>
          <cell r="H54">
            <v>8.4749299943949849E-2</v>
          </cell>
          <cell r="I54">
            <v>8.4750112262466398E-2</v>
          </cell>
          <cell r="J54">
            <v>8.4749835867174911E-2</v>
          </cell>
          <cell r="K54">
            <v>8.4750831273945837E-2</v>
          </cell>
          <cell r="L54">
            <v>8.4751322528131626E-2</v>
          </cell>
          <cell r="M54">
            <v>8.8568865080656395E-2</v>
          </cell>
        </row>
        <row r="55">
          <cell r="B55">
            <v>6.5199357212634132E-2</v>
          </cell>
          <cell r="C55">
            <v>4.7877321112742004E-2</v>
          </cell>
          <cell r="D55">
            <v>3.9974409687708663E-2</v>
          </cell>
          <cell r="E55">
            <v>0.15355668860327448</v>
          </cell>
          <cell r="F55">
            <v>0.27490953906546556</v>
          </cell>
          <cell r="G55">
            <v>0.27186006604098767</v>
          </cell>
          <cell r="H55">
            <v>0.2747506926802335</v>
          </cell>
          <cell r="I55">
            <v>0.19610799282190503</v>
          </cell>
          <cell r="J55">
            <v>0.19628084399291021</v>
          </cell>
          <cell r="K55">
            <v>0.20026660693671436</v>
          </cell>
          <cell r="L55">
            <v>0.21577214619101442</v>
          </cell>
          <cell r="M55">
            <v>0.22805827956146213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2.37984111046505E-4</v>
          </cell>
          <cell r="F56">
            <v>2.4039443132009179E-4</v>
          </cell>
          <cell r="G56">
            <v>2.0578457860437809E-4</v>
          </cell>
          <cell r="H56">
            <v>2.3908397093637607E-4</v>
          </cell>
          <cell r="I56">
            <v>4.3747870217125488E-4</v>
          </cell>
          <cell r="J56">
            <v>3.9936767936142885E-4</v>
          </cell>
          <cell r="K56">
            <v>5.3960638934588646E-4</v>
          </cell>
          <cell r="L56">
            <v>5.1481640893242099E-4</v>
          </cell>
          <cell r="M56">
            <v>1.1274490909216558E-3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7.6428146212664095E-5</v>
          </cell>
          <cell r="F57">
            <v>1.8962763619708052E-4</v>
          </cell>
          <cell r="G57">
            <v>2.0792849971109818E-4</v>
          </cell>
          <cell r="H57">
            <v>2.3073576161509681E-4</v>
          </cell>
          <cell r="I57">
            <v>6.8692380811626182E-4</v>
          </cell>
          <cell r="J57">
            <v>6.5006156654785134E-4</v>
          </cell>
          <cell r="K57">
            <v>1.5676775005615147E-3</v>
          </cell>
          <cell r="L57">
            <v>1.1874493318176562E-3</v>
          </cell>
          <cell r="M57">
            <v>2.2749945167747049E-3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9.1188399391736001E-5</v>
          </cell>
          <cell r="F58">
            <v>2.948770972913896E-4</v>
          </cell>
          <cell r="G58">
            <v>2.8576870379926658E-4</v>
          </cell>
          <cell r="H58">
            <v>2.1694992578612335E-4</v>
          </cell>
          <cell r="I58">
            <v>4.7300128742874754E-4</v>
          </cell>
          <cell r="J58">
            <v>4.7332968114694547E-4</v>
          </cell>
          <cell r="K58">
            <v>1.0047604977115505E-3</v>
          </cell>
          <cell r="L58">
            <v>7.7560090602495058E-4</v>
          </cell>
          <cell r="M58">
            <v>1.7818001859753936E-3</v>
          </cell>
        </row>
        <row r="63">
          <cell r="B63">
            <v>0.1</v>
          </cell>
          <cell r="C63">
            <v>9.9971749876374208E-2</v>
          </cell>
          <cell r="D63">
            <v>9.9968214292239135E-2</v>
          </cell>
          <cell r="E63">
            <v>9.9965654895068395E-2</v>
          </cell>
          <cell r="F63">
            <v>9.9966234409599966E-2</v>
          </cell>
          <cell r="G63">
            <v>9.9967209745507657E-2</v>
          </cell>
          <cell r="H63">
            <v>9.9968600048334494E-2</v>
          </cell>
          <cell r="I63">
            <v>9.9968890734336194E-2</v>
          </cell>
          <cell r="J63">
            <v>9.9968609118038926E-2</v>
          </cell>
          <cell r="K63">
            <v>9.9969270920197265E-2</v>
          </cell>
          <cell r="L63">
            <v>9.9971402737949189E-2</v>
          </cell>
          <cell r="M63">
            <v>9.9978151841242396E-2</v>
          </cell>
        </row>
        <row r="64">
          <cell r="B64">
            <v>5.8957277676666305E-4</v>
          </cell>
          <cell r="C64">
            <v>5.9007093610442482E-4</v>
          </cell>
          <cell r="D64">
            <v>5.9337169063213935E-4</v>
          </cell>
          <cell r="E64">
            <v>5.5456731814923629E-4</v>
          </cell>
          <cell r="F64">
            <v>1.4139658712758289E-3</v>
          </cell>
          <cell r="G64">
            <v>4.8028343045694095E-2</v>
          </cell>
          <cell r="H64">
            <v>5.1773974212431156E-2</v>
          </cell>
          <cell r="I64">
            <v>5.1793438112693393E-2</v>
          </cell>
          <cell r="J64">
            <v>5.1815511286822873E-2</v>
          </cell>
          <cell r="K64">
            <v>5.1855166663206893E-2</v>
          </cell>
          <cell r="L64">
            <v>5.1926249943861205E-2</v>
          </cell>
          <cell r="M64">
            <v>5.2585549044619588E-2</v>
          </cell>
        </row>
        <row r="65">
          <cell r="B65">
            <v>4.3799018965295602E-4</v>
          </cell>
          <cell r="C65">
            <v>4.3836640281927336E-4</v>
          </cell>
          <cell r="D65">
            <v>4.4085764013913334E-4</v>
          </cell>
          <cell r="E65">
            <v>4.2541061107353138E-4</v>
          </cell>
          <cell r="F65">
            <v>1.1135238670890216E-3</v>
          </cell>
          <cell r="G65">
            <v>9.3128333510640125E-3</v>
          </cell>
          <cell r="H65">
            <v>0.14401910290920325</v>
          </cell>
          <cell r="I65">
            <v>0.16441985508735396</v>
          </cell>
          <cell r="J65">
            <v>0.24963714930897726</v>
          </cell>
          <cell r="K65">
            <v>0.29414847744242617</v>
          </cell>
          <cell r="L65">
            <v>0.34013746133690786</v>
          </cell>
          <cell r="M65">
            <v>0.42193916608856902</v>
          </cell>
        </row>
        <row r="66">
          <cell r="B66">
            <v>4.1603629581079838E-4</v>
          </cell>
          <cell r="C66">
            <v>4.1647094165939418E-4</v>
          </cell>
          <cell r="D66">
            <v>4.1781493638233232E-4</v>
          </cell>
          <cell r="E66">
            <v>2.6972289502500149E-2</v>
          </cell>
          <cell r="F66">
            <v>2.7126922753745394E-2</v>
          </cell>
          <cell r="G66">
            <v>2.4769418486142912E-2</v>
          </cell>
          <cell r="H66">
            <v>2.7012700028052186E-2</v>
          </cell>
          <cell r="I66">
            <v>3.3268174488134863E-2</v>
          </cell>
          <cell r="J66">
            <v>3.3538943384459757E-2</v>
          </cell>
          <cell r="K66">
            <v>4.5541346412482066E-2</v>
          </cell>
          <cell r="L66">
            <v>7.0591424009940534E-2</v>
          </cell>
          <cell r="M66">
            <v>6.1622379562226173E-2</v>
          </cell>
        </row>
        <row r="67">
          <cell r="B67">
            <v>8.3094165891876349E-4</v>
          </cell>
          <cell r="C67">
            <v>8.3179240544257321E-4</v>
          </cell>
          <cell r="D67">
            <v>8.3450114580725339E-4</v>
          </cell>
          <cell r="E67">
            <v>4.1711977853239338E-2</v>
          </cell>
          <cell r="F67">
            <v>4.4900094383472006E-2</v>
          </cell>
          <cell r="G67">
            <v>4.4428378302442423E-2</v>
          </cell>
          <cell r="H67">
            <v>5.1583485653002623E-2</v>
          </cell>
          <cell r="I67">
            <v>5.6180126290801533E-2</v>
          </cell>
          <cell r="J67">
            <v>5.9540464931512403E-2</v>
          </cell>
          <cell r="K67">
            <v>5.8727620266560296E-2</v>
          </cell>
          <cell r="L67">
            <v>5.310624846327304E-2</v>
          </cell>
          <cell r="M67">
            <v>6.045606602757192E-2</v>
          </cell>
        </row>
        <row r="68">
          <cell r="B68">
            <v>8.3220648226453272E-4</v>
          </cell>
          <cell r="C68">
            <v>8.3305821402661893E-4</v>
          </cell>
          <cell r="D68">
            <v>8.3574093988585509E-4</v>
          </cell>
          <cell r="E68">
            <v>4.2036572568097202E-2</v>
          </cell>
          <cell r="F68">
            <v>4.5333723468834762E-2</v>
          </cell>
          <cell r="G68">
            <v>5.2761068948058321E-2</v>
          </cell>
          <cell r="H68">
            <v>5.5135130461641993E-2</v>
          </cell>
          <cell r="I68">
            <v>5.617847304569229E-2</v>
          </cell>
          <cell r="J68">
            <v>5.9507871078430127E-2</v>
          </cell>
          <cell r="K68">
            <v>5.8744012387340713E-2</v>
          </cell>
          <cell r="L68">
            <v>5.3127109523169902E-2</v>
          </cell>
          <cell r="M68">
            <v>6.0461487443405522E-2</v>
          </cell>
        </row>
        <row r="69">
          <cell r="B69">
            <v>4.1746826339704234E-4</v>
          </cell>
          <cell r="C69">
            <v>4.1790083669635751E-4</v>
          </cell>
          <cell r="D69">
            <v>4.1924251891268177E-4</v>
          </cell>
          <cell r="E69">
            <v>2.4653496985350611E-2</v>
          </cell>
          <cell r="F69">
            <v>2.8604486817574739E-2</v>
          </cell>
          <cell r="G69">
            <v>3.5191649273731855E-2</v>
          </cell>
          <cell r="H69">
            <v>3.5400945183721763E-2</v>
          </cell>
          <cell r="I69">
            <v>3.6919275150932643E-2</v>
          </cell>
          <cell r="J69">
            <v>3.8801425067076657E-2</v>
          </cell>
          <cell r="K69">
            <v>3.8364338597427564E-2</v>
          </cell>
          <cell r="L69">
            <v>3.4759291358506458E-2</v>
          </cell>
          <cell r="M69">
            <v>4.011658541922488E-2</v>
          </cell>
        </row>
      </sheetData>
      <sheetData sheetId="61">
        <row r="14">
          <cell r="B14">
            <v>0</v>
          </cell>
          <cell r="C14">
            <v>1.23282841825194</v>
          </cell>
          <cell r="D14">
            <v>0.822642557586034</v>
          </cell>
          <cell r="E14">
            <v>0</v>
          </cell>
          <cell r="F14">
            <v>0</v>
          </cell>
          <cell r="G14">
            <v>0.24839139222217274</v>
          </cell>
          <cell r="H14">
            <v>2.1051169528109718E-6</v>
          </cell>
          <cell r="I14">
            <v>6.4847745150658064E-3</v>
          </cell>
          <cell r="J14">
            <v>8.1519581316262193E-5</v>
          </cell>
          <cell r="K14">
            <v>2.8307264307982629E-3</v>
          </cell>
          <cell r="L14">
            <v>0</v>
          </cell>
          <cell r="M14">
            <v>0</v>
          </cell>
        </row>
        <row r="15">
          <cell r="B15">
            <v>0</v>
          </cell>
          <cell r="C15">
            <v>2.0087771323354809E-3</v>
          </cell>
          <cell r="D15">
            <v>4.4243966959955552E-3</v>
          </cell>
          <cell r="E15">
            <v>6.9510344854988956E-2</v>
          </cell>
          <cell r="F15">
            <v>6.7238509864308238E-2</v>
          </cell>
          <cell r="G15">
            <v>0.12620456093585555</v>
          </cell>
          <cell r="H15">
            <v>1.7389176764524129E-6</v>
          </cell>
          <cell r="I15">
            <v>5.5587971089308953E-6</v>
          </cell>
          <cell r="J15">
            <v>2.8130508947134116E-6</v>
          </cell>
          <cell r="K15">
            <v>4.7187221172474775E-6</v>
          </cell>
          <cell r="L15">
            <v>2.8578928915643901E-8</v>
          </cell>
          <cell r="M15">
            <v>1.99452284768719E-8</v>
          </cell>
        </row>
        <row r="16">
          <cell r="B16">
            <v>0</v>
          </cell>
          <cell r="C16">
            <v>4.1739417947756938E-4</v>
          </cell>
          <cell r="D16">
            <v>6.8024840905030388E-4</v>
          </cell>
          <cell r="E16">
            <v>4.6741554897751248E-6</v>
          </cell>
          <cell r="F16">
            <v>1.6345461365935918E-6</v>
          </cell>
          <cell r="G16">
            <v>1.4503588530750531E-6</v>
          </cell>
          <cell r="H16">
            <v>2.2133992278251351E-6</v>
          </cell>
          <cell r="I16">
            <v>3.9721935967685392E-6</v>
          </cell>
          <cell r="J16">
            <v>1.6224033829252786E-6</v>
          </cell>
          <cell r="K16">
            <v>4.7994705868382164E-6</v>
          </cell>
          <cell r="L16">
            <v>4.0820996016301566E-5</v>
          </cell>
          <cell r="M16">
            <v>4.3280848518807799E-4</v>
          </cell>
        </row>
        <row r="17">
          <cell r="B17">
            <v>0</v>
          </cell>
          <cell r="C17">
            <v>2.2425685066167599E-4</v>
          </cell>
          <cell r="D17">
            <v>6.5868640499351904E-6</v>
          </cell>
          <cell r="E17">
            <v>3.2873827406431002E-6</v>
          </cell>
          <cell r="F17">
            <v>1.74893856866976E-6</v>
          </cell>
          <cell r="G17">
            <v>8.5951546642316703E-5</v>
          </cell>
          <cell r="H17">
            <v>4.9027924090510496E-7</v>
          </cell>
          <cell r="I17">
            <v>8.0823154568930201E-5</v>
          </cell>
          <cell r="J17">
            <v>1.49699370890678E-6</v>
          </cell>
          <cell r="K17">
            <v>3.5923968419580198E-4</v>
          </cell>
          <cell r="L17">
            <v>0</v>
          </cell>
          <cell r="M17">
            <v>0</v>
          </cell>
        </row>
        <row r="18">
          <cell r="B18">
            <v>0</v>
          </cell>
          <cell r="C18">
            <v>3.2993230405652001E-6</v>
          </cell>
          <cell r="D18">
            <v>1.11938786555511E-4</v>
          </cell>
          <cell r="E18">
            <v>2.69770309011222E-2</v>
          </cell>
          <cell r="F18">
            <v>2.4313533439514999E-2</v>
          </cell>
          <cell r="G18">
            <v>1.7954620678670499E-3</v>
          </cell>
          <cell r="H18">
            <v>5.37159000285449E-5</v>
          </cell>
          <cell r="I18">
            <v>5.1555145087703797E-5</v>
          </cell>
          <cell r="J18">
            <v>1.8690693526009099E-2</v>
          </cell>
          <cell r="K18">
            <v>2.0347003626735799E-3</v>
          </cell>
          <cell r="L18">
            <v>4.27789647618786E-4</v>
          </cell>
          <cell r="M18">
            <v>3.2703348477109099E-3</v>
          </cell>
        </row>
        <row r="19">
          <cell r="B19">
            <v>0</v>
          </cell>
          <cell r="C19">
            <v>1.9874017917066301E-7</v>
          </cell>
          <cell r="D19">
            <v>4.5523063355781201E-7</v>
          </cell>
          <cell r="E19">
            <v>6.2421247226905903E-2</v>
          </cell>
          <cell r="F19">
            <v>9.6168696317859903E-2</v>
          </cell>
          <cell r="G19">
            <v>3.0523081489506099E-2</v>
          </cell>
          <cell r="H19">
            <v>7.8070308023030097E-2</v>
          </cell>
          <cell r="I19">
            <v>2.77575104989084E-2</v>
          </cell>
          <cell r="J19">
            <v>2.1495028537352301E-2</v>
          </cell>
          <cell r="K19">
            <v>4.5679342959401903E-2</v>
          </cell>
          <cell r="L19">
            <v>9.2523379601669398E-2</v>
          </cell>
          <cell r="M19">
            <v>4.7784930093472802E-2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5.3927411334386199E-3</v>
          </cell>
          <cell r="H21">
            <v>0.36430480033791901</v>
          </cell>
          <cell r="I21">
            <v>8.5872194597758605E-2</v>
          </cell>
          <cell r="J21">
            <v>0.223775106038126</v>
          </cell>
          <cell r="K21">
            <v>4.2051915827638797E-5</v>
          </cell>
          <cell r="L21">
            <v>0.128388841958299</v>
          </cell>
          <cell r="M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6.9372126487240005E-2</v>
          </cell>
          <cell r="G22">
            <v>7.4489845888375002E-6</v>
          </cell>
          <cell r="H22">
            <v>8.9239085806953696E-6</v>
          </cell>
          <cell r="I22">
            <v>4.7159453885598497E-6</v>
          </cell>
          <cell r="J22">
            <v>1.28384902413164E-5</v>
          </cell>
          <cell r="K22">
            <v>2.43335719061232E-5</v>
          </cell>
          <cell r="L22">
            <v>2.1690120734176602E-2</v>
          </cell>
          <cell r="M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B24">
            <v>0</v>
          </cell>
          <cell r="C24">
            <v>4.2084101575249801E-7</v>
          </cell>
          <cell r="D24">
            <v>1.07132135328946E-3</v>
          </cell>
          <cell r="E24">
            <v>4.75496715096013E-2</v>
          </cell>
          <cell r="F24">
            <v>1.9140209626227201E-5</v>
          </cell>
          <cell r="G24">
            <v>2.71416733830445E-2</v>
          </cell>
          <cell r="H24">
            <v>3.1546156647107597E-5</v>
          </cell>
          <cell r="I24">
            <v>5.2457891530642802E-6</v>
          </cell>
          <cell r="J24">
            <v>7.0015910503200704E-6</v>
          </cell>
          <cell r="K24">
            <v>1.36272079081812E-3</v>
          </cell>
          <cell r="L24">
            <v>8.7655687867685304E-6</v>
          </cell>
          <cell r="M24">
            <v>8.2604019700809205E-5</v>
          </cell>
        </row>
        <row r="25">
          <cell r="B25">
            <v>0</v>
          </cell>
          <cell r="C25">
            <v>1.4116145544802901E-7</v>
          </cell>
          <cell r="D25">
            <v>2.84700873989867E-4</v>
          </cell>
          <cell r="E25">
            <v>3.0370711787452501E-2</v>
          </cell>
          <cell r="F25">
            <v>1.1118455877983701E-2</v>
          </cell>
          <cell r="G25">
            <v>1.44026415049278E-2</v>
          </cell>
          <cell r="H25">
            <v>5.5677453876885896E-4</v>
          </cell>
          <cell r="I25">
            <v>3.6435066480567998E-6</v>
          </cell>
          <cell r="J25">
            <v>4.8593524548091004E-6</v>
          </cell>
          <cell r="K25">
            <v>1.5120078128650599E-2</v>
          </cell>
          <cell r="L25">
            <v>1.52226605810872E-5</v>
          </cell>
          <cell r="M25">
            <v>8.1341323183094604E-6</v>
          </cell>
        </row>
        <row r="26">
          <cell r="B26">
            <v>0</v>
          </cell>
          <cell r="C26">
            <v>1.2068275025070999E-7</v>
          </cell>
          <cell r="D26">
            <v>1.5620222183165299E-7</v>
          </cell>
          <cell r="E26">
            <v>5.3223858198113398E-7</v>
          </cell>
          <cell r="F26">
            <v>5.66071823793746E-3</v>
          </cell>
          <cell r="G26">
            <v>1.8956362620595801E-2</v>
          </cell>
          <cell r="H26">
            <v>6.0405620990263602E-3</v>
          </cell>
          <cell r="I26">
            <v>3.9635580250825399E-2</v>
          </cell>
          <cell r="J26">
            <v>8.8764062342728996E-7</v>
          </cell>
          <cell r="K26">
            <v>2.2344358946342999E-6</v>
          </cell>
          <cell r="L26">
            <v>7.6243642586577096E-3</v>
          </cell>
          <cell r="M26">
            <v>1.6991590427918299E-2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0</v>
          </cell>
          <cell r="C28">
            <v>2.51914209249118E-6</v>
          </cell>
          <cell r="D28">
            <v>2.1046220302496302E-6</v>
          </cell>
          <cell r="E28">
            <v>2.39637914331165E-6</v>
          </cell>
          <cell r="F28">
            <v>1.5993397606910999E-5</v>
          </cell>
          <cell r="G28">
            <v>8.4236730992470505E-5</v>
          </cell>
          <cell r="H28">
            <v>1.8908185864681401E-4</v>
          </cell>
          <cell r="I28">
            <v>1.6159116474668501E-4</v>
          </cell>
          <cell r="J28">
            <v>1.1196346609444801E-5</v>
          </cell>
          <cell r="K28">
            <v>2.04125421658345E-4</v>
          </cell>
          <cell r="L28">
            <v>8.7552345633245906E-5</v>
          </cell>
          <cell r="M28">
            <v>4.8744997620715199E-4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1.7196328124947001E-2</v>
          </cell>
          <cell r="H29">
            <v>2.06543674499431E-2</v>
          </cell>
          <cell r="I29">
            <v>5.3417063034305999E-6</v>
          </cell>
          <cell r="J29">
            <v>4.83852654750534E-6</v>
          </cell>
          <cell r="K29">
            <v>1.30797432907235E-3</v>
          </cell>
          <cell r="L29">
            <v>8.1795007870041206E-6</v>
          </cell>
          <cell r="M29">
            <v>9.3019692537691298E-6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1.56981165879409E-4</v>
          </cell>
          <cell r="H30">
            <v>2.9813582083948801E-5</v>
          </cell>
          <cell r="I30">
            <v>1.46620611566989E-4</v>
          </cell>
          <cell r="J30">
            <v>3.0650408163927901E-6</v>
          </cell>
          <cell r="K30">
            <v>2.0101804477078E-3</v>
          </cell>
          <cell r="L30">
            <v>2.3461647526956999E-5</v>
          </cell>
          <cell r="M30">
            <v>4.21271396811613E-4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1.93067839674381E-4</v>
          </cell>
          <cell r="H32">
            <v>1.6187941071840899E-4</v>
          </cell>
          <cell r="I32">
            <v>6.5253706827912996E-7</v>
          </cell>
          <cell r="J32">
            <v>5.5073790397034402E-5</v>
          </cell>
          <cell r="K32">
            <v>1.1025253766706E-6</v>
          </cell>
          <cell r="L32">
            <v>4.3874063861269502E-4</v>
          </cell>
          <cell r="M32">
            <v>0</v>
          </cell>
        </row>
        <row r="33">
          <cell r="B33">
            <v>0</v>
          </cell>
          <cell r="C33">
            <v>7.1321612502984796E-3</v>
          </cell>
          <cell r="D33">
            <v>2.9903669841646E-2</v>
          </cell>
          <cell r="E33">
            <v>3.4444617759498898E-2</v>
          </cell>
          <cell r="F33">
            <v>2.1998175999203898E-2</v>
          </cell>
          <cell r="G33">
            <v>7.9760367724484598E-7</v>
          </cell>
          <cell r="H33">
            <v>3.5468239974534403E-2</v>
          </cell>
          <cell r="I33">
            <v>4.50812942274905E-2</v>
          </cell>
          <cell r="J33">
            <v>1.13662145685754E-2</v>
          </cell>
          <cell r="K33">
            <v>4.8327501970732804E-6</v>
          </cell>
          <cell r="L33">
            <v>3.6079778313018701E-2</v>
          </cell>
          <cell r="M33">
            <v>0</v>
          </cell>
        </row>
        <row r="34">
          <cell r="B34">
            <v>0</v>
          </cell>
          <cell r="C34">
            <v>0</v>
          </cell>
          <cell r="D34">
            <v>4.4925818250089497E-2</v>
          </cell>
          <cell r="E34">
            <v>2.3927018724182243E-2</v>
          </cell>
          <cell r="F34">
            <v>0.17065047432937555</v>
          </cell>
          <cell r="G34">
            <v>3.9607222149622297E-4</v>
          </cell>
          <cell r="H34">
            <v>2.8414067431387091E-4</v>
          </cell>
          <cell r="I34">
            <v>4.03739029624555E-5</v>
          </cell>
          <cell r="J34">
            <v>3.4424781903359675E-4</v>
          </cell>
          <cell r="K34">
            <v>1.7759392012230493E-2</v>
          </cell>
          <cell r="L34">
            <v>9.3354236047492496E-4</v>
          </cell>
          <cell r="M34">
            <v>0.21080512987153233</v>
          </cell>
        </row>
        <row r="35">
          <cell r="B35">
            <v>0</v>
          </cell>
          <cell r="C35">
            <v>4.93167213532643E-8</v>
          </cell>
          <cell r="D35">
            <v>1.7679686917703199</v>
          </cell>
          <cell r="E35">
            <v>2.06862079636306E-6</v>
          </cell>
          <cell r="F35">
            <v>0.690526389064823</v>
          </cell>
          <cell r="G35">
            <v>0.80694907906412705</v>
          </cell>
          <cell r="H35">
            <v>2.24380038040582</v>
          </cell>
          <cell r="I35">
            <v>0.51996424831898702</v>
          </cell>
          <cell r="J35">
            <v>0.80519370497306697</v>
          </cell>
          <cell r="K35">
            <v>1.13810380175954</v>
          </cell>
          <cell r="L35">
            <v>2.4839113114795701</v>
          </cell>
          <cell r="M35">
            <v>0.77233509440153902</v>
          </cell>
        </row>
        <row r="36">
          <cell r="B36">
            <v>0</v>
          </cell>
          <cell r="C36">
            <v>1.0868164940835136E-5</v>
          </cell>
          <cell r="D36">
            <v>0.79191451376474586</v>
          </cell>
          <cell r="E36">
            <v>2.6358079949537618</v>
          </cell>
          <cell r="F36">
            <v>0.46161095269527708</v>
          </cell>
          <cell r="G36">
            <v>0.75118267340985312</v>
          </cell>
          <cell r="H36">
            <v>2.28006029771747</v>
          </cell>
          <cell r="I36">
            <v>2.2176413173337743</v>
          </cell>
          <cell r="J36">
            <v>0.71230554725965989</v>
          </cell>
          <cell r="K36">
            <v>1.0979339156418992</v>
          </cell>
          <cell r="L36">
            <v>2.6018311514935872</v>
          </cell>
          <cell r="M36">
            <v>2.5558701150767247</v>
          </cell>
        </row>
        <row r="37">
          <cell r="B37">
            <v>0</v>
          </cell>
          <cell r="C37">
            <v>1.241076521604386E-5</v>
          </cell>
          <cell r="D37">
            <v>1.2518275531115499</v>
          </cell>
          <cell r="E37">
            <v>1.6015192397815481</v>
          </cell>
          <cell r="F37">
            <v>0.25804598228976239</v>
          </cell>
          <cell r="G37">
            <v>0.3739177723782291</v>
          </cell>
          <cell r="H37">
            <v>1.9124587183739989</v>
          </cell>
          <cell r="I37">
            <v>1.512437245539201</v>
          </cell>
          <cell r="J37">
            <v>0.43619688180298699</v>
          </cell>
          <cell r="K37">
            <v>0.62020536398072801</v>
          </cell>
          <cell r="L37">
            <v>2.1410510200894528</v>
          </cell>
          <cell r="M37">
            <v>1.7527045914769499</v>
          </cell>
        </row>
        <row r="38">
          <cell r="B38">
            <v>0</v>
          </cell>
          <cell r="C38">
            <v>3.4394732199287799E-8</v>
          </cell>
          <cell r="D38">
            <v>4.7057409900130399E-5</v>
          </cell>
          <cell r="E38">
            <v>4.0910965369647797E-6</v>
          </cell>
          <cell r="F38">
            <v>0.52246573742781299</v>
          </cell>
          <cell r="G38">
            <v>0.42576360481942399</v>
          </cell>
          <cell r="H38">
            <v>0.318037149769825</v>
          </cell>
          <cell r="I38">
            <v>6.4603527837525307E-2</v>
          </cell>
          <cell r="J38">
            <v>0.48816554795654099</v>
          </cell>
          <cell r="K38">
            <v>0.59930336909269799</v>
          </cell>
          <cell r="L38">
            <v>0.393028632203546</v>
          </cell>
          <cell r="M38">
            <v>0.14343447241798299</v>
          </cell>
        </row>
        <row r="39">
          <cell r="B39">
            <v>0</v>
          </cell>
          <cell r="C39">
            <v>6.0245124236824705E-7</v>
          </cell>
          <cell r="D39">
            <v>2.6852075610577299E-6</v>
          </cell>
          <cell r="E39">
            <v>2.29190828138509E-2</v>
          </cell>
          <cell r="F39">
            <v>3.1988403819836102E-3</v>
          </cell>
          <cell r="G39">
            <v>7.6636651060944004E-6</v>
          </cell>
          <cell r="H39">
            <v>1.3035374721294201E-5</v>
          </cell>
          <cell r="I39">
            <v>6.1813813953287399E-3</v>
          </cell>
          <cell r="J39">
            <v>4.4934512725504296E-6</v>
          </cell>
          <cell r="K39">
            <v>6.1554616068978303E-5</v>
          </cell>
          <cell r="L39">
            <v>7.6116907439719599E-4</v>
          </cell>
          <cell r="M39">
            <v>1.20276639920528E-2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B41">
            <v>0</v>
          </cell>
          <cell r="C41">
            <v>5.4683067235502996E-3</v>
          </cell>
          <cell r="D41">
            <v>4.6849171677673601E-6</v>
          </cell>
          <cell r="E41">
            <v>1.9561568164728801E-2</v>
          </cell>
          <cell r="F41">
            <v>1.6802955781164301E-2</v>
          </cell>
          <cell r="G41">
            <v>1.4266041617498001E-2</v>
          </cell>
          <cell r="H41">
            <v>2.13204866723751E-2</v>
          </cell>
          <cell r="I41">
            <v>2.7904396934492301E-2</v>
          </cell>
          <cell r="J41">
            <v>2.03485598585256E-2</v>
          </cell>
          <cell r="K41">
            <v>2.05480161888267E-2</v>
          </cell>
          <cell r="L41">
            <v>2.9120640528592898E-2</v>
          </cell>
          <cell r="M41">
            <v>1.87787017088498E-2</v>
          </cell>
        </row>
        <row r="42">
          <cell r="B42">
            <v>0</v>
          </cell>
          <cell r="C42">
            <v>1.7607546649880498E-2</v>
          </cell>
          <cell r="D42">
            <v>2.34586685254261E-2</v>
          </cell>
          <cell r="E42">
            <v>3.3009901602845303E-2</v>
          </cell>
          <cell r="F42">
            <v>2.8272882606083401E-2</v>
          </cell>
          <cell r="G42">
            <v>5.2708800227085698E-2</v>
          </cell>
          <cell r="H42">
            <v>7.5097177428036399E-2</v>
          </cell>
          <cell r="I42">
            <v>7.7956758657070496E-2</v>
          </cell>
          <cell r="J42">
            <v>7.5331454694603006E-2</v>
          </cell>
          <cell r="K42">
            <v>7.3433017793488306E-2</v>
          </cell>
          <cell r="L42">
            <v>8.8034695641145203E-2</v>
          </cell>
          <cell r="M42">
            <v>6.4600307619886305E-2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0</v>
          </cell>
          <cell r="C44">
            <v>1.6808140577373E-7</v>
          </cell>
          <cell r="D44">
            <v>1.6638141492087699E-7</v>
          </cell>
          <cell r="E44">
            <v>8.2499447468280598E-4</v>
          </cell>
          <cell r="F44">
            <v>5.7264640216013697E-3</v>
          </cell>
          <cell r="G44">
            <v>1.20252767963075E-3</v>
          </cell>
          <cell r="H44">
            <v>2.08709369364865E-6</v>
          </cell>
          <cell r="I44">
            <v>5.3697293212314097E-3</v>
          </cell>
          <cell r="J44">
            <v>2.8712406648586801E-4</v>
          </cell>
          <cell r="K44">
            <v>6.0509761080345704E-4</v>
          </cell>
          <cell r="L44">
            <v>4.9000740659325701E-3</v>
          </cell>
          <cell r="M44">
            <v>2.0318542898124401E-3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1.4676254139056599E-4</v>
          </cell>
          <cell r="F46">
            <v>2.24186176280534E-4</v>
          </cell>
          <cell r="G46">
            <v>1.63522918763191E-4</v>
          </cell>
          <cell r="H46">
            <v>1.1607375337584801E-4</v>
          </cell>
          <cell r="I46">
            <v>9.4427214030867604E-4</v>
          </cell>
          <cell r="J46">
            <v>2.4449253843777499E-6</v>
          </cell>
          <cell r="K46">
            <v>2.1361452901753502E-3</v>
          </cell>
          <cell r="L46">
            <v>8.1993531502407404E-4</v>
          </cell>
          <cell r="M46">
            <v>1.3190476864017801E-3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1.05742662686646E-4</v>
          </cell>
          <cell r="F47">
            <v>7.8936479800793095E-5</v>
          </cell>
          <cell r="G47">
            <v>7.2771067924143603E-5</v>
          </cell>
          <cell r="H47">
            <v>1.02727080617513E-4</v>
          </cell>
          <cell r="I47">
            <v>3.0457931921268902E-4</v>
          </cell>
          <cell r="J47">
            <v>2.3662113635884801E-6</v>
          </cell>
          <cell r="K47">
            <v>3.4381695382691902E-4</v>
          </cell>
          <cell r="L47">
            <v>2.1841179461505101E-4</v>
          </cell>
          <cell r="M47">
            <v>6.5242639638683796E-4</v>
          </cell>
        </row>
        <row r="48">
          <cell r="B48">
            <v>0</v>
          </cell>
          <cell r="C48">
            <v>4.5510616077910329E-5</v>
          </cell>
          <cell r="D48">
            <v>1.156513144092008E-4</v>
          </cell>
          <cell r="E48">
            <v>8.0077278715492401E-7</v>
          </cell>
          <cell r="F48">
            <v>6.3446185868311204E-4</v>
          </cell>
          <cell r="G48">
            <v>3.7427012588688225E-4</v>
          </cell>
          <cell r="H48">
            <v>6.3415187535890202E-4</v>
          </cell>
          <cell r="I48">
            <v>4.4120056596743448E-4</v>
          </cell>
          <cell r="J48">
            <v>2.1867224650412879E-4</v>
          </cell>
          <cell r="K48">
            <v>6.0833994637184206E-4</v>
          </cell>
          <cell r="L48">
            <v>7.6370799235938982E-3</v>
          </cell>
          <cell r="M48">
            <v>1.4886805914278709E-3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2.3233822450438502E-5</v>
          </cell>
          <cell r="F49">
            <v>6.0277147416999403E-5</v>
          </cell>
          <cell r="G49">
            <v>1.3489686090679969E-6</v>
          </cell>
          <cell r="H49">
            <v>1.2161039646273001E-5</v>
          </cell>
          <cell r="I49">
            <v>1.4078424977556002E-4</v>
          </cell>
          <cell r="J49">
            <v>1.3880898726175611E-6</v>
          </cell>
          <cell r="K49">
            <v>1.2482743689589689E-4</v>
          </cell>
          <cell r="L49">
            <v>1.7964036266461259E-6</v>
          </cell>
          <cell r="M49">
            <v>3.7061015154428998E-4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1.200955133890057E-4</v>
          </cell>
          <cell r="F50">
            <v>1.240282081454143E-4</v>
          </cell>
          <cell r="G50">
            <v>2.71505896691281E-5</v>
          </cell>
          <cell r="H50">
            <v>9.4330378289213891E-5</v>
          </cell>
          <cell r="I50">
            <v>4.5262401662829802E-4</v>
          </cell>
          <cell r="J50">
            <v>1.7088976228415149E-6</v>
          </cell>
          <cell r="K50">
            <v>2.3257756946191158E-4</v>
          </cell>
          <cell r="L50">
            <v>1.2920519033176949E-4</v>
          </cell>
          <cell r="M50">
            <v>4.6288933570274302E-4</v>
          </cell>
        </row>
        <row r="51">
          <cell r="B51">
            <v>0</v>
          </cell>
          <cell r="C51">
            <v>1.3395385646132953E-4</v>
          </cell>
          <cell r="D51">
            <v>8.1200214133229432E-4</v>
          </cell>
          <cell r="E51">
            <v>3.8906990568040298E-2</v>
          </cell>
          <cell r="F51">
            <v>2.2087659829035221E-3</v>
          </cell>
          <cell r="G51">
            <v>1.01491705996669E-2</v>
          </cell>
          <cell r="H51">
            <v>1.08325054090374E-2</v>
          </cell>
          <cell r="I51">
            <v>3.0841751292342998E-2</v>
          </cell>
          <cell r="J51">
            <v>1.679203988953471E-3</v>
          </cell>
          <cell r="K51">
            <v>6.7401712086313358E-3</v>
          </cell>
          <cell r="L51">
            <v>6.4036205807425925E-3</v>
          </cell>
          <cell r="M51">
            <v>2.5468875191532989E-2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1.026293916758895E-4</v>
          </cell>
          <cell r="F52">
            <v>3.0770444738285397E-4</v>
          </cell>
          <cell r="G52">
            <v>1.008734986064099E-5</v>
          </cell>
          <cell r="H52">
            <v>8.6696555087357791E-5</v>
          </cell>
          <cell r="I52">
            <v>9.0034521511941099E-4</v>
          </cell>
          <cell r="J52">
            <v>3.5404034839423801E-5</v>
          </cell>
          <cell r="K52">
            <v>1.274638596109823E-3</v>
          </cell>
          <cell r="L52">
            <v>2.1275538869466148E-5</v>
          </cell>
          <cell r="M52">
            <v>2.5981562833995902E-3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2.7876116400435701E-4</v>
          </cell>
          <cell r="F53">
            <v>8.4288163924580795E-5</v>
          </cell>
          <cell r="G53">
            <v>1.712444679241873E-5</v>
          </cell>
          <cell r="H53">
            <v>2.3669547254048898E-4</v>
          </cell>
          <cell r="I53">
            <v>6.75489593413071E-4</v>
          </cell>
          <cell r="J53">
            <v>3.4480443607133998E-6</v>
          </cell>
          <cell r="K53">
            <v>9.3255894051534507E-5</v>
          </cell>
          <cell r="L53">
            <v>5.1437497629892295E-4</v>
          </cell>
          <cell r="M53">
            <v>7.87713214354897E-4</v>
          </cell>
        </row>
        <row r="54">
          <cell r="B54">
            <v>0</v>
          </cell>
          <cell r="C54">
            <v>2.6192110687933898E-2</v>
          </cell>
          <cell r="D54">
            <v>6.5684122546795396E-3</v>
          </cell>
          <cell r="E54">
            <v>1.2222193442826801E-2</v>
          </cell>
          <cell r="F54">
            <v>4.4083437756244799E-2</v>
          </cell>
          <cell r="G54">
            <v>2.9390029914188699E-2</v>
          </cell>
          <cell r="H54">
            <v>1.12761586284898E-2</v>
          </cell>
          <cell r="I54">
            <v>4.4084497160707697E-2</v>
          </cell>
          <cell r="J54">
            <v>2.6367940473126301E-2</v>
          </cell>
          <cell r="K54">
            <v>1.4298964307201499E-2</v>
          </cell>
          <cell r="L54">
            <v>4.4635879576643597E-2</v>
          </cell>
          <cell r="M54">
            <v>2.9634715585103701E-2</v>
          </cell>
        </row>
        <row r="55">
          <cell r="B55">
            <v>0</v>
          </cell>
          <cell r="C55">
            <v>2.7172083012078001E-2</v>
          </cell>
          <cell r="D55">
            <v>3.6121394853214499E-6</v>
          </cell>
          <cell r="E55">
            <v>0.115347053326747</v>
          </cell>
          <cell r="F55">
            <v>0.130338980490148</v>
          </cell>
          <cell r="G55">
            <v>9.4674264553426292E-3</v>
          </cell>
          <cell r="H55">
            <v>5.6164036220486498E-2</v>
          </cell>
          <cell r="I55">
            <v>1.3859222598451099E-4</v>
          </cell>
          <cell r="J55">
            <v>9.2200640047039206E-2</v>
          </cell>
          <cell r="K55">
            <v>5.1764627032371703E-2</v>
          </cell>
          <cell r="L55">
            <v>7.1669465067389401E-2</v>
          </cell>
          <cell r="M55">
            <v>1.24252738737286E-2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2.37984111046505E-4</v>
          </cell>
          <cell r="F56">
            <v>2.4983964873467001E-6</v>
          </cell>
          <cell r="G56">
            <v>1.0932315730905601E-5</v>
          </cell>
          <cell r="H56">
            <v>2.2590048866937701E-4</v>
          </cell>
          <cell r="I56">
            <v>2.0097764403494199E-4</v>
          </cell>
          <cell r="J56">
            <v>1.44692332180171E-6</v>
          </cell>
          <cell r="K56">
            <v>3.3768781348014998E-4</v>
          </cell>
          <cell r="L56">
            <v>1.4117731815808601E-4</v>
          </cell>
          <cell r="M56">
            <v>6.4914273923848901E-4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7.6428146212664095E-5</v>
          </cell>
          <cell r="F57">
            <v>1.13235976488693E-4</v>
          </cell>
          <cell r="G57">
            <v>3.2928344588497602E-5</v>
          </cell>
          <cell r="H57">
            <v>8.4685215022069302E-5</v>
          </cell>
          <cell r="I57">
            <v>5.6964399035196297E-4</v>
          </cell>
          <cell r="J57">
            <v>2.4512065591219898E-6</v>
          </cell>
          <cell r="K57">
            <v>9.9609237116741198E-4</v>
          </cell>
          <cell r="L57">
            <v>8.9414977076592996E-5</v>
          </cell>
          <cell r="M57">
            <v>1.1900754285641901E-3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9.1188399391736001E-5</v>
          </cell>
          <cell r="F58">
            <v>2.0372337829352999E-4</v>
          </cell>
          <cell r="G58">
            <v>8.3147348687594201E-6</v>
          </cell>
          <cell r="H58">
            <v>5.0305319022138896E-6</v>
          </cell>
          <cell r="I58">
            <v>4.59937804514014E-4</v>
          </cell>
          <cell r="J58">
            <v>8.1038669736511294E-6</v>
          </cell>
          <cell r="K58">
            <v>5.3707989890494699E-4</v>
          </cell>
          <cell r="L58">
            <v>1.5196236464490599E-4</v>
          </cell>
          <cell r="M58">
            <v>1.09315333487683E-3</v>
          </cell>
        </row>
        <row r="63">
          <cell r="B63">
            <v>0</v>
          </cell>
          <cell r="C63">
            <v>3.2348239366019398E-7</v>
          </cell>
          <cell r="D63">
            <v>3.5643615051820898E-7</v>
          </cell>
          <cell r="E63">
            <v>3.4865182805619598E-7</v>
          </cell>
          <cell r="F63">
            <v>1.4079916499711701E-6</v>
          </cell>
          <cell r="G63">
            <v>1.79207925894201E-6</v>
          </cell>
          <cell r="H63">
            <v>2.4417159934153601E-6</v>
          </cell>
          <cell r="I63">
            <v>1.7979047594363501E-6</v>
          </cell>
          <cell r="J63">
            <v>1.03882263680538E-6</v>
          </cell>
          <cell r="K63">
            <v>2.0367735091879999E-6</v>
          </cell>
          <cell r="L63">
            <v>1.98754559412381E-6</v>
          </cell>
          <cell r="M63">
            <v>6.1978853177303596E-6</v>
          </cell>
        </row>
        <row r="64">
          <cell r="B64">
            <v>5.8957277676666305E-4</v>
          </cell>
          <cell r="C64">
            <v>8.6767901850963197E-7</v>
          </cell>
          <cell r="D64">
            <v>3.6720645264519601E-6</v>
          </cell>
          <cell r="E64">
            <v>1.20224896105068E-4</v>
          </cell>
          <cell r="F64">
            <v>1.29267087250918E-3</v>
          </cell>
          <cell r="G64">
            <v>4.6711298413929701E-2</v>
          </cell>
          <cell r="H64">
            <v>4.3934060175081302E-3</v>
          </cell>
          <cell r="I64">
            <v>3.1445960177763799E-2</v>
          </cell>
          <cell r="J64">
            <v>1.8394711112959799E-2</v>
          </cell>
          <cell r="K64">
            <v>1.7352023792270702E-2</v>
          </cell>
          <cell r="L64">
            <v>3.1318126550112901E-2</v>
          </cell>
          <cell r="M64">
            <v>9.5608103548355892E-3</v>
          </cell>
        </row>
        <row r="65">
          <cell r="B65">
            <v>4.3799018965295602E-4</v>
          </cell>
          <cell r="C65">
            <v>6.6150926545321004E-7</v>
          </cell>
          <cell r="D65">
            <v>2.6834344497145099E-6</v>
          </cell>
          <cell r="E65">
            <v>1.02625014060707E-4</v>
          </cell>
          <cell r="F65">
            <v>1.0101322379962401E-3</v>
          </cell>
          <cell r="G65">
            <v>8.28181635799294E-3</v>
          </cell>
          <cell r="H65">
            <v>0.13521425166194001</v>
          </cell>
          <cell r="I65">
            <v>2.6378552233782999E-2</v>
          </cell>
          <cell r="J65">
            <v>0.162438978015187</v>
          </cell>
          <cell r="K65">
            <v>0.118197021371899</v>
          </cell>
          <cell r="L65">
            <v>0.193170714940157</v>
          </cell>
          <cell r="M65">
            <v>0.14900487336013801</v>
          </cell>
        </row>
        <row r="66">
          <cell r="B66">
            <v>4.1394863785623699E-4</v>
          </cell>
          <cell r="C66">
            <v>6.6937921032112001E-7</v>
          </cell>
          <cell r="D66">
            <v>1.87665896110718E-6</v>
          </cell>
          <cell r="E66">
            <v>2.6667849597076802E-2</v>
          </cell>
          <cell r="F66">
            <v>4.5848147092144898E-4</v>
          </cell>
          <cell r="G66">
            <v>1.87111926104701E-2</v>
          </cell>
          <cell r="H66">
            <v>8.0642694690449997E-3</v>
          </cell>
          <cell r="I66">
            <v>1.8813246418417601E-2</v>
          </cell>
          <cell r="J66">
            <v>1.1098953505855399E-2</v>
          </cell>
          <cell r="K66">
            <v>2.4804717987929301E-2</v>
          </cell>
          <cell r="L66">
            <v>4.3821767508849897E-2</v>
          </cell>
          <cell r="M66">
            <v>1.06254619833588E-3</v>
          </cell>
        </row>
        <row r="67">
          <cell r="B67">
            <v>8.2552876740292697E-4</v>
          </cell>
          <cell r="C67">
            <v>1.327137342217652E-6</v>
          </cell>
          <cell r="D67">
            <v>3.8278933259522696E-6</v>
          </cell>
          <cell r="E67">
            <v>4.1104820410732899E-2</v>
          </cell>
          <cell r="F67">
            <v>3.7940472641583701E-3</v>
          </cell>
          <cell r="G67">
            <v>3.2003281840299901E-2</v>
          </cell>
          <cell r="H67">
            <v>1.761392405770483E-2</v>
          </cell>
          <cell r="I67">
            <v>2.7635989880675602E-2</v>
          </cell>
          <cell r="J67">
            <v>2.39828460801986E-2</v>
          </cell>
          <cell r="K67">
            <v>2.0587978296131001E-2</v>
          </cell>
          <cell r="L67">
            <v>2.8272183948221601E-2</v>
          </cell>
          <cell r="M67">
            <v>1.8293223524168949E-2</v>
          </cell>
        </row>
        <row r="68">
          <cell r="B68">
            <v>8.2679357431531008E-4</v>
          </cell>
          <cell r="C68">
            <v>1.328810655062908E-6</v>
          </cell>
          <cell r="D68">
            <v>3.79669345380121E-6</v>
          </cell>
          <cell r="E68">
            <v>4.14285046239556E-2</v>
          </cell>
          <cell r="F68">
            <v>3.9040065230447896E-3</v>
          </cell>
          <cell r="G68">
            <v>4.0158053735453697E-2</v>
          </cell>
          <cell r="H68">
            <v>1.2953782528473609E-2</v>
          </cell>
          <cell r="I68">
            <v>2.9508816532135003E-2</v>
          </cell>
          <cell r="J68">
            <v>2.4173607963530498E-2</v>
          </cell>
          <cell r="K68">
            <v>1.945407753578849E-2</v>
          </cell>
          <cell r="L68">
            <v>2.93931555461097E-2</v>
          </cell>
          <cell r="M68">
            <v>1.7942899986624919E-2</v>
          </cell>
        </row>
        <row r="69">
          <cell r="B69">
            <v>4.15122764766043E-4</v>
          </cell>
          <cell r="C69">
            <v>6.6927759712809895E-7</v>
          </cell>
          <cell r="D69">
            <v>1.8772118061523099E-6</v>
          </cell>
          <cell r="E69">
            <v>2.4348196684361799E-2</v>
          </cell>
          <cell r="F69">
            <v>4.2556981082792697E-3</v>
          </cell>
          <cell r="G69">
            <v>2.58233263186021E-2</v>
          </cell>
          <cell r="H69">
            <v>7.3714827742719403E-3</v>
          </cell>
          <cell r="I69">
            <v>2.072764824267E-2</v>
          </cell>
          <cell r="J69">
            <v>1.4758656608338401E-2</v>
          </cell>
          <cell r="K69">
            <v>1.29871749345115E-2</v>
          </cell>
          <cell r="L69">
            <v>1.91589639325963E-2</v>
          </cell>
          <cell r="M69">
            <v>1.2194774757340401E-2</v>
          </cell>
        </row>
      </sheetData>
      <sheetData sheetId="62"/>
      <sheetData sheetId="63"/>
      <sheetData sheetId="64"/>
      <sheetData sheetId="65"/>
      <sheetData sheetId="66"/>
      <sheetData sheetId="67"/>
      <sheetData sheetId="68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1.2760229094535885E-3</v>
          </cell>
          <cell r="J157">
            <v>1.2973440566270164E-3</v>
          </cell>
          <cell r="K157">
            <v>2.0066611898511702E-3</v>
          </cell>
          <cell r="L157">
            <v>2.0532508070308891E-3</v>
          </cell>
          <cell r="M157">
            <v>4.2523659949158374E-3</v>
          </cell>
        </row>
      </sheetData>
      <sheetData sheetId="69">
        <row r="5">
          <cell r="B5">
            <v>0.6280324052813665</v>
          </cell>
          <cell r="C5">
            <v>0.63726163748484699</v>
          </cell>
          <cell r="D5">
            <v>0.63091909888992825</v>
          </cell>
          <cell r="E5">
            <v>3.863059565957575E-4</v>
          </cell>
          <cell r="F5">
            <v>3.0772662581496314E-4</v>
          </cell>
          <cell r="G5">
            <v>7.6578949243698063E-4</v>
          </cell>
          <cell r="H5">
            <v>9.6302342172668377E-4</v>
          </cell>
          <cell r="I5">
            <v>0.20859626447189672</v>
          </cell>
          <cell r="J5">
            <v>0.28518723936851592</v>
          </cell>
          <cell r="K5">
            <v>0.46505199359218613</v>
          </cell>
          <cell r="L5">
            <v>1.3152165971102321</v>
          </cell>
          <cell r="M5">
            <v>1.578957369024607</v>
          </cell>
        </row>
        <row r="12">
          <cell r="B12">
            <v>0.18717947929539061</v>
          </cell>
          <cell r="C12">
            <v>3.5964942908825471E-5</v>
          </cell>
          <cell r="D12">
            <v>6.0804043021586848E-4</v>
          </cell>
          <cell r="E12">
            <v>7.6973986605439717E-5</v>
          </cell>
          <cell r="F12">
            <v>1.0844866382511711E-4</v>
          </cell>
          <cell r="G12">
            <v>1.2634405740810021E-4</v>
          </cell>
          <cell r="H12">
            <v>1.3203261942120023E-4</v>
          </cell>
          <cell r="I12">
            <v>3.7998989601120296E-4</v>
          </cell>
          <cell r="J12">
            <v>2.6647372305347065E-4</v>
          </cell>
          <cell r="K12">
            <v>5.2294959153574344E-4</v>
          </cell>
          <cell r="L12">
            <v>5.0623759849233933E-4</v>
          </cell>
          <cell r="M12">
            <v>1.0600177985096106E-3</v>
          </cell>
        </row>
        <row r="19">
          <cell r="B19">
            <v>1.3280031627198881</v>
          </cell>
          <cell r="C19">
            <v>4.366322177000729</v>
          </cell>
          <cell r="D19">
            <v>4.3847082500832526</v>
          </cell>
          <cell r="E19">
            <v>4.3847632266199179</v>
          </cell>
          <cell r="F19">
            <v>4.3847643980313249</v>
          </cell>
          <cell r="G19">
            <v>4.3851758440321014</v>
          </cell>
          <cell r="H19">
            <v>4.3851826865725574</v>
          </cell>
          <cell r="I19">
            <v>4.3851941670467731</v>
          </cell>
          <cell r="J19">
            <v>4.3851982844414126</v>
          </cell>
          <cell r="K19">
            <v>4.3852235108776991</v>
          </cell>
          <cell r="L19">
            <v>4.3852600359977485</v>
          </cell>
          <cell r="M19">
            <v>4.3853575893985139</v>
          </cell>
        </row>
        <row r="20">
          <cell r="B20">
            <v>5.629412318063113</v>
          </cell>
          <cell r="C20">
            <v>5.7765902228992028</v>
          </cell>
          <cell r="D20">
            <v>5.5674085845971435</v>
          </cell>
          <cell r="E20">
            <v>5.7571131374435156</v>
          </cell>
          <cell r="F20">
            <v>5.7449428559978983</v>
          </cell>
          <cell r="G20">
            <v>5.5843543351113345</v>
          </cell>
          <cell r="H20">
            <v>5.4236308892624079</v>
          </cell>
          <cell r="I20">
            <v>5.2628892808509153</v>
          </cell>
          <cell r="J20">
            <v>5.2629269588278751</v>
          </cell>
          <cell r="K20">
            <v>5.262930818460192</v>
          </cell>
          <cell r="L20">
            <v>5.2629424394202342</v>
          </cell>
          <cell r="M20">
            <v>5.2631073090496203</v>
          </cell>
        </row>
        <row r="21">
          <cell r="B21">
            <v>0</v>
          </cell>
          <cell r="C21">
            <v>6.0145032387251627E-5</v>
          </cell>
          <cell r="D21">
            <v>1.3219907885525902E-4</v>
          </cell>
          <cell r="E21">
            <v>2.9104229960479473E-4</v>
          </cell>
          <cell r="F21">
            <v>4.5143368060100616E-4</v>
          </cell>
          <cell r="G21">
            <v>4.8074766282015972E-4</v>
          </cell>
          <cell r="H21">
            <v>4.9469004965947878E-4</v>
          </cell>
          <cell r="I21">
            <v>6.2413392965868458E-4</v>
          </cell>
          <cell r="J21">
            <v>6.4170165584301081E-4</v>
          </cell>
          <cell r="K21">
            <v>7.6478875585423334E-4</v>
          </cell>
          <cell r="L21">
            <v>8.0459347951844723E-4</v>
          </cell>
          <cell r="M21">
            <v>1.4944486529757156E-3</v>
          </cell>
        </row>
        <row r="28">
          <cell r="B28">
            <v>3.3091345609415597E-3</v>
          </cell>
          <cell r="C28">
            <v>4.4876865337928071E-3</v>
          </cell>
          <cell r="D28">
            <v>4.5156040766261563E-3</v>
          </cell>
          <cell r="E28">
            <v>7.7410589952668068E-3</v>
          </cell>
          <cell r="F28">
            <v>2.2329175505180161E-2</v>
          </cell>
          <cell r="G28">
            <v>3.3731679430919481E-2</v>
          </cell>
          <cell r="H28">
            <v>3.3777416484726236E-2</v>
          </cell>
          <cell r="I28">
            <v>0.11593705471990159</v>
          </cell>
          <cell r="J28">
            <v>0.12673745330610653</v>
          </cell>
          <cell r="K28">
            <v>0.51414204928890317</v>
          </cell>
          <cell r="L28">
            <v>0.55959990571355678</v>
          </cell>
          <cell r="M28">
            <v>0.56605365681466657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9.6977741118472625E-4</v>
          </cell>
          <cell r="J29">
            <v>9.8598148303653192E-4</v>
          </cell>
          <cell r="K29">
            <v>1.5250625042868907E-3</v>
          </cell>
          <cell r="L29">
            <v>1.5604706133434767E-3</v>
          </cell>
          <cell r="M29">
            <v>3.2317981561360361E-3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6.5162536870063516E-3</v>
          </cell>
          <cell r="J31">
            <v>6.2245698225376206E-3</v>
          </cell>
          <cell r="K31">
            <v>8.7966033824417086E-3</v>
          </cell>
          <cell r="L31">
            <v>9.1008779426345159E-3</v>
          </cell>
          <cell r="M31">
            <v>3.1708211099098056E-2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8">
          <cell r="B38">
            <v>1.2890723565412294</v>
          </cell>
          <cell r="C38">
            <v>3.4992629888894746</v>
          </cell>
          <cell r="D38">
            <v>3.4791172218315669</v>
          </cell>
          <cell r="E38">
            <v>3.4790516388548354</v>
          </cell>
          <cell r="F38">
            <v>3.4790537342104182</v>
          </cell>
          <cell r="G38">
            <v>3.4778665956181252</v>
          </cell>
          <cell r="H38">
            <v>3.4778916353958809</v>
          </cell>
          <cell r="I38">
            <v>3.4794842235020793</v>
          </cell>
          <cell r="J38">
            <v>3.4793722503343743</v>
          </cell>
          <cell r="K38">
            <v>3.4803618970542654</v>
          </cell>
          <cell r="L38">
            <v>3.4803729125271143</v>
          </cell>
          <cell r="M38">
            <v>3.4838340377259054</v>
          </cell>
        </row>
        <row r="39">
          <cell r="B39">
            <v>1.1764725935361819</v>
          </cell>
          <cell r="C39">
            <v>3.1936042869229757</v>
          </cell>
          <cell r="D39">
            <v>3.1752182415632042</v>
          </cell>
          <cell r="E39">
            <v>3.1751583872235027</v>
          </cell>
          <cell r="F39">
            <v>3.1751602995509258</v>
          </cell>
          <cell r="G39">
            <v>3.1740768568632642</v>
          </cell>
          <cell r="H39">
            <v>3.1740997094301733</v>
          </cell>
          <cell r="I39">
            <v>3.175553185839175</v>
          </cell>
          <cell r="J39">
            <v>3.1754509934662298</v>
          </cell>
          <cell r="K39">
            <v>3.1763541950881766</v>
          </cell>
          <cell r="L39">
            <v>3.1763642483655175</v>
          </cell>
          <cell r="M39">
            <v>3.1795230461773789</v>
          </cell>
        </row>
      </sheetData>
      <sheetData sheetId="70">
        <row r="3">
          <cell r="B3">
            <v>48.063397652170998</v>
          </cell>
          <cell r="C3">
            <v>50.716969947877132</v>
          </cell>
          <cell r="D3">
            <v>52.366725087994411</v>
          </cell>
          <cell r="E3">
            <v>53.836892561394826</v>
          </cell>
          <cell r="F3">
            <v>54.805043570701265</v>
          </cell>
          <cell r="G3">
            <v>55.348896729136115</v>
          </cell>
          <cell r="H3">
            <v>56.040953999775006</v>
          </cell>
          <cell r="I3">
            <v>56.733048128806729</v>
          </cell>
          <cell r="J3">
            <v>57.42787069634344</v>
          </cell>
          <cell r="K3">
            <v>58.992629471739207</v>
          </cell>
          <cell r="L3">
            <v>57.520196799512284</v>
          </cell>
          <cell r="M3">
            <v>57.640634260714528</v>
          </cell>
        </row>
        <row r="6">
          <cell r="B6">
            <v>0</v>
          </cell>
          <cell r="C6">
            <v>4.8942213029962556</v>
          </cell>
          <cell r="D6">
            <v>4.8942251233698011</v>
          </cell>
          <cell r="E6">
            <v>4.8944003573222412</v>
          </cell>
          <cell r="F6">
            <v>4.8951450206080791</v>
          </cell>
          <cell r="G6">
            <v>4.8955777732361589</v>
          </cell>
          <cell r="H6">
            <v>4.8956452919346107</v>
          </cell>
          <cell r="I6">
            <v>4.8959510361988761</v>
          </cell>
          <cell r="J6">
            <v>4.8957754304501808</v>
          </cell>
          <cell r="K6">
            <v>4.8961857024287099</v>
          </cell>
          <cell r="L6">
            <v>4.8960253484156917</v>
          </cell>
          <cell r="M6">
            <v>4.8977710033156772</v>
          </cell>
        </row>
        <row r="11">
          <cell r="B11">
            <v>60.070074276227196</v>
          </cell>
          <cell r="C11">
            <v>62.576420846008901</v>
          </cell>
          <cell r="D11">
            <v>64.895184543735809</v>
          </cell>
          <cell r="E11">
            <v>67.327756698332266</v>
          </cell>
          <cell r="F11">
            <v>69.295248567765483</v>
          </cell>
          <cell r="G11">
            <v>70.247233566780835</v>
          </cell>
          <cell r="H11">
            <v>71.131364829128088</v>
          </cell>
          <cell r="I11">
            <v>72.016723554645694</v>
          </cell>
          <cell r="J11">
            <v>72.711711068032926</v>
          </cell>
          <cell r="K11">
            <v>74.796554796048738</v>
          </cell>
          <cell r="L11">
            <v>73.324064385933582</v>
          </cell>
          <cell r="M11">
            <v>73.442633180013928</v>
          </cell>
        </row>
        <row r="18">
          <cell r="B18">
            <v>3.5600047542263824</v>
          </cell>
          <cell r="C18">
            <v>3.4647169635802859</v>
          </cell>
          <cell r="D18">
            <v>2.9081085473763579</v>
          </cell>
          <cell r="E18">
            <v>1.3322349892724663E-3</v>
          </cell>
          <cell r="F18">
            <v>1.5087891758493537E-3</v>
          </cell>
          <cell r="G18">
            <v>1.356355616750455E-3</v>
          </cell>
          <cell r="H18">
            <v>1.7821310339615763E-3</v>
          </cell>
          <cell r="I18">
            <v>4.4958159540471462E-3</v>
          </cell>
          <cell r="J18">
            <v>2.6600949992475072E-3</v>
          </cell>
          <cell r="K18">
            <v>4.0053278377095072E-3</v>
          </cell>
          <cell r="L18">
            <v>2.206658400013735E-3</v>
          </cell>
          <cell r="M18">
            <v>3.8655899619369095E-3</v>
          </cell>
        </row>
        <row r="19">
          <cell r="B19">
            <v>12.728690199626094</v>
          </cell>
          <cell r="C19">
            <v>13.638451066601295</v>
          </cell>
          <cell r="D19">
            <v>13.52312205473574</v>
          </cell>
          <cell r="E19">
            <v>17.062328697899513</v>
          </cell>
          <cell r="F19">
            <v>16.514013225217028</v>
          </cell>
          <cell r="G19">
            <v>15.98263466950848</v>
          </cell>
          <cell r="H19">
            <v>18.736469577097232</v>
          </cell>
          <cell r="I19">
            <v>21.104917716512194</v>
          </cell>
          <cell r="J19">
            <v>21.9504723515434</v>
          </cell>
          <cell r="K19">
            <v>22.178699222040642</v>
          </cell>
          <cell r="L19">
            <v>21.792560039207405</v>
          </cell>
          <cell r="M19">
            <v>21.853291568310695</v>
          </cell>
        </row>
        <row r="21">
          <cell r="B21">
            <v>7.7980456515855261</v>
          </cell>
          <cell r="C21">
            <v>8.0802350718741884</v>
          </cell>
          <cell r="D21">
            <v>5.6083626384982797</v>
          </cell>
          <cell r="E21">
            <v>5.5456707636366076</v>
          </cell>
          <cell r="F21">
            <v>5.4830304357626538</v>
          </cell>
          <cell r="G21">
            <v>5.4554047747284153</v>
          </cell>
          <cell r="H21">
            <v>5.427727020415551</v>
          </cell>
          <cell r="I21">
            <v>5.4000347439442269</v>
          </cell>
          <cell r="J21">
            <v>5.4000488993518703</v>
          </cell>
          <cell r="K21">
            <v>5.4001314241604863</v>
          </cell>
          <cell r="L21">
            <v>5.4000405061426013</v>
          </cell>
          <cell r="M21">
            <v>5.4002860276599813</v>
          </cell>
        </row>
        <row r="22">
          <cell r="B22">
            <v>6.7686205191224119E-2</v>
          </cell>
          <cell r="C22">
            <v>8.5502240074490629E-2</v>
          </cell>
          <cell r="D22">
            <v>8.550021815389508E-2</v>
          </cell>
          <cell r="E22">
            <v>8.5495210940754976E-2</v>
          </cell>
          <cell r="F22">
            <v>8.5494984769606652E-2</v>
          </cell>
          <cell r="G22">
            <v>8.549412257390826E-2</v>
          </cell>
          <cell r="H22">
            <v>8.5496152181069929E-2</v>
          </cell>
          <cell r="I22">
            <v>8.5496849940461889E-2</v>
          </cell>
          <cell r="J22">
            <v>8.549490788983817E-2</v>
          </cell>
          <cell r="K22">
            <v>8.5512689658765004E-2</v>
          </cell>
          <cell r="L22">
            <v>8.551067613974353E-2</v>
          </cell>
          <cell r="M22">
            <v>8.5556776020028841E-2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3.2564957865839385E-3</v>
          </cell>
          <cell r="F23">
            <v>1.2537874830294842E-2</v>
          </cell>
          <cell r="G23">
            <v>1.9385180929314138E-2</v>
          </cell>
          <cell r="H23">
            <v>1.8570472576389128E-2</v>
          </cell>
          <cell r="I23">
            <v>0.11502452172643202</v>
          </cell>
          <cell r="J23">
            <v>0.14860828355055039</v>
          </cell>
          <cell r="K23">
            <v>0.33318275312191881</v>
          </cell>
          <cell r="L23">
            <v>0.35426276858867484</v>
          </cell>
          <cell r="M23">
            <v>0.34171154853442065</v>
          </cell>
        </row>
        <row r="24">
          <cell r="B24">
            <v>0.74853521297415893</v>
          </cell>
          <cell r="C24">
            <v>0.94974051824371841</v>
          </cell>
          <cell r="D24">
            <v>2.444963101613896</v>
          </cell>
          <cell r="E24">
            <v>4.079946013188505</v>
          </cell>
          <cell r="F24">
            <v>5.7654363370353403</v>
          </cell>
          <cell r="G24">
            <v>6.2706140592239645</v>
          </cell>
          <cell r="H24">
            <v>6.3209171173288938</v>
          </cell>
          <cell r="I24">
            <v>6.3692277388323433</v>
          </cell>
          <cell r="J24">
            <v>6.3692636671824037</v>
          </cell>
          <cell r="K24">
            <v>8.7295438102233209</v>
          </cell>
          <cell r="L24">
            <v>8.7295323887211467</v>
          </cell>
          <cell r="M24">
            <v>8.7297217583298625</v>
          </cell>
        </row>
        <row r="33">
          <cell r="B33">
            <v>12.006676624056198</v>
          </cell>
          <cell r="C33">
            <v>12.710049180293705</v>
          </cell>
          <cell r="D33">
            <v>13.379058401871479</v>
          </cell>
          <cell r="E33">
            <v>14.341704907308143</v>
          </cell>
          <cell r="F33">
            <v>15.34181119116819</v>
          </cell>
          <cell r="G33">
            <v>15.750285624346434</v>
          </cell>
          <cell r="H33">
            <v>15.942497769332126</v>
          </cell>
          <cell r="I33">
            <v>16.136197497568585</v>
          </cell>
          <cell r="J33">
            <v>16.136222770727812</v>
          </cell>
          <cell r="K33">
            <v>16.656888544766204</v>
          </cell>
          <cell r="L33">
            <v>16.656891742988197</v>
          </cell>
          <cell r="M33">
            <v>16.657165313181142</v>
          </cell>
        </row>
        <row r="34">
          <cell r="B34">
            <v>8.89781541719187</v>
          </cell>
          <cell r="C34">
            <v>8.1049323673008278</v>
          </cell>
          <cell r="D34">
            <v>8.0013370101332004</v>
          </cell>
          <cell r="E34">
            <v>6.5040539421470029</v>
          </cell>
          <cell r="F34">
            <v>4.9553033884367421</v>
          </cell>
          <cell r="G34">
            <v>3.384693630955617</v>
          </cell>
          <cell r="H34">
            <v>1.8146900711368632</v>
          </cell>
          <cell r="I34">
            <v>0.25922676135706235</v>
          </cell>
          <cell r="J34">
            <v>0.25919363072493512</v>
          </cell>
          <cell r="K34">
            <v>0.25913289227940317</v>
          </cell>
          <cell r="L34">
            <v>0.24964924661341278</v>
          </cell>
          <cell r="M34">
            <v>0.24683971525511786</v>
          </cell>
        </row>
        <row r="35">
          <cell r="B35">
            <v>2.7300042170278207</v>
          </cell>
          <cell r="C35">
            <v>2.2685005352039722</v>
          </cell>
          <cell r="D35">
            <v>3.1823425764904607E-3</v>
          </cell>
          <cell r="E35">
            <v>9.0052559914391547E-4</v>
          </cell>
          <cell r="F35">
            <v>1.4093634953595583E-3</v>
          </cell>
          <cell r="G35">
            <v>1.2719153025492918E-3</v>
          </cell>
          <cell r="H35">
            <v>1.4421163307055563E-3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</row>
        <row r="36">
          <cell r="B36">
            <v>0</v>
          </cell>
          <cell r="C36">
            <v>0</v>
          </cell>
          <cell r="D36">
            <v>1.1846824595194157E-4</v>
          </cell>
          <cell r="E36">
            <v>5.420739814987485E-4</v>
          </cell>
          <cell r="F36">
            <v>5.5354018703953744E-4</v>
          </cell>
          <cell r="G36">
            <v>6.1325927492884911E-4</v>
          </cell>
          <cell r="H36">
            <v>6.0409299184786716E-4</v>
          </cell>
          <cell r="I36">
            <v>4.5839716480590241E-4</v>
          </cell>
          <cell r="J36">
            <v>4.5203582367754305E-4</v>
          </cell>
          <cell r="K36">
            <v>5.0353563851445761E-4</v>
          </cell>
          <cell r="L36">
            <v>5.1702444531087394E-4</v>
          </cell>
          <cell r="M36">
            <v>1.1514430585951667E-3</v>
          </cell>
        </row>
        <row r="37">
          <cell r="B37">
            <v>35.242431721858942</v>
          </cell>
          <cell r="C37">
            <v>30.063707438519025</v>
          </cell>
          <cell r="D37">
            <v>31.13291339696783</v>
          </cell>
          <cell r="E37">
            <v>26.445194282426822</v>
          </cell>
          <cell r="F37">
            <v>23.772012993027001</v>
          </cell>
          <cell r="G37">
            <v>22.184031362316393</v>
          </cell>
          <cell r="H37">
            <v>19.414849164303025</v>
          </cell>
          <cell r="I37">
            <v>16.92041473837693</v>
          </cell>
          <cell r="J37">
            <v>15.169836722021525</v>
          </cell>
          <cell r="K37">
            <v>12.68555054556675</v>
          </cell>
          <cell r="L37">
            <v>11.270046050269448</v>
          </cell>
          <cell r="M37">
            <v>9.7439021987737124</v>
          </cell>
        </row>
        <row r="38">
          <cell r="B38">
            <v>0.30994048630895449</v>
          </cell>
          <cell r="C38">
            <v>1.1399639118618116E-4</v>
          </cell>
          <cell r="D38">
            <v>2.7336708917895267</v>
          </cell>
          <cell r="E38">
            <v>2.5851111691873143</v>
          </cell>
          <cell r="F38">
            <v>2.5716240131157626</v>
          </cell>
          <cell r="G38">
            <v>2.696001380974145</v>
          </cell>
          <cell r="H38">
            <v>2.7088196460501894</v>
          </cell>
          <cell r="I38">
            <v>2.7103232455280692</v>
          </cell>
          <cell r="J38">
            <v>2.7184573602367221</v>
          </cell>
          <cell r="K38">
            <v>2.6967690537899291</v>
          </cell>
          <cell r="L38">
            <v>2.6790606729107651</v>
          </cell>
          <cell r="M38">
            <v>2.6492195696331273</v>
          </cell>
        </row>
        <row r="39">
          <cell r="B39">
            <v>0.43673267029149393</v>
          </cell>
          <cell r="C39">
            <v>0.55206685893644225</v>
          </cell>
          <cell r="D39">
            <v>0.95313303454226073</v>
          </cell>
          <cell r="E39">
            <v>2.2168889321866887</v>
          </cell>
          <cell r="F39">
            <v>3.6683616609161849</v>
          </cell>
          <cell r="G39">
            <v>5.7109670792628267</v>
          </cell>
          <cell r="H39">
            <v>5.7750295071035982</v>
          </cell>
          <cell r="I39">
            <v>5.7754413999220064</v>
          </cell>
          <cell r="J39">
            <v>5.7997830347435615</v>
          </cell>
          <cell r="K39">
            <v>6.1162782872669474</v>
          </cell>
          <cell r="L39">
            <v>6.1163395382348913</v>
          </cell>
          <cell r="M39">
            <v>6.1204189245320197</v>
          </cell>
        </row>
        <row r="55">
          <cell r="B55">
            <v>9.8139195202505558</v>
          </cell>
          <cell r="C55">
            <v>10.335085692333859</v>
          </cell>
          <cell r="D55">
            <v>10.335134157333735</v>
          </cell>
          <cell r="E55">
            <v>10.582229751318476</v>
          </cell>
          <cell r="F55">
            <v>10.862147730041317</v>
          </cell>
          <cell r="G55">
            <v>11.101051563456695</v>
          </cell>
          <cell r="H55">
            <v>11.31937352204775</v>
          </cell>
          <cell r="I55">
            <v>11.538047053067823</v>
          </cell>
          <cell r="J55">
            <v>11.538050688436646</v>
          </cell>
          <cell r="K55">
            <v>11.736575596171493</v>
          </cell>
          <cell r="L55">
            <v>11.736574628993402</v>
          </cell>
          <cell r="M55">
            <v>11.736599514343462</v>
          </cell>
        </row>
        <row r="56">
          <cell r="B56">
            <v>1.1082384044597935</v>
          </cell>
          <cell r="C56">
            <v>1.40080848945522</v>
          </cell>
          <cell r="D56">
            <v>3.5501289060192747</v>
          </cell>
          <cell r="E56">
            <v>5.8184702498984375</v>
          </cell>
          <cell r="F56">
            <v>8.1691003196613821</v>
          </cell>
          <cell r="G56">
            <v>8.7996618437256799</v>
          </cell>
          <cell r="H56">
            <v>8.7997192063490282</v>
          </cell>
          <cell r="I56">
            <v>8.7997755313267252</v>
          </cell>
          <cell r="J56">
            <v>8.799847942719115</v>
          </cell>
          <cell r="K56">
            <v>9.7895321714546188</v>
          </cell>
          <cell r="L56">
            <v>9.7895471312070548</v>
          </cell>
          <cell r="M56">
            <v>9.7903897008823328</v>
          </cell>
        </row>
        <row r="57">
          <cell r="B57">
            <v>6.9177145465602878</v>
          </cell>
          <cell r="C57">
            <v>6.3114720062600016</v>
          </cell>
          <cell r="D57">
            <v>6.2459882819691597</v>
          </cell>
          <cell r="E57">
            <v>5.0979829770422844</v>
          </cell>
          <cell r="F57">
            <v>3.8997404392978412</v>
          </cell>
          <cell r="G57">
            <v>2.6745267258825876</v>
          </cell>
          <cell r="H57">
            <v>1.4398623767086745</v>
          </cell>
          <cell r="I57">
            <v>0.20679467544450236</v>
          </cell>
          <cell r="J57">
            <v>0.20676322686331072</v>
          </cell>
          <cell r="K57">
            <v>0.20675586987900302</v>
          </cell>
          <cell r="L57">
            <v>0.19921451470394158</v>
          </cell>
          <cell r="M57">
            <v>0.19748241057939336</v>
          </cell>
        </row>
        <row r="58">
          <cell r="B58">
            <v>1.8458241012379351</v>
          </cell>
          <cell r="C58">
            <v>1.5404252884302567</v>
          </cell>
          <cell r="D58">
            <v>2.1749322546201987E-3</v>
          </cell>
          <cell r="E58">
            <v>6.2203805760865959E-4</v>
          </cell>
          <cell r="F58">
            <v>9.8382380497943076E-4</v>
          </cell>
          <cell r="G58">
            <v>8.9717725653570704E-4</v>
          </cell>
          <cell r="H58">
            <v>1.0277782824397173E-3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B59">
            <v>28.619778055893814</v>
          </cell>
          <cell r="C59">
            <v>24.222660084453278</v>
          </cell>
          <cell r="D59">
            <v>27.299961545548623</v>
          </cell>
          <cell r="E59">
            <v>23.405824883294375</v>
          </cell>
          <cell r="F59">
            <v>21.269954407657327</v>
          </cell>
          <cell r="G59">
            <v>20.120735136499999</v>
          </cell>
          <cell r="H59">
            <v>17.922087145013844</v>
          </cell>
          <cell r="I59">
            <v>15.978224133118557</v>
          </cell>
          <cell r="J59">
            <v>14.568353192953506</v>
          </cell>
          <cell r="K59">
            <v>11.32831403402975</v>
          </cell>
          <cell r="L59">
            <v>10.176689583824219</v>
          </cell>
          <cell r="M59">
            <v>8.8971083300982254</v>
          </cell>
        </row>
        <row r="60">
          <cell r="B60">
            <v>0</v>
          </cell>
          <cell r="C60">
            <v>0</v>
          </cell>
          <cell r="D60">
            <v>5.2371690531288331E-2</v>
          </cell>
          <cell r="E60">
            <v>0.16176193321749383</v>
          </cell>
          <cell r="F60">
            <v>0.20065964275492496</v>
          </cell>
          <cell r="G60">
            <v>0.23293762452892594</v>
          </cell>
          <cell r="H60">
            <v>0.23335583492143427</v>
          </cell>
          <cell r="I60">
            <v>0.23335225866233869</v>
          </cell>
          <cell r="J60">
            <v>0.23332228624882986</v>
          </cell>
          <cell r="K60">
            <v>3.4404921865923006</v>
          </cell>
          <cell r="L60">
            <v>3.4404495325797608</v>
          </cell>
          <cell r="M60">
            <v>3.4396582830166347</v>
          </cell>
        </row>
        <row r="61">
          <cell r="B61">
            <v>2.3674031615605471</v>
          </cell>
          <cell r="C61">
            <v>2.3075014977444708</v>
          </cell>
          <cell r="D61">
            <v>1.9411624553737183</v>
          </cell>
          <cell r="E61">
            <v>8.9259744281255352E-4</v>
          </cell>
          <cell r="F61">
            <v>1.0146607207586918E-3</v>
          </cell>
          <cell r="G61">
            <v>9.1554004130655709E-4</v>
          </cell>
          <cell r="H61">
            <v>1.2073937755089673E-3</v>
          </cell>
          <cell r="I61">
            <v>3.0571548487520576E-3</v>
          </cell>
          <cell r="J61">
            <v>1.8088645994883072E-3</v>
          </cell>
          <cell r="K61">
            <v>2.7236229296424656E-3</v>
          </cell>
          <cell r="L61">
            <v>1.500527712009341E-3</v>
          </cell>
          <cell r="M61">
            <v>2.6286011741171013E-3</v>
          </cell>
        </row>
        <row r="62">
          <cell r="B62">
            <v>5.1850772885888405</v>
          </cell>
          <cell r="C62">
            <v>5.5675710318074074</v>
          </cell>
          <cell r="D62">
            <v>5.6974790109707651</v>
          </cell>
          <cell r="E62">
            <v>8.6445747790176988</v>
          </cell>
          <cell r="F62">
            <v>8.6223687385073671</v>
          </cell>
          <cell r="G62">
            <v>7.7198544573997241</v>
          </cell>
          <cell r="H62">
            <v>9.3350520900838934</v>
          </cell>
          <cell r="I62">
            <v>11.285347435821935</v>
          </cell>
          <cell r="J62">
            <v>12.166093859663588</v>
          </cell>
          <cell r="K62">
            <v>12.154678735967526</v>
          </cell>
          <cell r="L62">
            <v>12.113185326848424</v>
          </cell>
          <cell r="M62">
            <v>12.246727540230138</v>
          </cell>
        </row>
        <row r="63">
          <cell r="B63">
            <v>6.5822946519730525</v>
          </cell>
          <cell r="C63">
            <v>7.0678587556973822</v>
          </cell>
          <cell r="D63">
            <v>6.8712692162456168</v>
          </cell>
          <cell r="E63">
            <v>7.2980688185094946</v>
          </cell>
          <cell r="F63">
            <v>6.8896901848015242</v>
          </cell>
          <cell r="G63">
            <v>7.373182506504361</v>
          </cell>
          <cell r="H63">
            <v>8.411999182687472</v>
          </cell>
          <cell r="I63">
            <v>8.7652840931403482</v>
          </cell>
          <cell r="J63">
            <v>8.6878080478111617</v>
          </cell>
          <cell r="K63">
            <v>8.9161019735671676</v>
          </cell>
          <cell r="L63">
            <v>8.5907072804345024</v>
          </cell>
          <cell r="M63">
            <v>8.5155394226290699</v>
          </cell>
        </row>
        <row r="64">
          <cell r="B64">
            <v>5.3111241497928692</v>
          </cell>
          <cell r="C64">
            <v>6.2669390476429179</v>
          </cell>
          <cell r="D64">
            <v>5.8302839932136807</v>
          </cell>
          <cell r="E64">
            <v>6.8561600243029135</v>
          </cell>
          <cell r="F64">
            <v>7.4769099829102208</v>
          </cell>
          <cell r="G64">
            <v>8.1023064588305971</v>
          </cell>
          <cell r="H64">
            <v>8.6073003560855739</v>
          </cell>
          <cell r="I64">
            <v>9.2891158396113873</v>
          </cell>
          <cell r="J64">
            <v>9.2096862323652253</v>
          </cell>
          <cell r="K64">
            <v>9.4658725238705941</v>
          </cell>
          <cell r="L64">
            <v>8.2761957803060238</v>
          </cell>
          <cell r="M64">
            <v>8.8880576674886882</v>
          </cell>
        </row>
        <row r="65">
          <cell r="B65">
            <v>0.4615217481890983</v>
          </cell>
          <cell r="C65">
            <v>0.54457591751289969</v>
          </cell>
          <cell r="D65">
            <v>0.54457761634288437</v>
          </cell>
          <cell r="E65">
            <v>0.54458137301167697</v>
          </cell>
          <cell r="F65">
            <v>0.54501633679927985</v>
          </cell>
          <cell r="G65">
            <v>0.54502320288204176</v>
          </cell>
          <cell r="H65">
            <v>0.54503200295724463</v>
          </cell>
          <cell r="I65">
            <v>0.54504511222801577</v>
          </cell>
          <cell r="J65">
            <v>0.54505157965806394</v>
          </cell>
          <cell r="K65">
            <v>0.54507863786179145</v>
          </cell>
          <cell r="L65">
            <v>0.54511725797392219</v>
          </cell>
          <cell r="M65">
            <v>0.54526510768860315</v>
          </cell>
        </row>
        <row r="66">
          <cell r="B66">
            <v>4.117368104037161</v>
          </cell>
          <cell r="C66">
            <v>4.2663641179495722</v>
          </cell>
          <cell r="D66">
            <v>2.9612154731270897</v>
          </cell>
          <cell r="E66">
            <v>2.9281141632001311</v>
          </cell>
          <cell r="F66">
            <v>2.8950400700826813</v>
          </cell>
          <cell r="G66">
            <v>2.880453721056599</v>
          </cell>
          <cell r="H66">
            <v>2.9092616829427369</v>
          </cell>
          <cell r="I66">
            <v>2.937618900705659</v>
          </cell>
          <cell r="J66">
            <v>2.9376266012474175</v>
          </cell>
          <cell r="K66">
            <v>2.9376714947433054</v>
          </cell>
          <cell r="L66">
            <v>2.9376220353415752</v>
          </cell>
          <cell r="M66">
            <v>2.9377555990470263</v>
          </cell>
        </row>
        <row r="67">
          <cell r="B67">
            <v>6.7686205191224119E-2</v>
          </cell>
          <cell r="C67">
            <v>8.5502240074490629E-2</v>
          </cell>
          <cell r="D67">
            <v>8.550021815389508E-2</v>
          </cell>
          <cell r="E67">
            <v>8.5495210940754976E-2</v>
          </cell>
          <cell r="F67">
            <v>8.5494984769606652E-2</v>
          </cell>
          <cell r="G67">
            <v>8.549412257390826E-2</v>
          </cell>
          <cell r="H67">
            <v>8.5496152181069929E-2</v>
          </cell>
          <cell r="I67">
            <v>8.5496849940461889E-2</v>
          </cell>
          <cell r="J67">
            <v>8.549490788983817E-2</v>
          </cell>
          <cell r="K67">
            <v>8.5512689658765004E-2</v>
          </cell>
          <cell r="L67">
            <v>8.551067613974353E-2</v>
          </cell>
          <cell r="M67">
            <v>8.5556776020028841E-2</v>
          </cell>
        </row>
        <row r="68">
          <cell r="B68">
            <v>0.31051692857725255</v>
          </cell>
          <cell r="C68">
            <v>0.39251953670381068</v>
          </cell>
          <cell r="D68">
            <v>0.67767758755954677</v>
          </cell>
          <cell r="E68">
            <v>1.5762080307847337</v>
          </cell>
          <cell r="F68">
            <v>2.6082051409114073</v>
          </cell>
          <cell r="G68">
            <v>4.0604975933558656</v>
          </cell>
          <cell r="H68">
            <v>4.1320336123326253</v>
          </cell>
          <cell r="I68">
            <v>4.1583178079438445</v>
          </cell>
          <cell r="J68">
            <v>4.1758437850153651</v>
          </cell>
          <cell r="K68">
            <v>4.4037203668322036</v>
          </cell>
          <cell r="L68">
            <v>4.4037644675291219</v>
          </cell>
          <cell r="M68">
            <v>4.4067016256630493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5.3646286453350677E-4</v>
          </cell>
          <cell r="F69">
            <v>3.1309674988002178E-3</v>
          </cell>
          <cell r="G69">
            <v>4.0376450161458601E-3</v>
          </cell>
          <cell r="H69">
            <v>4.0727344880198474E-3</v>
          </cell>
          <cell r="I69">
            <v>3.3776361824299904E-2</v>
          </cell>
          <cell r="J69">
            <v>4.9911192571369591E-2</v>
          </cell>
          <cell r="K69">
            <v>0.13255947629813289</v>
          </cell>
          <cell r="L69">
            <v>0.132561372513048</v>
          </cell>
          <cell r="M69">
            <v>0.13325495570214604</v>
          </cell>
        </row>
        <row r="70">
          <cell r="B70">
            <v>0</v>
          </cell>
          <cell r="C70">
            <v>4.0436220042820583</v>
          </cell>
          <cell r="D70">
            <v>4.0436251606874549</v>
          </cell>
          <cell r="E70">
            <v>4.0436438658121903</v>
          </cell>
          <cell r="F70">
            <v>4.0437334285418745</v>
          </cell>
          <cell r="G70">
            <v>4.043875914400755</v>
          </cell>
          <cell r="H70">
            <v>4.0439319037487254</v>
          </cell>
          <cell r="I70">
            <v>4.044171219846354</v>
          </cell>
          <cell r="J70">
            <v>4.0439823934395802</v>
          </cell>
          <cell r="K70">
            <v>4.0441440696187181</v>
          </cell>
          <cell r="L70">
            <v>4.0439099538632766</v>
          </cell>
          <cell r="M70">
            <v>4.0443683053832462</v>
          </cell>
        </row>
        <row r="71">
          <cell r="B71">
            <v>72.708466866312435</v>
          </cell>
          <cell r="C71">
            <v>74.352905710347628</v>
          </cell>
          <cell r="D71">
            <v>76.138550245331345</v>
          </cell>
          <cell r="E71">
            <v>77.0451671587156</v>
          </cell>
          <cell r="F71">
            <v>77.573190858761293</v>
          </cell>
          <cell r="G71">
            <v>77.7454512334117</v>
          </cell>
          <cell r="H71">
            <v>77.790812974606041</v>
          </cell>
          <cell r="I71">
            <v>77.903424427530979</v>
          </cell>
          <cell r="J71">
            <v>77.249644801482503</v>
          </cell>
          <cell r="K71">
            <v>79.189733449475</v>
          </cell>
          <cell r="L71">
            <v>76.47255006997004</v>
          </cell>
          <cell r="M71">
            <v>75.867093839946151</v>
          </cell>
        </row>
      </sheetData>
      <sheetData sheetId="71">
        <row r="3">
          <cell r="B3">
            <v>56.994774574912441</v>
          </cell>
          <cell r="C3">
            <v>58.701894525468155</v>
          </cell>
          <cell r="D3">
            <v>61.538282472714229</v>
          </cell>
          <cell r="E3">
            <v>62.070173713382118</v>
          </cell>
          <cell r="F3">
            <v>62.292775065041226</v>
          </cell>
          <cell r="G3">
            <v>62.658410864221295</v>
          </cell>
          <cell r="H3">
            <v>62.135928047381626</v>
          </cell>
          <cell r="I3">
            <v>61.613382725551155</v>
          </cell>
          <cell r="J3">
            <v>62.66103219679821</v>
          </cell>
          <cell r="K3">
            <v>63.515916233751192</v>
          </cell>
          <cell r="L3">
            <v>64.325958256389796</v>
          </cell>
          <cell r="M3">
            <v>65.100293567483988</v>
          </cell>
        </row>
        <row r="6">
          <cell r="B6">
            <v>0</v>
          </cell>
          <cell r="C6">
            <v>6.9647296197727888</v>
          </cell>
          <cell r="D6">
            <v>6.9636662472751869</v>
          </cell>
          <cell r="E6">
            <v>6.9638558659985126</v>
          </cell>
          <cell r="F6">
            <v>6.9636290137993111</v>
          </cell>
          <cell r="G6">
            <v>6.9637081870079474</v>
          </cell>
          <cell r="H6">
            <v>6.9638508623242634</v>
          </cell>
          <cell r="I6">
            <v>6.9635596424799386</v>
          </cell>
          <cell r="J6">
            <v>6.9620339482545202</v>
          </cell>
          <cell r="K6">
            <v>6.9622857417114048</v>
          </cell>
          <cell r="L6">
            <v>6.9620578979549563</v>
          </cell>
          <cell r="M6">
            <v>6.962738232665548</v>
          </cell>
        </row>
        <row r="11">
          <cell r="B11">
            <v>60.950028619978383</v>
          </cell>
          <cell r="C11">
            <v>60.528304662519005</v>
          </cell>
          <cell r="D11">
            <v>65.448616326417579</v>
          </cell>
          <cell r="E11">
            <v>65.720391178336897</v>
          </cell>
          <cell r="F11">
            <v>65.66312698336813</v>
          </cell>
          <cell r="G11">
            <v>65.776740222912977</v>
          </cell>
          <cell r="H11">
            <v>65.020811631713329</v>
          </cell>
          <cell r="I11">
            <v>64.303723431539495</v>
          </cell>
          <cell r="J11">
            <v>65.475181104059132</v>
          </cell>
          <cell r="K11">
            <v>66.453162909303359</v>
          </cell>
          <cell r="L11">
            <v>67.411308336277401</v>
          </cell>
          <cell r="M11">
            <v>68.315545920109429</v>
          </cell>
        </row>
        <row r="12">
          <cell r="B12">
            <v>30.256635496042268</v>
          </cell>
          <cell r="C12">
            <v>26.851336309964996</v>
          </cell>
          <cell r="D12">
            <v>25.238246240341653</v>
          </cell>
          <cell r="E12">
            <v>21.687173207000242</v>
          </cell>
          <cell r="F12">
            <v>17.02492207338474</v>
          </cell>
          <cell r="G12">
            <v>14.400802806901238</v>
          </cell>
          <cell r="H12">
            <v>13.405417315527027</v>
          </cell>
          <cell r="I12">
            <v>10.345735546102507</v>
          </cell>
          <cell r="J12">
            <v>8.6338191146157257</v>
          </cell>
          <cell r="K12">
            <v>7.0330293285079026</v>
          </cell>
          <cell r="L12">
            <v>4.1326513570887835</v>
          </cell>
          <cell r="M12">
            <v>1.4200540885176649</v>
          </cell>
        </row>
        <row r="13">
          <cell r="B13">
            <v>0</v>
          </cell>
          <cell r="C13">
            <v>0</v>
          </cell>
          <cell r="D13">
            <v>8.8503872372724463E-5</v>
          </cell>
          <cell r="E13">
            <v>2.0732706591755024E-4</v>
          </cell>
          <cell r="F13">
            <v>4.4045639960461116E-4</v>
          </cell>
          <cell r="G13">
            <v>2.168568527421194E-4</v>
          </cell>
          <cell r="H13">
            <v>2.0985451401884898E-4</v>
          </cell>
          <cell r="I13">
            <v>4.5394284791326064E-4</v>
          </cell>
          <cell r="J13">
            <v>2.1801752256336005E-4</v>
          </cell>
          <cell r="K13">
            <v>4.498786290101657E-4</v>
          </cell>
          <cell r="L13">
            <v>3.4115917219657054E-4</v>
          </cell>
          <cell r="M13">
            <v>7.7253987885360646E-4</v>
          </cell>
        </row>
        <row r="14">
          <cell r="B14">
            <v>25.262739270322694</v>
          </cell>
          <cell r="C14">
            <v>23.776247347459716</v>
          </cell>
          <cell r="D14">
            <v>25.511591898731854</v>
          </cell>
          <cell r="E14">
            <v>26.449007126556424</v>
          </cell>
          <cell r="F14">
            <v>26.763353065067804</v>
          </cell>
          <cell r="G14">
            <v>26.93770862425864</v>
          </cell>
          <cell r="H14">
            <v>25.206850430188595</v>
          </cell>
          <cell r="I14">
            <v>23.533462650693611</v>
          </cell>
          <cell r="J14">
            <v>22.974132080150262</v>
          </cell>
          <cell r="K14">
            <v>22.377764625867179</v>
          </cell>
          <cell r="L14">
            <v>21.882942975524358</v>
          </cell>
          <cell r="M14">
            <v>20.880849463278434</v>
          </cell>
        </row>
        <row r="15">
          <cell r="B15">
            <v>0.28595486852757129</v>
          </cell>
          <cell r="C15">
            <v>2.973537815697942</v>
          </cell>
          <cell r="D15">
            <v>2.1611520465667573E-2</v>
          </cell>
          <cell r="E15">
            <v>5.7952772444276992E-4</v>
          </cell>
          <cell r="F15">
            <v>5.0959202476920514E-4</v>
          </cell>
          <cell r="G15">
            <v>5.2173717895389563E-4</v>
          </cell>
          <cell r="H15">
            <v>5.1641683961476119E-4</v>
          </cell>
          <cell r="I15">
            <v>5.6863305036562067E-4</v>
          </cell>
          <cell r="J15">
            <v>5.6119438782588587E-4</v>
          </cell>
          <cell r="K15">
            <v>5.7429371551563852E-4</v>
          </cell>
          <cell r="L15">
            <v>5.6572671523482418E-4</v>
          </cell>
          <cell r="M15">
            <v>9.0472699151348493E-4</v>
          </cell>
        </row>
        <row r="16">
          <cell r="B16">
            <v>1.4022866563710339</v>
          </cell>
          <cell r="C16">
            <v>1.5372290972783511</v>
          </cell>
          <cell r="D16">
            <v>1.6198983024003464</v>
          </cell>
          <cell r="E16">
            <v>1.6191150472013041</v>
          </cell>
          <cell r="F16">
            <v>1.7751587784100147</v>
          </cell>
          <cell r="G16">
            <v>1.9114457917913974</v>
          </cell>
          <cell r="H16">
            <v>2.0148504324700225</v>
          </cell>
          <cell r="I16">
            <v>2.3603037553180144</v>
          </cell>
          <cell r="J16">
            <v>2.5578951400214014</v>
          </cell>
          <cell r="K16">
            <v>2.5511140677281166</v>
          </cell>
          <cell r="L16">
            <v>3.5058393657292175</v>
          </cell>
          <cell r="M16">
            <v>3.6766710530445859</v>
          </cell>
        </row>
        <row r="17">
          <cell r="B17">
            <v>7.7269226670631266</v>
          </cell>
          <cell r="C17">
            <v>8.3697176433714695</v>
          </cell>
          <cell r="D17">
            <v>8.1259435459016487</v>
          </cell>
          <cell r="E17">
            <v>9.9146114760964217</v>
          </cell>
          <cell r="F17">
            <v>12.112671086111433</v>
          </cell>
          <cell r="G17">
            <v>12.164160306391592</v>
          </cell>
          <cell r="H17">
            <v>12.161281099881478</v>
          </cell>
          <cell r="I17">
            <v>13.528396017037601</v>
          </cell>
          <cell r="J17">
            <v>13.483399969700306</v>
          </cell>
          <cell r="K17">
            <v>13.495581918478793</v>
          </cell>
          <cell r="L17">
            <v>13.746892846742501</v>
          </cell>
          <cell r="M17">
            <v>13.969049763928352</v>
          </cell>
        </row>
        <row r="19">
          <cell r="B19">
            <v>0.62699680764505905</v>
          </cell>
          <cell r="C19">
            <v>0.68734364804233028</v>
          </cell>
          <cell r="D19">
            <v>0.68718362234502062</v>
          </cell>
          <cell r="E19">
            <v>0.68734450827781024</v>
          </cell>
          <cell r="F19">
            <v>0.6872266842979694</v>
          </cell>
          <cell r="G19">
            <v>0.68729923544794069</v>
          </cell>
          <cell r="H19">
            <v>0.687294554997396</v>
          </cell>
          <cell r="I19">
            <v>0.68704032868807707</v>
          </cell>
          <cell r="J19">
            <v>0.68731520711353422</v>
          </cell>
          <cell r="K19">
            <v>0.68710531914054318</v>
          </cell>
          <cell r="L19">
            <v>0.68727871936955165</v>
          </cell>
          <cell r="M19">
            <v>0.68719550815647923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1.6734217974690587E-3</v>
          </cell>
          <cell r="F20">
            <v>3.6465412231440715E-3</v>
          </cell>
          <cell r="G20">
            <v>4.5582944975278558E-3</v>
          </cell>
          <cell r="H20">
            <v>3.8928698889385549E-3</v>
          </cell>
          <cell r="I20">
            <v>1.665304792306533E-2</v>
          </cell>
          <cell r="J20">
            <v>1.4126120017573095E-2</v>
          </cell>
          <cell r="K20">
            <v>0.15092305121204794</v>
          </cell>
          <cell r="L20">
            <v>0.20430123481072027</v>
          </cell>
          <cell r="M20">
            <v>0.18244937495201718</v>
          </cell>
        </row>
        <row r="21">
          <cell r="B21">
            <v>2.9296010179317924</v>
          </cell>
          <cell r="C21">
            <v>3.192459079284522</v>
          </cell>
          <cell r="D21">
            <v>3.3649978073958282</v>
          </cell>
          <cell r="E21">
            <v>3.6715238441213551</v>
          </cell>
          <cell r="F21">
            <v>4.0011017305105474</v>
          </cell>
          <cell r="G21">
            <v>4.3575142793705801</v>
          </cell>
          <cell r="H21">
            <v>4.7407395561812127</v>
          </cell>
          <cell r="I21">
            <v>5.1583445716355802</v>
          </cell>
          <cell r="J21">
            <v>5.5584821190913249</v>
          </cell>
          <cell r="K21">
            <v>5.9810435682085483</v>
          </cell>
          <cell r="L21">
            <v>6.4442725219192738</v>
          </cell>
          <cell r="M21">
            <v>6.9343973950039883</v>
          </cell>
        </row>
        <row r="28">
          <cell r="B28">
            <v>3.9552540450659386</v>
          </cell>
          <cell r="C28">
            <v>1.8264101370508516</v>
          </cell>
          <cell r="D28">
            <v>3.9103338537033494</v>
          </cell>
          <cell r="E28">
            <v>3.6502174649547818</v>
          </cell>
          <cell r="F28">
            <v>3.3703519183269117</v>
          </cell>
          <cell r="G28">
            <v>3.1183293586916809</v>
          </cell>
          <cell r="H28">
            <v>2.8848835843317033</v>
          </cell>
          <cell r="I28">
            <v>2.6903407059883389</v>
          </cell>
          <cell r="J28">
            <v>2.8141489072609254</v>
          </cell>
          <cell r="K28">
            <v>2.9372466755521636</v>
          </cell>
          <cell r="L28">
            <v>3.0853500798876108</v>
          </cell>
          <cell r="M28">
            <v>3.2152523526254382</v>
          </cell>
        </row>
        <row r="47">
          <cell r="B47">
            <v>4.2612378442644241</v>
          </cell>
          <cell r="C47">
            <v>4.6176640253936831</v>
          </cell>
          <cell r="D47">
            <v>4.8265870501429351</v>
          </cell>
          <cell r="E47">
            <v>5.199858034811605</v>
          </cell>
          <cell r="F47">
            <v>5.5949995337895864</v>
          </cell>
          <cell r="G47">
            <v>6.0231552156228423</v>
          </cell>
          <cell r="H47">
            <v>6.4750335694365573</v>
          </cell>
          <cell r="I47">
            <v>6.9824876509807545</v>
          </cell>
          <cell r="J47">
            <v>7.5306887294977747</v>
          </cell>
          <cell r="K47">
            <v>8.0724264166087316</v>
          </cell>
          <cell r="L47">
            <v>8.7022171672210096</v>
          </cell>
          <cell r="M47">
            <v>9.3291555224225213</v>
          </cell>
        </row>
        <row r="48">
          <cell r="B48">
            <v>24.843070811701367</v>
          </cell>
          <cell r="C48">
            <v>22.090710628529269</v>
          </cell>
          <cell r="D48">
            <v>20.825239689869345</v>
          </cell>
          <cell r="E48">
            <v>17.983347720079596</v>
          </cell>
          <cell r="F48">
            <v>14.188153291374128</v>
          </cell>
          <cell r="G48">
            <v>12.060853968393968</v>
          </cell>
          <cell r="H48">
            <v>11.227212754909369</v>
          </cell>
          <cell r="I48">
            <v>8.664933696995968</v>
          </cell>
          <cell r="J48">
            <v>7.2310060981658051</v>
          </cell>
          <cell r="K48">
            <v>5.8905388359771589</v>
          </cell>
          <cell r="L48">
            <v>3.4613812323685664</v>
          </cell>
          <cell r="M48">
            <v>1.189942301282082</v>
          </cell>
        </row>
        <row r="49">
          <cell r="B49">
            <v>24.189721046358255</v>
          </cell>
          <cell r="C49">
            <v>25.326924250223758</v>
          </cell>
          <cell r="D49">
            <v>24.174075713055622</v>
          </cell>
          <cell r="E49">
            <v>25.042767930965869</v>
          </cell>
          <cell r="F49">
            <v>25.33831742949198</v>
          </cell>
          <cell r="G49">
            <v>25.501574344213001</v>
          </cell>
          <cell r="H49">
            <v>23.856495397893482</v>
          </cell>
          <cell r="I49">
            <v>22.280358712463663</v>
          </cell>
          <cell r="J49">
            <v>21.752454067862999</v>
          </cell>
          <cell r="K49">
            <v>21.201627979603323</v>
          </cell>
          <cell r="L49">
            <v>20.742131783467521</v>
          </cell>
          <cell r="M49">
            <v>19.773832353221255</v>
          </cell>
        </row>
        <row r="50">
          <cell r="B50">
            <v>0</v>
          </cell>
          <cell r="C50">
            <v>0</v>
          </cell>
          <cell r="D50">
            <v>2.046458618865626E-3</v>
          </cell>
          <cell r="E50">
            <v>2.0317998835155588E-3</v>
          </cell>
          <cell r="F50">
            <v>8.9221212616062296E-3</v>
          </cell>
          <cell r="G50">
            <v>1.3886816438635928E-2</v>
          </cell>
          <cell r="H50">
            <v>2.8596255930385384E-2</v>
          </cell>
          <cell r="I50">
            <v>2.3786226313633876E-2</v>
          </cell>
          <cell r="J50">
            <v>1.7017317165591021E-2</v>
          </cell>
          <cell r="K50">
            <v>5.8674184072518426E-2</v>
          </cell>
          <cell r="L50">
            <v>5.7200397691136169E-2</v>
          </cell>
          <cell r="M50">
            <v>0.10737873667128869</v>
          </cell>
        </row>
        <row r="51">
          <cell r="B51">
            <v>2.0957422344146144</v>
          </cell>
          <cell r="C51">
            <v>2.2700799136449543</v>
          </cell>
          <cell r="D51">
            <v>2.0287431670525349</v>
          </cell>
          <cell r="E51">
            <v>3.799525532747551</v>
          </cell>
          <cell r="F51">
            <v>5.9756041779059146</v>
          </cell>
          <cell r="G51">
            <v>6.0265765080255811</v>
          </cell>
          <cell r="H51">
            <v>6.0237006450383621</v>
          </cell>
          <cell r="I51">
            <v>4.448754854019576</v>
          </cell>
          <cell r="J51">
            <v>4.4041723422167767</v>
          </cell>
          <cell r="K51">
            <v>4.4162177906092115</v>
          </cell>
          <cell r="L51">
            <v>4.6649934159697128</v>
          </cell>
          <cell r="M51">
            <v>4.8849140132437263</v>
          </cell>
        </row>
        <row r="52">
          <cell r="B52">
            <v>5.5539112059778857</v>
          </cell>
          <cell r="C52">
            <v>6.0159405532928005</v>
          </cell>
          <cell r="D52">
            <v>6.0159409433901008</v>
          </cell>
          <cell r="E52">
            <v>6.0159398285879018</v>
          </cell>
          <cell r="F52">
            <v>6.0159401973443991</v>
          </cell>
          <cell r="G52">
            <v>6.0159421953020988</v>
          </cell>
          <cell r="H52">
            <v>6.0159676438443066</v>
          </cell>
          <cell r="I52">
            <v>8.944357202847657</v>
          </cell>
          <cell r="J52">
            <v>8.9443936277865372</v>
          </cell>
          <cell r="K52">
            <v>8.9444083086847961</v>
          </cell>
          <cell r="L52">
            <v>8.9444305023053641</v>
          </cell>
          <cell r="M52">
            <v>8.9444452530453464</v>
          </cell>
        </row>
        <row r="53">
          <cell r="B53">
            <v>6.1735489186679837</v>
          </cell>
          <cell r="C53">
            <v>6.7327673375209898</v>
          </cell>
          <cell r="D53">
            <v>6.6638984441387112</v>
          </cell>
          <cell r="E53">
            <v>5.3431887590102489</v>
          </cell>
          <cell r="F53">
            <v>3.6747496226228971</v>
          </cell>
          <cell r="G53">
            <v>2.3163624217600955</v>
          </cell>
          <cell r="H53">
            <v>1.4396978839283658</v>
          </cell>
          <cell r="I53">
            <v>0.46228240479896465</v>
          </cell>
          <cell r="J53">
            <v>0.44814656810342113</v>
          </cell>
          <cell r="K53">
            <v>0.43766859106624001</v>
          </cell>
          <cell r="L53">
            <v>0.4282104076606979</v>
          </cell>
          <cell r="M53">
            <v>0.40961067531905521</v>
          </cell>
        </row>
        <row r="54">
          <cell r="B54">
            <v>1.8770752338903489</v>
          </cell>
          <cell r="C54">
            <v>2.160084299782115</v>
          </cell>
          <cell r="D54">
            <v>2.088285675289304</v>
          </cell>
          <cell r="E54">
            <v>2.2799817843479819</v>
          </cell>
          <cell r="F54">
            <v>2.4139693388573455</v>
          </cell>
          <cell r="G54">
            <v>2.7307896875825275</v>
          </cell>
          <cell r="H54">
            <v>2.6025783966563925</v>
          </cell>
          <cell r="I54">
            <v>2.658526008201834</v>
          </cell>
          <cell r="J54">
            <v>2.5947938084754827</v>
          </cell>
          <cell r="K54">
            <v>2.5341043097975824</v>
          </cell>
          <cell r="L54">
            <v>2.4791619913276275</v>
          </cell>
          <cell r="M54">
            <v>2.3697428065328054</v>
          </cell>
        </row>
        <row r="55">
          <cell r="B55">
            <v>0.62699680764505905</v>
          </cell>
          <cell r="C55">
            <v>0.68734364804233028</v>
          </cell>
          <cell r="D55">
            <v>0.68718362234502062</v>
          </cell>
          <cell r="E55">
            <v>0.68734450827781024</v>
          </cell>
          <cell r="F55">
            <v>0.6872266842979694</v>
          </cell>
          <cell r="G55">
            <v>0.68729923544794069</v>
          </cell>
          <cell r="H55">
            <v>0.687294554997396</v>
          </cell>
          <cell r="I55">
            <v>0.68704032868807707</v>
          </cell>
          <cell r="J55">
            <v>0.68731520711353422</v>
          </cell>
          <cell r="K55">
            <v>0.68710531914054318</v>
          </cell>
          <cell r="L55">
            <v>0.68727871936955165</v>
          </cell>
          <cell r="M55">
            <v>0.68719550815647923</v>
          </cell>
        </row>
        <row r="56">
          <cell r="B56">
            <v>1.223074421686815</v>
          </cell>
          <cell r="C56">
            <v>1.340771218646178</v>
          </cell>
          <cell r="D56">
            <v>1.4128752993535807</v>
          </cell>
          <cell r="E56">
            <v>1.4121921441689773</v>
          </cell>
          <cell r="F56">
            <v>1.5482934865292146</v>
          </cell>
          <cell r="G56">
            <v>1.6671630196004568</v>
          </cell>
          <cell r="H56">
            <v>1.7573525472003533</v>
          </cell>
          <cell r="I56">
            <v>2.0586569353883735</v>
          </cell>
          <cell r="J56">
            <v>2.2309961411266661</v>
          </cell>
          <cell r="K56">
            <v>2.2250816898724621</v>
          </cell>
          <cell r="L56">
            <v>3.0577930947890217</v>
          </cell>
          <cell r="M56">
            <v>3.2067924924654867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5.6722351448929378E-4</v>
          </cell>
          <cell r="F57">
            <v>1.3654498035103398E-3</v>
          </cell>
          <cell r="G57">
            <v>2.0001463008748228E-3</v>
          </cell>
          <cell r="H57">
            <v>1.5438396505406621E-3</v>
          </cell>
          <cell r="I57">
            <v>7.7520118735975134E-3</v>
          </cell>
          <cell r="J57">
            <v>6.4890560428250794E-3</v>
          </cell>
          <cell r="K57">
            <v>0.10490354676480908</v>
          </cell>
          <cell r="L57">
            <v>0.147041215000807</v>
          </cell>
          <cell r="M57">
            <v>0.12534401805110076</v>
          </cell>
        </row>
        <row r="58">
          <cell r="B58">
            <v>0</v>
          </cell>
          <cell r="C58">
            <v>6.9647296197727888</v>
          </cell>
          <cell r="D58">
            <v>6.9636662472751869</v>
          </cell>
          <cell r="E58">
            <v>6.9638558659985126</v>
          </cell>
          <cell r="F58">
            <v>6.9636290137993111</v>
          </cell>
          <cell r="G58">
            <v>6.9637081870079474</v>
          </cell>
          <cell r="H58">
            <v>6.9638508623242634</v>
          </cell>
          <cell r="I58">
            <v>6.9635596424799386</v>
          </cell>
          <cell r="J58">
            <v>6.9620339482545202</v>
          </cell>
          <cell r="K58">
            <v>6.9622857417114048</v>
          </cell>
          <cell r="L58">
            <v>6.9620578979549563</v>
          </cell>
          <cell r="M58">
            <v>6.962738232665548</v>
          </cell>
        </row>
        <row r="59">
          <cell r="B59">
            <v>73.23842923670091</v>
          </cell>
          <cell r="C59">
            <v>78.574118244560523</v>
          </cell>
          <cell r="D59">
            <v>77.937395825797267</v>
          </cell>
          <cell r="E59">
            <v>76.692385028006441</v>
          </cell>
          <cell r="F59">
            <v>74.06114105220793</v>
          </cell>
          <cell r="G59">
            <v>71.364215515400971</v>
          </cell>
          <cell r="H59">
            <v>68.15036217204829</v>
          </cell>
          <cell r="I59">
            <v>64.992697432995769</v>
          </cell>
          <cell r="J59">
            <v>63.600276191335361</v>
          </cell>
          <cell r="K59">
            <v>62.307320451531147</v>
          </cell>
          <cell r="L59">
            <v>61.089426109213946</v>
          </cell>
          <cell r="M59">
            <v>58.713292767465241</v>
          </cell>
        </row>
      </sheetData>
      <sheetData sheetId="72">
        <row r="3">
          <cell r="B3">
            <v>44.576905509555033</v>
          </cell>
          <cell r="C3">
            <v>44.861180258619314</v>
          </cell>
          <cell r="D3">
            <v>44.662714331096282</v>
          </cell>
          <cell r="E3">
            <v>45.065504070762152</v>
          </cell>
          <cell r="F3">
            <v>45.567975420253603</v>
          </cell>
          <cell r="G3">
            <v>46.187070162259261</v>
          </cell>
          <cell r="H3">
            <v>47.27922866908289</v>
          </cell>
          <cell r="I3">
            <v>48.814109038216067</v>
          </cell>
          <cell r="J3">
            <v>51.401574565362914</v>
          </cell>
          <cell r="K3">
            <v>54.870587070221092</v>
          </cell>
          <cell r="L3">
            <v>58.002973322722418</v>
          </cell>
          <cell r="M3">
            <v>65.381294498169979</v>
          </cell>
        </row>
        <row r="10">
          <cell r="B10">
            <v>2.9132532899542039</v>
          </cell>
          <cell r="C10">
            <v>6.9416238247263093</v>
          </cell>
          <cell r="D10">
            <v>6.9411608244544931</v>
          </cell>
          <cell r="E10">
            <v>6.9400296492889604</v>
          </cell>
          <cell r="F10">
            <v>6.9409242742888742</v>
          </cell>
          <cell r="G10">
            <v>6.9409919125578279</v>
          </cell>
          <cell r="H10">
            <v>6.9405318955234847</v>
          </cell>
          <cell r="I10">
            <v>6.9402853779022715</v>
          </cell>
          <cell r="J10">
            <v>6.9403125900138196</v>
          </cell>
          <cell r="K10">
            <v>6.9405368739122446</v>
          </cell>
          <cell r="L10">
            <v>6.9402362633208652</v>
          </cell>
          <cell r="M10">
            <v>6.9421725051421159</v>
          </cell>
        </row>
        <row r="15">
          <cell r="B15">
            <v>69.470078791348726</v>
          </cell>
          <cell r="C15">
            <v>70.028443123374331</v>
          </cell>
          <cell r="D15">
            <v>71.037238341893442</v>
          </cell>
          <cell r="E15">
            <v>67.649887036513491</v>
          </cell>
          <cell r="F15">
            <v>67.7110090632533</v>
          </cell>
          <cell r="G15">
            <v>66.698311402679934</v>
          </cell>
          <cell r="H15">
            <v>65.614670238575286</v>
          </cell>
          <cell r="I15">
            <v>64.524970348575252</v>
          </cell>
          <cell r="J15">
            <v>64.147905400908613</v>
          </cell>
          <cell r="K15">
            <v>67.584218618935836</v>
          </cell>
          <cell r="L15">
            <v>70.128488005209334</v>
          </cell>
          <cell r="M15">
            <v>77.751410586961697</v>
          </cell>
        </row>
        <row r="16">
          <cell r="B16">
            <v>60.23184517818018</v>
          </cell>
          <cell r="C16">
            <v>51.319999495851931</v>
          </cell>
          <cell r="D16">
            <v>44.65406085770487</v>
          </cell>
          <cell r="E16">
            <v>45.869399796282714</v>
          </cell>
          <cell r="F16">
            <v>36.752690127281475</v>
          </cell>
          <cell r="G16">
            <v>33.661215363592959</v>
          </cell>
          <cell r="H16">
            <v>32.475552505715022</v>
          </cell>
          <cell r="I16">
            <v>27.873638153353191</v>
          </cell>
          <cell r="J16">
            <v>25.999800029141507</v>
          </cell>
          <cell r="K16">
            <v>22.34436792327234</v>
          </cell>
          <cell r="L16">
            <v>16.731822790558073</v>
          </cell>
          <cell r="M16">
            <v>6.4531276267266344</v>
          </cell>
        </row>
        <row r="17">
          <cell r="B17">
            <v>0</v>
          </cell>
          <cell r="C17">
            <v>0</v>
          </cell>
          <cell r="D17">
            <v>8.8543303043680626E-5</v>
          </cell>
          <cell r="E17">
            <v>2.0871990980760846E-4</v>
          </cell>
          <cell r="F17">
            <v>4.4094317507066609E-4</v>
          </cell>
          <cell r="G17">
            <v>2.1710032330792114E-4</v>
          </cell>
          <cell r="H17">
            <v>2.1023031917350623E-4</v>
          </cell>
          <cell r="I17">
            <v>4.5481996180986892E-4</v>
          </cell>
          <cell r="J17">
            <v>2.1913617961604061E-4</v>
          </cell>
          <cell r="K17">
            <v>4.5505426544869681E-4</v>
          </cell>
          <cell r="L17">
            <v>3.4497441857642066E-4</v>
          </cell>
          <cell r="M17">
            <v>7.9194308652922121E-4</v>
          </cell>
        </row>
        <row r="18">
          <cell r="B18">
            <v>46.691843038374067</v>
          </cell>
          <cell r="C18">
            <v>48.189532197934092</v>
          </cell>
          <cell r="D18">
            <v>51.100956990412698</v>
          </cell>
          <cell r="E18">
            <v>52.656891865957618</v>
          </cell>
          <cell r="F18">
            <v>54.87997169152834</v>
          </cell>
          <cell r="G18">
            <v>53.86772659466947</v>
          </cell>
          <cell r="H18">
            <v>52.913975567337921</v>
          </cell>
          <cell r="I18">
            <v>53.003623324517257</v>
          </cell>
          <cell r="J18">
            <v>50.641048778243949</v>
          </cell>
          <cell r="K18">
            <v>47.746274049229321</v>
          </cell>
          <cell r="L18">
            <v>48.987819029292673</v>
          </cell>
          <cell r="M18">
            <v>41.400879440204221</v>
          </cell>
        </row>
        <row r="19">
          <cell r="B19">
            <v>0.31012902959624739</v>
          </cell>
          <cell r="C19">
            <v>1.2708383907632564E-3</v>
          </cell>
          <cell r="D19">
            <v>1.2627954489386791E-3</v>
          </cell>
          <cell r="E19">
            <v>1.2252812016298109E-3</v>
          </cell>
          <cell r="F19">
            <v>1.226475067249578E-3</v>
          </cell>
          <cell r="G19">
            <v>1.2250613496979864E-3</v>
          </cell>
          <cell r="H19">
            <v>1.2305945032375456E-3</v>
          </cell>
          <cell r="I19">
            <v>1.236111166372119E-3</v>
          </cell>
          <cell r="J19">
            <v>1.2288071275139258E-3</v>
          </cell>
          <cell r="K19">
            <v>1.238322270197415E-3</v>
          </cell>
          <cell r="L19">
            <v>1.2410767006539938E-3</v>
          </cell>
          <cell r="M19">
            <v>1.3464805152972857E-3</v>
          </cell>
        </row>
        <row r="20">
          <cell r="B20">
            <v>0.1000010444685473</v>
          </cell>
          <cell r="C20">
            <v>0.10000095719254458</v>
          </cell>
          <cell r="D20">
            <v>2.0707598660939116E-3</v>
          </cell>
          <cell r="E20">
            <v>1.7640105665481622E-3</v>
          </cell>
          <cell r="F20">
            <v>7.1936823714398919E-4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B21">
            <v>5.740300490556308</v>
          </cell>
          <cell r="C21">
            <v>9.6715944856576108</v>
          </cell>
          <cell r="D21">
            <v>10.29477031777281</v>
          </cell>
          <cell r="E21">
            <v>10.19821100530581</v>
          </cell>
          <cell r="F21">
            <v>10.344702264893199</v>
          </cell>
          <cell r="G21">
            <v>11.265951582462975</v>
          </cell>
          <cell r="H21">
            <v>10.507946125939778</v>
          </cell>
          <cell r="I21">
            <v>11.286586415817508</v>
          </cell>
          <cell r="J21">
            <v>11.081581121514096</v>
          </cell>
          <cell r="K21">
            <v>10.602801228622599</v>
          </cell>
          <cell r="L21">
            <v>10.927996055042529</v>
          </cell>
          <cell r="M21">
            <v>9.9422012832336701</v>
          </cell>
        </row>
        <row r="22">
          <cell r="B22">
            <v>16.991229876461681</v>
          </cell>
          <cell r="C22">
            <v>17.754380766972307</v>
          </cell>
          <cell r="D22">
            <v>15.84187293343939</v>
          </cell>
          <cell r="E22">
            <v>13.447622973680332</v>
          </cell>
          <cell r="F22">
            <v>12.902758358060643</v>
          </cell>
          <cell r="G22">
            <v>11.915393503301855</v>
          </cell>
          <cell r="H22">
            <v>11.08067012299086</v>
          </cell>
          <cell r="I22">
            <v>9.9610435309462932</v>
          </cell>
          <cell r="J22">
            <v>9.7335590717095428</v>
          </cell>
          <cell r="K22">
            <v>8.9320702297733057</v>
          </cell>
          <cell r="L22">
            <v>8.6210013110744335</v>
          </cell>
          <cell r="M22">
            <v>7.022072965748329</v>
          </cell>
        </row>
        <row r="23">
          <cell r="B23">
            <v>2.5068360520171904</v>
          </cell>
          <cell r="C23">
            <v>2.9280713207545768</v>
          </cell>
          <cell r="D23">
            <v>2.8889250493956413</v>
          </cell>
          <cell r="E23">
            <v>2.4352123557918262</v>
          </cell>
          <cell r="F23">
            <v>2.0221560109362291</v>
          </cell>
          <cell r="G23">
            <v>1.9521554211103296</v>
          </cell>
          <cell r="H23">
            <v>1.9532622281269316</v>
          </cell>
          <cell r="I23">
            <v>1.8343465267012273</v>
          </cell>
          <cell r="J23">
            <v>1.8086575639895048</v>
          </cell>
          <cell r="K23">
            <v>1.6920057286469907</v>
          </cell>
          <cell r="L23">
            <v>1.7142681447212529</v>
          </cell>
          <cell r="M23">
            <v>1.4535252473176601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1.1057334021376151E-3</v>
          </cell>
          <cell r="F24">
            <v>2.7249588877786388E-3</v>
          </cell>
          <cell r="G24">
            <v>3.1816801768139637E-3</v>
          </cell>
          <cell r="H24">
            <v>3.7657594888833739E-3</v>
          </cell>
          <cell r="I24">
            <v>1.1119300125047905E-2</v>
          </cell>
          <cell r="J24">
            <v>1.0283877683967841E-2</v>
          </cell>
          <cell r="K24">
            <v>8.7496322223618125E-2</v>
          </cell>
          <cell r="L24">
            <v>0.10740891107963882</v>
          </cell>
          <cell r="M24">
            <v>0.10141112135211247</v>
          </cell>
        </row>
        <row r="25">
          <cell r="B25">
            <v>15.195013043021319</v>
          </cell>
          <cell r="C25">
            <v>18.072085519244727</v>
          </cell>
          <cell r="D25">
            <v>20.424675993234491</v>
          </cell>
          <cell r="E25">
            <v>22.986558145743654</v>
          </cell>
          <cell r="F25">
            <v>29.273925941198609</v>
          </cell>
          <cell r="G25">
            <v>31.416681665221741</v>
          </cell>
          <cell r="H25">
            <v>32.785783974737818</v>
          </cell>
          <cell r="I25">
            <v>35.400113328473353</v>
          </cell>
          <cell r="J25">
            <v>37.22430419241654</v>
          </cell>
          <cell r="K25">
            <v>37.636655211672831</v>
          </cell>
          <cell r="L25">
            <v>39.169702638184418</v>
          </cell>
          <cell r="M25">
            <v>40.12196251614246</v>
          </cell>
        </row>
        <row r="26">
          <cell r="B26">
            <v>217.23727654402427</v>
          </cell>
          <cell r="C26">
            <v>218.06537870537286</v>
          </cell>
          <cell r="D26">
            <v>216.24592258247145</v>
          </cell>
          <cell r="E26">
            <v>215.24808692435559</v>
          </cell>
          <cell r="F26">
            <v>213.89232520251906</v>
          </cell>
          <cell r="G26">
            <v>210.78205937488909</v>
          </cell>
          <cell r="H26">
            <v>207.33706734773492</v>
          </cell>
          <cell r="I26">
            <v>203.89713185963728</v>
          </cell>
          <cell r="J26">
            <v>200.64858797891486</v>
          </cell>
          <cell r="K26">
            <v>196.6275826889125</v>
          </cell>
          <cell r="L26">
            <v>196.39009293628158</v>
          </cell>
          <cell r="M26">
            <v>184.24872921128861</v>
          </cell>
        </row>
        <row r="102">
          <cell r="B102">
            <v>8.9080328204420418</v>
          </cell>
          <cell r="C102">
            <v>7.6990491912115182</v>
          </cell>
          <cell r="D102">
            <v>8.1368178284495229</v>
          </cell>
          <cell r="E102">
            <v>6.0027499264582342</v>
          </cell>
          <cell r="F102">
            <v>5.3660318529481703</v>
          </cell>
          <cell r="G102">
            <v>4.6942318105145109</v>
          </cell>
          <cell r="H102">
            <v>3.4969242592845022</v>
          </cell>
          <cell r="I102">
            <v>2.4770794695389431</v>
          </cell>
          <cell r="J102">
            <v>0.651450751711805</v>
          </cell>
          <cell r="K102">
            <v>0.61018692540791619</v>
          </cell>
          <cell r="L102">
            <v>0.55556230183876221</v>
          </cell>
          <cell r="M102">
            <v>0.45437144691698844</v>
          </cell>
        </row>
        <row r="104">
          <cell r="B104">
            <v>19.060370166087942</v>
          </cell>
          <cell r="C104">
            <v>22.70073598273742</v>
          </cell>
          <cell r="D104">
            <v>24.600718565466781</v>
          </cell>
          <cell r="E104">
            <v>26.826995935168622</v>
          </cell>
          <cell r="F104">
            <v>31.334115527318563</v>
          </cell>
          <cell r="G104">
            <v>31.335233698605787</v>
          </cell>
          <cell r="H104">
            <v>31.335306121335268</v>
          </cell>
          <cell r="I104">
            <v>31.619661099003959</v>
          </cell>
          <cell r="J104">
            <v>31.619677486186557</v>
          </cell>
          <cell r="K104">
            <v>31.619835168244418</v>
          </cell>
          <cell r="L104">
            <v>31.621071067468556</v>
          </cell>
          <cell r="M104">
            <v>31.62137039882963</v>
          </cell>
        </row>
        <row r="105">
          <cell r="B105">
            <v>45.124405709216077</v>
          </cell>
          <cell r="C105">
            <v>38.530773791716626</v>
          </cell>
          <cell r="D105">
            <v>38.475917048088</v>
          </cell>
          <cell r="E105">
            <v>38.682379845845631</v>
          </cell>
          <cell r="F105">
            <v>32.228415034345034</v>
          </cell>
          <cell r="G105">
            <v>30.148673753252858</v>
          </cell>
          <cell r="H105">
            <v>29.0865164926342</v>
          </cell>
          <cell r="I105">
            <v>24.964560983292422</v>
          </cell>
          <cell r="J105">
            <v>23.283398789376989</v>
          </cell>
          <cell r="K105">
            <v>20.004725014627262</v>
          </cell>
          <cell r="L105">
            <v>14.978763121679453</v>
          </cell>
          <cell r="M105">
            <v>5.7519760215183116</v>
          </cell>
        </row>
        <row r="106">
          <cell r="B106">
            <v>36.569951312079553</v>
          </cell>
          <cell r="C106">
            <v>39.297229724451604</v>
          </cell>
          <cell r="D106">
            <v>37.27158540116973</v>
          </cell>
          <cell r="E106">
            <v>38.747763361992845</v>
          </cell>
          <cell r="F106">
            <v>38.877830870531398</v>
          </cell>
          <cell r="G106">
            <v>36.933838982940401</v>
          </cell>
          <cell r="H106">
            <v>35.830523374413033</v>
          </cell>
          <cell r="I106">
            <v>34.74478743530819</v>
          </cell>
          <cell r="J106">
            <v>32.769784044567245</v>
          </cell>
          <cell r="K106">
            <v>30.537585121273601</v>
          </cell>
          <cell r="L106">
            <v>29.909963217111368</v>
          </cell>
          <cell r="M106">
            <v>24.392128025319124</v>
          </cell>
        </row>
        <row r="107">
          <cell r="B107">
            <v>0</v>
          </cell>
          <cell r="C107">
            <v>0</v>
          </cell>
          <cell r="D107">
            <v>1.3733249474606853E-2</v>
          </cell>
          <cell r="E107">
            <v>1.4053596282559117E-2</v>
          </cell>
          <cell r="F107">
            <v>2.5076403218514152</v>
          </cell>
          <cell r="G107">
            <v>4.7257135176174749</v>
          </cell>
          <cell r="H107">
            <v>5.7697935684492903</v>
          </cell>
          <cell r="I107">
            <v>8.4481652217403802</v>
          </cell>
          <cell r="J107">
            <v>9.0317791389461703</v>
          </cell>
          <cell r="K107">
            <v>9.4520835757199819</v>
          </cell>
          <cell r="L107">
            <v>12.932295744335793</v>
          </cell>
          <cell r="M107">
            <v>12.94210247097995</v>
          </cell>
        </row>
        <row r="108">
          <cell r="B108">
            <v>7.2000752017354119E-2</v>
          </cell>
          <cell r="C108">
            <v>7.2000689178632116E-2</v>
          </cell>
          <cell r="D108">
            <v>1.4909471035876171E-3</v>
          </cell>
          <cell r="E108">
            <v>1.2700876079146759E-3</v>
          </cell>
          <cell r="F108">
            <v>5.1794513074367209E-4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</row>
        <row r="109">
          <cell r="B109">
            <v>7.396031086171212E-2</v>
          </cell>
          <cell r="C109">
            <v>5.2382756824894995E-3</v>
          </cell>
          <cell r="D109">
            <v>0.20560643140979415</v>
          </cell>
          <cell r="E109">
            <v>1.2759649157039887</v>
          </cell>
          <cell r="F109">
            <v>1.2916558486340941</v>
          </cell>
          <cell r="G109">
            <v>1.3057899002594016</v>
          </cell>
          <cell r="H109">
            <v>1.3144203103778436</v>
          </cell>
          <cell r="I109">
            <v>1.3243700632977269</v>
          </cell>
          <cell r="J109">
            <v>1.3243367117519598</v>
          </cell>
          <cell r="K109">
            <v>1.3311236739844881</v>
          </cell>
          <cell r="L109">
            <v>1.3342545751760424</v>
          </cell>
          <cell r="M109">
            <v>1.3343697122230509</v>
          </cell>
        </row>
        <row r="110">
          <cell r="B110">
            <v>3.9155369556305919</v>
          </cell>
          <cell r="C110">
            <v>7.6930249108523254</v>
          </cell>
          <cell r="D110">
            <v>8.1292228022073729</v>
          </cell>
          <cell r="E110">
            <v>6.9902746674017102</v>
          </cell>
          <cell r="F110">
            <v>7.1030208996938216</v>
          </cell>
          <cell r="G110">
            <v>7.8469225225918207</v>
          </cell>
          <cell r="H110">
            <v>7.2224731887967382</v>
          </cell>
          <cell r="I110">
            <v>7.845112890956198</v>
          </cell>
          <cell r="J110">
            <v>7.6785803860784396</v>
          </cell>
          <cell r="K110">
            <v>7.2828257539639649</v>
          </cell>
          <cell r="L110">
            <v>7.5438846519054845</v>
          </cell>
          <cell r="M110">
            <v>6.742897203484886</v>
          </cell>
        </row>
        <row r="111">
          <cell r="B111">
            <v>9.1310819855927257</v>
          </cell>
          <cell r="C111">
            <v>9.1640950781172545</v>
          </cell>
          <cell r="D111">
            <v>8.2399690121842077</v>
          </cell>
          <cell r="E111">
            <v>6.5075916577936557</v>
          </cell>
          <cell r="F111">
            <v>6.0451434522985483</v>
          </cell>
          <cell r="G111">
            <v>5.3049387757757511</v>
          </cell>
          <cell r="H111">
            <v>4.6824941038785193</v>
          </cell>
          <cell r="I111">
            <v>3.8775222888435881</v>
          </cell>
          <cell r="J111">
            <v>3.6889656750779221</v>
          </cell>
          <cell r="K111">
            <v>3.1136318312165829</v>
          </cell>
          <cell r="L111">
            <v>2.9020724917893301</v>
          </cell>
          <cell r="M111">
            <v>1.8140858052901738</v>
          </cell>
        </row>
        <row r="112">
          <cell r="B112">
            <v>2.6968941638076478</v>
          </cell>
          <cell r="C112">
            <v>3.1682229706873177</v>
          </cell>
          <cell r="D112">
            <v>3.16923795342821</v>
          </cell>
          <cell r="E112">
            <v>3.2991023893409825</v>
          </cell>
          <cell r="F112">
            <v>3.4139061011477039</v>
          </cell>
          <cell r="G112">
            <v>3.49967314068937</v>
          </cell>
          <cell r="H112">
            <v>3.5680049808454259</v>
          </cell>
          <cell r="I112">
            <v>3.6222475238469665</v>
          </cell>
          <cell r="J112">
            <v>3.66455429945329</v>
          </cell>
          <cell r="K112">
            <v>3.70219980820446</v>
          </cell>
          <cell r="L112">
            <v>3.7022099365596861</v>
          </cell>
          <cell r="M112">
            <v>3.7024429426874965</v>
          </cell>
        </row>
        <row r="113">
          <cell r="B113">
            <v>0.78534802735733966</v>
          </cell>
          <cell r="C113">
            <v>0.94131657130400792</v>
          </cell>
          <cell r="D113">
            <v>0.94352776768770086</v>
          </cell>
          <cell r="E113">
            <v>0.9422927346703821</v>
          </cell>
          <cell r="F113">
            <v>0.88975295717465852</v>
          </cell>
          <cell r="G113">
            <v>0.85895223038055335</v>
          </cell>
          <cell r="H113">
            <v>0.85944375991890298</v>
          </cell>
          <cell r="I113">
            <v>0.80711994964393408</v>
          </cell>
          <cell r="J113">
            <v>0.79581325605961495</v>
          </cell>
          <cell r="K113">
            <v>0.74449595935046697</v>
          </cell>
          <cell r="L113">
            <v>0.75428810034018912</v>
          </cell>
          <cell r="M113">
            <v>0.63952408978068753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6">
          <cell r="B116">
            <v>129.25083549304719</v>
          </cell>
          <cell r="C116">
            <v>136.21331101066554</v>
          </cell>
          <cell r="D116">
            <v>136.12898783112399</v>
          </cell>
          <cell r="E116">
            <v>136.23046876755549</v>
          </cell>
          <cell r="F116">
            <v>135.99895508536304</v>
          </cell>
          <cell r="G116">
            <v>133.59496024518575</v>
          </cell>
          <cell r="H116">
            <v>130.10643205545722</v>
          </cell>
          <cell r="I116">
            <v>126.67091230337458</v>
          </cell>
          <cell r="J116">
            <v>121.44865312922381</v>
          </cell>
          <cell r="K116">
            <v>115.3392297059054</v>
          </cell>
          <cell r="L116">
            <v>113.17460147152553</v>
          </cell>
          <cell r="M116">
            <v>96.337440622172423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</row>
        <row r="224">
          <cell r="B224">
            <v>26.978397275262171</v>
          </cell>
          <cell r="C224">
            <v>25.930076658010215</v>
          </cell>
          <cell r="D224">
            <v>25.957955415337782</v>
          </cell>
          <cell r="E224">
            <v>25.592074918817744</v>
          </cell>
          <cell r="F224">
            <v>25.70369995979539</v>
          </cell>
          <cell r="G224">
            <v>25.58151507131506</v>
          </cell>
          <cell r="H224">
            <v>25.382009774616947</v>
          </cell>
          <cell r="I224">
            <v>25.143139786312908</v>
          </cell>
          <cell r="J224">
            <v>25.443483626149657</v>
          </cell>
          <cell r="K224">
            <v>24.978668944021717</v>
          </cell>
          <cell r="L224">
            <v>24.519890766848093</v>
          </cell>
          <cell r="M224">
            <v>24.090290285309436</v>
          </cell>
        </row>
        <row r="231">
          <cell r="B231">
            <v>15.552742784075669</v>
          </cell>
          <cell r="C231">
            <v>14.667760465228806</v>
          </cell>
          <cell r="D231">
            <v>15.043343634410189</v>
          </cell>
          <cell r="E231">
            <v>11.142509331305805</v>
          </cell>
          <cell r="F231">
            <v>9.4669787172204174</v>
          </cell>
          <cell r="G231">
            <v>8.2817479633192903</v>
          </cell>
          <cell r="H231">
            <v>6.4910927373412202</v>
          </cell>
          <cell r="I231">
            <v>4.3701650054641101</v>
          </cell>
          <cell r="J231">
            <v>1.1493024961566163</v>
          </cell>
          <cell r="K231">
            <v>1.0764945998752784</v>
          </cell>
          <cell r="L231">
            <v>0.98013707907248104</v>
          </cell>
          <cell r="M231">
            <v>0.80160853259449483</v>
          </cell>
        </row>
        <row r="233">
          <cell r="B233">
            <v>22.300284401295791</v>
          </cell>
          <cell r="C233">
            <v>26.336208206227333</v>
          </cell>
          <cell r="D233">
            <v>29.538673934103109</v>
          </cell>
          <cell r="E233">
            <v>32.818958647099286</v>
          </cell>
          <cell r="F233">
            <v>39.115699762443128</v>
          </cell>
          <cell r="G233">
            <v>39.377743689871103</v>
          </cell>
          <cell r="H233">
            <v>39.716576579387137</v>
          </cell>
          <cell r="I233">
            <v>40.00360943963539</v>
          </cell>
          <cell r="J233">
            <v>42.058721114006531</v>
          </cell>
          <cell r="K233">
            <v>42.212271307635199</v>
          </cell>
          <cell r="L233">
            <v>40.715781213167375</v>
          </cell>
          <cell r="M233">
            <v>42.105590022957088</v>
          </cell>
        </row>
        <row r="234">
          <cell r="B234">
            <v>52.10886672329498</v>
          </cell>
          <cell r="C234">
            <v>44.468177515432615</v>
          </cell>
          <cell r="D234">
            <v>39.709750917392896</v>
          </cell>
          <cell r="E234">
            <v>40.671324682399394</v>
          </cell>
          <cell r="F234">
            <v>32.809310445401671</v>
          </cell>
          <cell r="G234">
            <v>30.15403495599972</v>
          </cell>
          <cell r="H234">
            <v>29.091873308336648</v>
          </cell>
          <cell r="I234">
            <v>24.96960280074687</v>
          </cell>
          <cell r="J234">
            <v>23.29038327601863</v>
          </cell>
          <cell r="K234">
            <v>20.015273120628049</v>
          </cell>
          <cell r="L234">
            <v>14.987589997617016</v>
          </cell>
          <cell r="M234">
            <v>5.7769803102801394</v>
          </cell>
        </row>
        <row r="235">
          <cell r="B235">
            <v>42.950416169310259</v>
          </cell>
          <cell r="C235">
            <v>44.443504464117908</v>
          </cell>
          <cell r="D235">
            <v>46.285555819116126</v>
          </cell>
          <cell r="E235">
            <v>47.882668518804863</v>
          </cell>
          <cell r="F235">
            <v>48.633328706049376</v>
          </cell>
          <cell r="G235">
            <v>46.52648195202481</v>
          </cell>
          <cell r="H235">
            <v>45.13662631062779</v>
          </cell>
          <cell r="I235">
            <v>43.768857851709654</v>
          </cell>
          <cell r="J235">
            <v>41.280919012228921</v>
          </cell>
          <cell r="K235">
            <v>38.468970540604289</v>
          </cell>
          <cell r="L235">
            <v>37.678332712239055</v>
          </cell>
          <cell r="M235">
            <v>30.727396898956989</v>
          </cell>
        </row>
        <row r="236">
          <cell r="B236">
            <v>0</v>
          </cell>
          <cell r="C236">
            <v>0</v>
          </cell>
          <cell r="D236">
            <v>1.648543070687029E-2</v>
          </cell>
          <cell r="E236">
            <v>1.7189436705182543E-2</v>
          </cell>
          <cell r="F236">
            <v>3.0113034320442948</v>
          </cell>
          <cell r="G236">
            <v>6.0316723398910304</v>
          </cell>
          <cell r="H236">
            <v>7.5466913772264288</v>
          </cell>
          <cell r="I236">
            <v>11.353702485616227</v>
          </cell>
          <cell r="J236">
            <v>12.138173239742938</v>
          </cell>
          <cell r="K236">
            <v>12.702996006429176</v>
          </cell>
          <cell r="L236">
            <v>17.378694906615763</v>
          </cell>
          <cell r="M236">
            <v>17.393369700644207</v>
          </cell>
        </row>
        <row r="238">
          <cell r="B238">
            <v>9.8377501739348117E-2</v>
          </cell>
          <cell r="C238">
            <v>6.2340317638928753E-3</v>
          </cell>
          <cell r="D238">
            <v>0.24146697369570816</v>
          </cell>
          <cell r="E238">
            <v>1.4985206076566688</v>
          </cell>
          <cell r="F238">
            <v>1.5169474866664099</v>
          </cell>
          <cell r="G238">
            <v>1.5335466362568317</v>
          </cell>
          <cell r="H238">
            <v>1.5436821053238805</v>
          </cell>
          <cell r="I238">
            <v>1.5553666747460528</v>
          </cell>
          <cell r="J238">
            <v>1.555329627328756</v>
          </cell>
          <cell r="K238">
            <v>1.5632998548732866</v>
          </cell>
          <cell r="L238">
            <v>1.5669776766657997</v>
          </cell>
          <cell r="M238">
            <v>1.5671115176464652</v>
          </cell>
        </row>
        <row r="239">
          <cell r="B239">
            <v>5.2082088240984081</v>
          </cell>
          <cell r="C239">
            <v>9.1554100168855896</v>
          </cell>
          <cell r="D239">
            <v>9.5470691995758905</v>
          </cell>
          <cell r="E239">
            <v>8.2095287365345886</v>
          </cell>
          <cell r="F239">
            <v>8.3419354411810414</v>
          </cell>
          <cell r="G239">
            <v>9.2155879265861387</v>
          </cell>
          <cell r="H239">
            <v>8.4822202834967442</v>
          </cell>
          <cell r="I239">
            <v>9.2134573925889498</v>
          </cell>
          <cell r="J239">
            <v>9.0178905895422119</v>
          </cell>
          <cell r="K239">
            <v>8.5531049193645217</v>
          </cell>
          <cell r="L239">
            <v>8.8597026870362861</v>
          </cell>
          <cell r="M239">
            <v>7.9189985901905473</v>
          </cell>
        </row>
        <row r="240">
          <cell r="B240">
            <v>9.6515577317722308</v>
          </cell>
          <cell r="C240">
            <v>9.7613367135096922</v>
          </cell>
          <cell r="D240">
            <v>8.5749548681519219</v>
          </cell>
          <cell r="E240">
            <v>6.7721210767540008</v>
          </cell>
          <cell r="F240">
            <v>6.290872331270041</v>
          </cell>
          <cell r="G240">
            <v>5.5205795398863273</v>
          </cell>
          <cell r="H240">
            <v>4.872840701811473</v>
          </cell>
          <cell r="I240">
            <v>4.0351584928271969</v>
          </cell>
          <cell r="J240">
            <v>3.8389281745925348</v>
          </cell>
          <cell r="K240">
            <v>3.2402411792095864</v>
          </cell>
          <cell r="L240">
            <v>3.0200621642662822</v>
          </cell>
          <cell r="M240">
            <v>1.8880001087291507</v>
          </cell>
        </row>
        <row r="241">
          <cell r="B241">
            <v>2.8666885387339316</v>
          </cell>
          <cell r="C241">
            <v>3.3630604208503732</v>
          </cell>
          <cell r="D241">
            <v>3.2980656483553559</v>
          </cell>
          <cell r="E241">
            <v>3.4332105564247493</v>
          </cell>
          <cell r="F241">
            <v>3.552680492526183</v>
          </cell>
          <cell r="G241">
            <v>3.6419329789974104</v>
          </cell>
          <cell r="H241">
            <v>3.7130443028724258</v>
          </cell>
          <cell r="I241">
            <v>3.7695000417495472</v>
          </cell>
          <cell r="J241">
            <v>3.8135190717530083</v>
          </cell>
          <cell r="K241">
            <v>3.8527045187484772</v>
          </cell>
          <cell r="L241">
            <v>3.8527093936514425</v>
          </cell>
          <cell r="M241">
            <v>3.8529774730229978</v>
          </cell>
        </row>
        <row r="242">
          <cell r="B242">
            <v>2.5068360520171904</v>
          </cell>
          <cell r="C242">
            <v>2.9280713207545768</v>
          </cell>
          <cell r="D242">
            <v>2.8889250493956413</v>
          </cell>
          <cell r="E242">
            <v>2.4352123557918262</v>
          </cell>
          <cell r="F242">
            <v>2.0221560109362291</v>
          </cell>
          <cell r="G242">
            <v>1.9521554211103296</v>
          </cell>
          <cell r="H242">
            <v>1.9532622281269316</v>
          </cell>
          <cell r="I242">
            <v>1.8343465267012273</v>
          </cell>
          <cell r="J242">
            <v>1.8086575639895048</v>
          </cell>
          <cell r="K242">
            <v>1.6920057286469907</v>
          </cell>
          <cell r="L242">
            <v>1.7142681447212529</v>
          </cell>
          <cell r="M242">
            <v>1.4535252473176601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</row>
        <row r="244">
          <cell r="B244">
            <v>2.9132532899542039</v>
          </cell>
          <cell r="C244">
            <v>6.9416238247263093</v>
          </cell>
          <cell r="D244">
            <v>6.9411608244544931</v>
          </cell>
          <cell r="E244">
            <v>6.9400296492889604</v>
          </cell>
          <cell r="F244">
            <v>6.9409242742888742</v>
          </cell>
          <cell r="G244">
            <v>6.9409919125578279</v>
          </cell>
          <cell r="H244">
            <v>6.9405318955234847</v>
          </cell>
          <cell r="I244">
            <v>6.9402853779022715</v>
          </cell>
          <cell r="J244">
            <v>6.9403125900138196</v>
          </cell>
          <cell r="K244">
            <v>6.9405368739122446</v>
          </cell>
          <cell r="L244">
            <v>6.9402362633208652</v>
          </cell>
          <cell r="M244">
            <v>6.9421725051421159</v>
          </cell>
        </row>
        <row r="245">
          <cell r="B245">
            <v>156.2292327683094</v>
          </cell>
          <cell r="C245">
            <v>162.1433876686757</v>
          </cell>
          <cell r="D245">
            <v>162.08694324646183</v>
          </cell>
          <cell r="E245">
            <v>161.82254368637325</v>
          </cell>
          <cell r="F245">
            <v>161.70265504515842</v>
          </cell>
          <cell r="G245">
            <v>159.17647531650081</v>
          </cell>
          <cell r="H245">
            <v>155.48844183007415</v>
          </cell>
          <cell r="I245">
            <v>151.81405208968755</v>
          </cell>
          <cell r="J245">
            <v>146.89213675537349</v>
          </cell>
          <cell r="K245">
            <v>140.31789864992709</v>
          </cell>
          <cell r="L245">
            <v>137.69449223837361</v>
          </cell>
          <cell r="M245">
            <v>120.42773090748186</v>
          </cell>
        </row>
      </sheetData>
      <sheetData sheetId="73">
        <row r="21">
          <cell r="B21">
            <v>78.627365572424949</v>
          </cell>
          <cell r="C21">
            <v>74.839576253294879</v>
          </cell>
          <cell r="D21">
            <v>78.5911208715887</v>
          </cell>
          <cell r="E21">
            <v>57.569825781706044</v>
          </cell>
          <cell r="F21">
            <v>44.149928763884866</v>
          </cell>
          <cell r="G21">
            <v>37.993679060933964</v>
          </cell>
          <cell r="H21">
            <v>32.717269302933445</v>
          </cell>
          <cell r="I21">
            <v>28.33491507208586</v>
          </cell>
          <cell r="J21">
            <v>25.89302011459921</v>
          </cell>
          <cell r="K21">
            <v>23.5469757854958</v>
          </cell>
          <cell r="L21">
            <v>21.759933904134709</v>
          </cell>
          <cell r="M21">
            <v>20.817229466042331</v>
          </cell>
        </row>
        <row r="22">
          <cell r="B22">
            <v>116.78696810493781</v>
          </cell>
          <cell r="C22">
            <v>110.49296525595909</v>
          </cell>
          <cell r="D22">
            <v>95.402198612171674</v>
          </cell>
          <cell r="E22">
            <v>70.49501480493447</v>
          </cell>
          <cell r="F22">
            <v>48.805911053757107</v>
          </cell>
          <cell r="G22">
            <v>44.843237087042993</v>
          </cell>
          <cell r="H22">
            <v>41.305406840449912</v>
          </cell>
          <cell r="I22">
            <v>39.822291174894261</v>
          </cell>
          <cell r="J22">
            <v>39.237556364550208</v>
          </cell>
          <cell r="K22">
            <v>32.728197076705435</v>
          </cell>
          <cell r="L22">
            <v>29.048288185275865</v>
          </cell>
          <cell r="M22">
            <v>29.356782301931609</v>
          </cell>
        </row>
        <row r="23">
          <cell r="B23">
            <v>1.0919103603802631</v>
          </cell>
          <cell r="C23">
            <v>1.3845464480954681</v>
          </cell>
          <cell r="D23">
            <v>1.8196891669652966</v>
          </cell>
          <cell r="E23">
            <v>1.5876438772415318</v>
          </cell>
          <cell r="F23">
            <v>1.1457770603712001</v>
          </cell>
          <cell r="G23">
            <v>0.97137287060386979</v>
          </cell>
          <cell r="H23">
            <v>0.63165995378302009</v>
          </cell>
          <cell r="I23">
            <v>0.38144700630449013</v>
          </cell>
          <cell r="J23">
            <v>0.19388196935916002</v>
          </cell>
          <cell r="K23">
            <v>1.0611357817991163E-4</v>
          </cell>
          <cell r="L23">
            <v>6.5409209889955022E-5</v>
          </cell>
          <cell r="M23">
            <v>1.1897994633014441E-4</v>
          </cell>
        </row>
        <row r="24">
          <cell r="B24">
            <v>0.22655126412186796</v>
          </cell>
          <cell r="C24">
            <v>0.10742796508541842</v>
          </cell>
          <cell r="D24">
            <v>0.18721579139580855</v>
          </cell>
          <cell r="E24">
            <v>2.5694450487124898E-3</v>
          </cell>
          <cell r="F24">
            <v>2.1508997954752767E-3</v>
          </cell>
          <cell r="G24">
            <v>3.1287641520457601E-3</v>
          </cell>
          <cell r="H24">
            <v>2.9720537642463386E-3</v>
          </cell>
          <cell r="I24">
            <v>2.6598683207252945E-3</v>
          </cell>
          <cell r="J24">
            <v>2.6632027328291497E-3</v>
          </cell>
          <cell r="K24">
            <v>2.5228333685140651E-3</v>
          </cell>
          <cell r="L24">
            <v>2.5624766547434228E-3</v>
          </cell>
          <cell r="M24">
            <v>2.3573759652374343E-3</v>
          </cell>
        </row>
        <row r="25">
          <cell r="B25">
            <v>4.5534158311215069</v>
          </cell>
          <cell r="C25">
            <v>4.334009302446713</v>
          </cell>
          <cell r="D25">
            <v>4.5513361697608019</v>
          </cell>
          <cell r="E25">
            <v>4.0506374126605733</v>
          </cell>
          <cell r="F25">
            <v>2.8494530478406461</v>
          </cell>
          <cell r="G25">
            <v>2.200725227734297</v>
          </cell>
          <cell r="H25">
            <v>1.8951331136841103</v>
          </cell>
          <cell r="I25">
            <v>1.641910465241168</v>
          </cell>
          <cell r="J25">
            <v>1.499957188140451</v>
          </cell>
          <cell r="K25">
            <v>1.3646365566399892</v>
          </cell>
          <cell r="L25">
            <v>1.260884490049561</v>
          </cell>
          <cell r="M25">
            <v>1.2073970950658339</v>
          </cell>
        </row>
        <row r="26">
          <cell r="B26">
            <v>2.9720880146088593</v>
          </cell>
          <cell r="C26">
            <v>2.9709457549781813</v>
          </cell>
          <cell r="D26">
            <v>4.4810675937681408</v>
          </cell>
          <cell r="E26">
            <v>2.3498818904619885</v>
          </cell>
          <cell r="F26">
            <v>1.782807770630209</v>
          </cell>
          <cell r="G26">
            <v>1.8222631364137867</v>
          </cell>
          <cell r="H26">
            <v>1.6974498891193841</v>
          </cell>
          <cell r="I26">
            <v>1.662826602067796</v>
          </cell>
          <cell r="J26">
            <v>1.6556753948620202</v>
          </cell>
          <cell r="K26">
            <v>1.6241893355364541</v>
          </cell>
          <cell r="L26">
            <v>1.7682022210250516</v>
          </cell>
          <cell r="M26">
            <v>1.8983232691743701</v>
          </cell>
        </row>
        <row r="27">
          <cell r="B27">
            <v>1.8657936868057098E-2</v>
          </cell>
          <cell r="C27">
            <v>1.5174262638150126E-2</v>
          </cell>
          <cell r="D27">
            <v>3.9382410519645259E-3</v>
          </cell>
          <cell r="E27">
            <v>1.2203268878015797E-3</v>
          </cell>
          <cell r="F27">
            <v>1.1928304801607575E-3</v>
          </cell>
          <cell r="G27">
            <v>1.3439106825078369E-4</v>
          </cell>
          <cell r="H27">
            <v>1.5025507091983019E-4</v>
          </cell>
          <cell r="I27">
            <v>2.8981768304589599E-4</v>
          </cell>
          <cell r="J27">
            <v>1.8519352700455225E-4</v>
          </cell>
          <cell r="K27">
            <v>2.9884271483499698E-4</v>
          </cell>
          <cell r="L27">
            <v>2.4899613403264335E-4</v>
          </cell>
          <cell r="M27">
            <v>4.5324404908056101E-4</v>
          </cell>
        </row>
        <row r="28">
          <cell r="B28">
            <v>1.1713624688869601E-3</v>
          </cell>
          <cell r="C28">
            <v>1.72503617219424E-5</v>
          </cell>
          <cell r="D28">
            <v>2.0974949039434801E-3</v>
          </cell>
          <cell r="E28">
            <v>0.96284772364779803</v>
          </cell>
          <cell r="F28">
            <v>1.1897854372240799</v>
          </cell>
          <cell r="G28">
            <v>1.1492605236973501</v>
          </cell>
          <cell r="H28">
            <v>1.2740443372241399</v>
          </cell>
          <cell r="I28">
            <v>1.30932818140861</v>
          </cell>
          <cell r="J28">
            <v>1.3158366136737401</v>
          </cell>
          <cell r="K28">
            <v>1.34794430525824</v>
          </cell>
          <cell r="L28">
            <v>1.20362907541013</v>
          </cell>
          <cell r="M28">
            <v>1.0746779208663699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0.97170837750698102</v>
          </cell>
          <cell r="F32">
            <v>0.91035687201829407</v>
          </cell>
          <cell r="G32">
            <v>0.78289371206080172</v>
          </cell>
          <cell r="H32">
            <v>0.57196132857420134</v>
          </cell>
          <cell r="I32">
            <v>1.5623433634030457</v>
          </cell>
          <cell r="J32">
            <v>2.2197904359466292</v>
          </cell>
          <cell r="K32">
            <v>2.5733289027699713</v>
          </cell>
          <cell r="L32">
            <v>2.5546486121483598</v>
          </cell>
          <cell r="M32">
            <v>2.4155038687150814</v>
          </cell>
        </row>
      </sheetData>
      <sheetData sheetId="74">
        <row r="11">
          <cell r="B11">
            <v>29.53691830097284</v>
          </cell>
          <cell r="C11">
            <v>58.495436317992393</v>
          </cell>
          <cell r="D11">
            <v>84.301818092834282</v>
          </cell>
          <cell r="E11">
            <v>85.300064780822296</v>
          </cell>
          <cell r="F11">
            <v>89.961919886751488</v>
          </cell>
          <cell r="G11">
            <v>93.085479141877912</v>
          </cell>
          <cell r="H11">
            <v>95.303261386499145</v>
          </cell>
          <cell r="I11">
            <v>97.192060568583997</v>
          </cell>
          <cell r="J11">
            <v>95.133196611072364</v>
          </cell>
          <cell r="K11">
            <v>95.640208630898471</v>
          </cell>
          <cell r="L11">
            <v>97.191657093644281</v>
          </cell>
          <cell r="M11">
            <v>98.864939630276879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5.4447125144684101</v>
          </cell>
          <cell r="F12">
            <v>5.742268914303347</v>
          </cell>
          <cell r="G12">
            <v>5.9416464577139809</v>
          </cell>
          <cell r="H12">
            <v>6.083205204079043</v>
          </cell>
          <cell r="I12">
            <v>6.2037712719107745</v>
          </cell>
          <cell r="J12">
            <v>6.2037669691369599</v>
          </cell>
          <cell r="K12">
            <v>6.2037783480517996</v>
          </cell>
          <cell r="L12">
            <v>6.203770381343154</v>
          </cell>
          <cell r="M12">
            <v>6.3105531701742814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0.16816784740236901</v>
          </cell>
          <cell r="G13">
            <v>0.33370944160780025</v>
          </cell>
          <cell r="H13">
            <v>0.62252905040388473</v>
          </cell>
          <cell r="I13">
            <v>0.71967056309287503</v>
          </cell>
          <cell r="J13">
            <v>0.79645039710686627</v>
          </cell>
          <cell r="K13">
            <v>0.92307927228275488</v>
          </cell>
          <cell r="L13">
            <v>0.94234500272930688</v>
          </cell>
          <cell r="M13">
            <v>0.9547449162364906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</sheetData>
      <sheetData sheetId="75"/>
      <sheetData sheetId="76">
        <row r="53">
          <cell r="B53">
            <v>2.5966482969812117</v>
          </cell>
          <cell r="C53">
            <v>2.384654902300877</v>
          </cell>
          <cell r="D53">
            <v>2.3852113642937955</v>
          </cell>
          <cell r="E53">
            <v>2.4257969746342538</v>
          </cell>
          <cell r="F53">
            <v>2.3689071648831774</v>
          </cell>
          <cell r="G53">
            <v>2.5798492291252364</v>
          </cell>
          <cell r="H53">
            <v>2.966891617469253</v>
          </cell>
          <cell r="I53">
            <v>3.2844141101689499</v>
          </cell>
          <cell r="J53">
            <v>3.3871224295993287</v>
          </cell>
          <cell r="K53">
            <v>3.4684308241562785</v>
          </cell>
          <cell r="L53">
            <v>3.4381985758744507</v>
          </cell>
          <cell r="M53">
            <v>3.3602541382732674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B55">
            <v>6.4921218392201645</v>
          </cell>
          <cell r="C55">
            <v>6.0794289102936228</v>
          </cell>
          <cell r="D55">
            <v>5.7673838500802157</v>
          </cell>
          <cell r="E55">
            <v>5.232910584443057</v>
          </cell>
          <cell r="F55">
            <v>4.9437840571177274</v>
          </cell>
          <cell r="G55">
            <v>4.6124939967180616</v>
          </cell>
          <cell r="H55">
            <v>4.3186015979226777</v>
          </cell>
          <cell r="I55">
            <v>4.0481377889225945</v>
          </cell>
          <cell r="J55">
            <v>3.9454285276470973</v>
          </cell>
          <cell r="K55">
            <v>3.8092905338516569</v>
          </cell>
          <cell r="L55">
            <v>3.7310098152319746</v>
          </cell>
          <cell r="M55">
            <v>3.6490972883751738</v>
          </cell>
        </row>
        <row r="56">
          <cell r="B56">
            <v>3.79026994116807</v>
          </cell>
          <cell r="C56">
            <v>3.4452541024147298</v>
          </cell>
          <cell r="D56">
            <v>3.41787718600879</v>
          </cell>
          <cell r="E56">
            <v>3.4746185002466001</v>
          </cell>
          <cell r="F56">
            <v>3.4134150296722199</v>
          </cell>
          <cell r="G56">
            <v>3.2001265627723798</v>
          </cell>
          <cell r="H56">
            <v>3.0186111906336799</v>
          </cell>
          <cell r="I56">
            <v>2.515572016159815</v>
          </cell>
          <cell r="J56">
            <v>2.3566767991252098</v>
          </cell>
          <cell r="K56">
            <v>2.2146824329627313</v>
          </cell>
          <cell r="L56">
            <v>2.0010574059094379</v>
          </cell>
          <cell r="M56">
            <v>1.7686816047448242</v>
          </cell>
        </row>
        <row r="57">
          <cell r="B57">
            <v>7.1755811092541331</v>
          </cell>
          <cell r="C57">
            <v>6.5875841737433083</v>
          </cell>
          <cell r="D57">
            <v>6.2609472611079671</v>
          </cell>
          <cell r="E57">
            <v>6.5388438339624093</v>
          </cell>
          <cell r="F57">
            <v>5.9874943113129628</v>
          </cell>
          <cell r="G57">
            <v>5.7135027778984897</v>
          </cell>
          <cell r="H57">
            <v>5.5577445593462702</v>
          </cell>
          <cell r="I57">
            <v>5.2301315402297099</v>
          </cell>
          <cell r="J57">
            <v>4.9515804720582697</v>
          </cell>
          <cell r="K57">
            <v>4.5140826548610402</v>
          </cell>
          <cell r="L57">
            <v>4.1687098730956107</v>
          </cell>
          <cell r="M57">
            <v>2.9614385780331842</v>
          </cell>
        </row>
        <row r="58">
          <cell r="B58">
            <v>14.553191453954327</v>
          </cell>
          <cell r="C58">
            <v>13.880589404318437</v>
          </cell>
          <cell r="D58">
            <v>13.022061849298565</v>
          </cell>
          <cell r="E58">
            <v>9.6738293843876413</v>
          </cell>
          <cell r="F58">
            <v>7.0224735601081747</v>
          </cell>
          <cell r="G58">
            <v>6.253738807419535</v>
          </cell>
          <cell r="H58">
            <v>5.5702320979634719</v>
          </cell>
          <cell r="I58">
            <v>5.1131518594750798</v>
          </cell>
          <cell r="J58">
            <v>4.8728934533038464</v>
          </cell>
          <cell r="K58">
            <v>4.1985951701184998</v>
          </cell>
          <cell r="L58">
            <v>3.7909830729999152</v>
          </cell>
          <cell r="M58">
            <v>3.7433162165027105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7"/>
      <sheetData sheetId="78"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</row>
      </sheetData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4" zoomScale="70" zoomScaleNormal="70" workbookViewId="0">
      <selection activeCell="B99" sqref="B99"/>
    </sheetView>
  </sheetViews>
  <sheetFormatPr defaultRowHeight="15.75" x14ac:dyDescent="0.5"/>
  <cols>
    <col min="2" max="2" width="49.5625" bestFit="1" customWidth="1"/>
    <col min="3" max="3" width="81.5" bestFit="1" customWidth="1"/>
    <col min="4" max="4" width="11.5" bestFit="1" customWidth="1"/>
  </cols>
  <sheetData>
    <row r="2" spans="2:5" x14ac:dyDescent="0.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5">
      <c r="B3" t="s">
        <v>15</v>
      </c>
      <c r="C3" t="s">
        <v>359</v>
      </c>
      <c r="D3" t="s">
        <v>8</v>
      </c>
    </row>
    <row r="4" spans="2:5" x14ac:dyDescent="0.5">
      <c r="B4" t="s">
        <v>19</v>
      </c>
      <c r="C4" t="s">
        <v>360</v>
      </c>
      <c r="D4" t="s">
        <v>8</v>
      </c>
    </row>
    <row r="5" spans="2:5" x14ac:dyDescent="0.5">
      <c r="B5" t="s">
        <v>24</v>
      </c>
      <c r="C5" t="s">
        <v>361</v>
      </c>
      <c r="D5" t="s">
        <v>8</v>
      </c>
    </row>
    <row r="6" spans="2:5" x14ac:dyDescent="0.5">
      <c r="B6" t="s">
        <v>29</v>
      </c>
      <c r="C6" t="s">
        <v>362</v>
      </c>
      <c r="D6" t="s">
        <v>8</v>
      </c>
    </row>
    <row r="7" spans="2:5" x14ac:dyDescent="0.5">
      <c r="B7" t="s">
        <v>152</v>
      </c>
      <c r="C7" t="s">
        <v>363</v>
      </c>
      <c r="D7" t="s">
        <v>8</v>
      </c>
    </row>
    <row r="8" spans="2:5" x14ac:dyDescent="0.5">
      <c r="B8" t="s">
        <v>91</v>
      </c>
      <c r="C8" t="s">
        <v>364</v>
      </c>
      <c r="D8" t="s">
        <v>8</v>
      </c>
    </row>
    <row r="9" spans="2:5" x14ac:dyDescent="0.5">
      <c r="B9" t="s">
        <v>190</v>
      </c>
      <c r="C9" t="s">
        <v>365</v>
      </c>
      <c r="D9" t="s">
        <v>8</v>
      </c>
    </row>
    <row r="10" spans="2:5" x14ac:dyDescent="0.5">
      <c r="B10" t="s">
        <v>241</v>
      </c>
      <c r="C10" t="s">
        <v>366</v>
      </c>
      <c r="D10" t="s">
        <v>240</v>
      </c>
      <c r="E10" t="s">
        <v>369</v>
      </c>
    </row>
    <row r="11" spans="2:5" x14ac:dyDescent="0.5">
      <c r="B11" t="s">
        <v>296</v>
      </c>
      <c r="C11" t="s">
        <v>367</v>
      </c>
      <c r="D11" t="s">
        <v>240</v>
      </c>
      <c r="E11" t="s">
        <v>686</v>
      </c>
    </row>
    <row r="12" spans="2:5" x14ac:dyDescent="0.5">
      <c r="B12" t="s">
        <v>303</v>
      </c>
      <c r="C12" t="s">
        <v>371</v>
      </c>
      <c r="D12" t="s">
        <v>8</v>
      </c>
    </row>
    <row r="13" spans="2:5" x14ac:dyDescent="0.5">
      <c r="B13" t="s">
        <v>370</v>
      </c>
      <c r="C13" t="s">
        <v>372</v>
      </c>
      <c r="D13" t="s">
        <v>8</v>
      </c>
    </row>
    <row r="14" spans="2:5" x14ac:dyDescent="0.5">
      <c r="B14" t="s">
        <v>373</v>
      </c>
      <c r="C14" t="s">
        <v>374</v>
      </c>
      <c r="D14" t="s">
        <v>8</v>
      </c>
    </row>
    <row r="15" spans="2:5" x14ac:dyDescent="0.5">
      <c r="B15" t="s">
        <v>306</v>
      </c>
      <c r="C15" t="s">
        <v>375</v>
      </c>
      <c r="D15" t="s">
        <v>240</v>
      </c>
    </row>
    <row r="16" spans="2:5" x14ac:dyDescent="0.5">
      <c r="B16" t="s">
        <v>376</v>
      </c>
      <c r="C16" t="s">
        <v>377</v>
      </c>
      <c r="D16" t="s">
        <v>8</v>
      </c>
    </row>
    <row r="17" spans="2:5" x14ac:dyDescent="0.5">
      <c r="B17" t="s">
        <v>378</v>
      </c>
      <c r="C17" t="s">
        <v>379</v>
      </c>
      <c r="D17" t="s">
        <v>8</v>
      </c>
    </row>
    <row r="18" spans="2:5" x14ac:dyDescent="0.5">
      <c r="B18" t="s">
        <v>311</v>
      </c>
      <c r="C18" t="s">
        <v>380</v>
      </c>
      <c r="D18" t="s">
        <v>240</v>
      </c>
    </row>
    <row r="19" spans="2:5" x14ac:dyDescent="0.5">
      <c r="B19" t="s">
        <v>381</v>
      </c>
      <c r="C19" t="s">
        <v>382</v>
      </c>
      <c r="D19" t="s">
        <v>8</v>
      </c>
    </row>
    <row r="20" spans="2:5" x14ac:dyDescent="0.5">
      <c r="B20" t="s">
        <v>383</v>
      </c>
      <c r="C20" t="s">
        <v>384</v>
      </c>
      <c r="D20" t="s">
        <v>8</v>
      </c>
    </row>
    <row r="21" spans="2:5" x14ac:dyDescent="0.5">
      <c r="B21" t="s">
        <v>385</v>
      </c>
      <c r="C21" t="s">
        <v>386</v>
      </c>
      <c r="D21" t="s">
        <v>8</v>
      </c>
    </row>
    <row r="22" spans="2:5" x14ac:dyDescent="0.5">
      <c r="B22" t="s">
        <v>387</v>
      </c>
      <c r="C22" t="s">
        <v>387</v>
      </c>
      <c r="D22" t="s">
        <v>8</v>
      </c>
    </row>
    <row r="23" spans="2:5" x14ac:dyDescent="0.5">
      <c r="B23" t="s">
        <v>388</v>
      </c>
      <c r="C23" t="s">
        <v>389</v>
      </c>
      <c r="D23" t="s">
        <v>240</v>
      </c>
    </row>
    <row r="24" spans="2:5" x14ac:dyDescent="0.5">
      <c r="B24" t="s">
        <v>390</v>
      </c>
      <c r="C24" t="s">
        <v>390</v>
      </c>
      <c r="D24" t="s">
        <v>8</v>
      </c>
    </row>
    <row r="25" spans="2:5" x14ac:dyDescent="0.5">
      <c r="B25" t="s">
        <v>406</v>
      </c>
      <c r="C25" t="s">
        <v>407</v>
      </c>
      <c r="D25" t="s">
        <v>8</v>
      </c>
    </row>
    <row r="26" spans="2:5" x14ac:dyDescent="0.5">
      <c r="B26" t="s">
        <v>408</v>
      </c>
      <c r="C26" t="s">
        <v>416</v>
      </c>
      <c r="D26" t="s">
        <v>240</v>
      </c>
      <c r="E26" t="s">
        <v>417</v>
      </c>
    </row>
    <row r="27" spans="2:5" x14ac:dyDescent="0.5">
      <c r="B27" t="s">
        <v>424</v>
      </c>
      <c r="C27" t="s">
        <v>418</v>
      </c>
      <c r="D27" t="s">
        <v>8</v>
      </c>
      <c r="E27" t="s">
        <v>421</v>
      </c>
    </row>
    <row r="28" spans="2:5" x14ac:dyDescent="0.5">
      <c r="B28" t="s">
        <v>425</v>
      </c>
      <c r="C28" t="s">
        <v>419</v>
      </c>
      <c r="D28" t="s">
        <v>8</v>
      </c>
      <c r="E28" t="s">
        <v>420</v>
      </c>
    </row>
    <row r="29" spans="2:5" x14ac:dyDescent="0.5">
      <c r="B29" t="s">
        <v>426</v>
      </c>
      <c r="C29" t="s">
        <v>422</v>
      </c>
      <c r="D29" t="s">
        <v>8</v>
      </c>
      <c r="E29" t="s">
        <v>423</v>
      </c>
    </row>
    <row r="30" spans="2:5" x14ac:dyDescent="0.5">
      <c r="B30" t="s">
        <v>431</v>
      </c>
      <c r="C30" t="s">
        <v>432</v>
      </c>
      <c r="D30" t="s">
        <v>8</v>
      </c>
    </row>
    <row r="31" spans="2:5" x14ac:dyDescent="0.5">
      <c r="B31" t="s">
        <v>434</v>
      </c>
      <c r="C31" t="s">
        <v>435</v>
      </c>
      <c r="D31" t="s">
        <v>8</v>
      </c>
    </row>
    <row r="32" spans="2:5" x14ac:dyDescent="0.5">
      <c r="B32" t="s">
        <v>440</v>
      </c>
      <c r="C32" t="s">
        <v>441</v>
      </c>
      <c r="D32" t="s">
        <v>240</v>
      </c>
    </row>
    <row r="33" spans="2:5" x14ac:dyDescent="0.5">
      <c r="B33" t="s">
        <v>444</v>
      </c>
      <c r="C33" t="s">
        <v>444</v>
      </c>
      <c r="D33" t="s">
        <v>442</v>
      </c>
      <c r="E33" t="s">
        <v>447</v>
      </c>
    </row>
    <row r="34" spans="2:5" x14ac:dyDescent="0.5">
      <c r="B34" t="s">
        <v>474</v>
      </c>
      <c r="C34" t="s">
        <v>477</v>
      </c>
      <c r="D34" t="s">
        <v>8</v>
      </c>
      <c r="E34" t="s">
        <v>478</v>
      </c>
    </row>
    <row r="35" spans="2:5" x14ac:dyDescent="0.5">
      <c r="B35" t="s">
        <v>475</v>
      </c>
      <c r="C35" t="s">
        <v>479</v>
      </c>
      <c r="D35" t="s">
        <v>8</v>
      </c>
      <c r="E35" t="s">
        <v>478</v>
      </c>
    </row>
    <row r="36" spans="2:5" x14ac:dyDescent="0.5">
      <c r="B36" t="s">
        <v>476</v>
      </c>
      <c r="C36" t="s">
        <v>480</v>
      </c>
      <c r="D36" t="s">
        <v>240</v>
      </c>
    </row>
    <row r="37" spans="2:5" x14ac:dyDescent="0.5">
      <c r="B37" t="s">
        <v>496</v>
      </c>
      <c r="C37" t="s">
        <v>497</v>
      </c>
      <c r="D37" t="s">
        <v>8</v>
      </c>
      <c r="E37" t="s">
        <v>498</v>
      </c>
    </row>
    <row r="38" spans="2:5" x14ac:dyDescent="0.5">
      <c r="B38" t="s">
        <v>684</v>
      </c>
      <c r="C38" t="s">
        <v>685</v>
      </c>
      <c r="D38" t="s">
        <v>8</v>
      </c>
      <c r="E38" t="s">
        <v>498</v>
      </c>
    </row>
    <row r="39" spans="2:5" x14ac:dyDescent="0.5">
      <c r="B39" t="s">
        <v>687</v>
      </c>
      <c r="C39" t="s">
        <v>688</v>
      </c>
      <c r="D39" t="s">
        <v>240</v>
      </c>
      <c r="E39" t="s">
        <v>498</v>
      </c>
    </row>
    <row r="40" spans="2:5" x14ac:dyDescent="0.5">
      <c r="B40" t="s">
        <v>674</v>
      </c>
      <c r="C40" t="s">
        <v>675</v>
      </c>
      <c r="D40" t="s">
        <v>8</v>
      </c>
    </row>
    <row r="41" spans="2:5" x14ac:dyDescent="0.5">
      <c r="B41" t="s">
        <v>697</v>
      </c>
      <c r="C41" t="s">
        <v>698</v>
      </c>
      <c r="D41" t="s">
        <v>8</v>
      </c>
    </row>
    <row r="42" spans="2:5" x14ac:dyDescent="0.5">
      <c r="B42" t="s">
        <v>689</v>
      </c>
      <c r="C42" t="s">
        <v>690</v>
      </c>
      <c r="D42" t="s">
        <v>240</v>
      </c>
    </row>
    <row r="43" spans="2:5" x14ac:dyDescent="0.5">
      <c r="B43" t="s">
        <v>740</v>
      </c>
      <c r="C43" t="s">
        <v>741</v>
      </c>
      <c r="D43" t="s">
        <v>8</v>
      </c>
    </row>
    <row r="44" spans="2:5" x14ac:dyDescent="0.5">
      <c r="B44" t="s">
        <v>756</v>
      </c>
      <c r="C44" t="s">
        <v>757</v>
      </c>
      <c r="D44" t="s">
        <v>8</v>
      </c>
    </row>
    <row r="45" spans="2:5" x14ac:dyDescent="0.5">
      <c r="B45" t="s">
        <v>1091</v>
      </c>
      <c r="C45" t="s">
        <v>1125</v>
      </c>
      <c r="D45" t="s">
        <v>240</v>
      </c>
    </row>
    <row r="46" spans="2:5" x14ac:dyDescent="0.5">
      <c r="B46" t="s">
        <v>1236</v>
      </c>
      <c r="C46" t="s">
        <v>1126</v>
      </c>
      <c r="D46" t="s">
        <v>8</v>
      </c>
      <c r="E46" t="s">
        <v>1127</v>
      </c>
    </row>
    <row r="47" spans="2:5" x14ac:dyDescent="0.5">
      <c r="B47" t="s">
        <v>1128</v>
      </c>
      <c r="C47" t="s">
        <v>1129</v>
      </c>
      <c r="D47" t="s">
        <v>1131</v>
      </c>
    </row>
    <row r="48" spans="2:5" x14ac:dyDescent="0.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5">
      <c r="B49" t="s">
        <v>1304</v>
      </c>
      <c r="C49" t="s">
        <v>1305</v>
      </c>
      <c r="D49" t="s">
        <v>8</v>
      </c>
    </row>
    <row r="50" spans="2:5" x14ac:dyDescent="0.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5">
      <c r="B51" t="s">
        <v>1370</v>
      </c>
      <c r="C51" t="s">
        <v>1471</v>
      </c>
      <c r="D51" t="s">
        <v>1229</v>
      </c>
    </row>
    <row r="52" spans="2:5" x14ac:dyDescent="0.5">
      <c r="B52" t="s">
        <v>1394</v>
      </c>
      <c r="C52" t="s">
        <v>1394</v>
      </c>
      <c r="D52" t="s">
        <v>8</v>
      </c>
    </row>
    <row r="53" spans="2:5" x14ac:dyDescent="0.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5">
      <c r="B54" t="s">
        <v>1393</v>
      </c>
      <c r="C54" t="s">
        <v>1470</v>
      </c>
      <c r="D54" t="s">
        <v>1229</v>
      </c>
    </row>
    <row r="55" spans="2:5" x14ac:dyDescent="0.5">
      <c r="B55" t="s">
        <v>1473</v>
      </c>
      <c r="C55" t="s">
        <v>1473</v>
      </c>
      <c r="D55" t="s">
        <v>8</v>
      </c>
    </row>
    <row r="56" spans="2:5" x14ac:dyDescent="0.5">
      <c r="B56" t="s">
        <v>1478</v>
      </c>
      <c r="C56" t="s">
        <v>1530</v>
      </c>
      <c r="D56" t="s">
        <v>1131</v>
      </c>
    </row>
    <row r="57" spans="2:5" x14ac:dyDescent="0.5">
      <c r="B57" t="s">
        <v>1480</v>
      </c>
      <c r="C57" t="s">
        <v>1486</v>
      </c>
      <c r="D57" t="s">
        <v>1229</v>
      </c>
    </row>
    <row r="58" spans="2:5" x14ac:dyDescent="0.5">
      <c r="B58" t="s">
        <v>1472</v>
      </c>
      <c r="C58" t="s">
        <v>1472</v>
      </c>
      <c r="D58" t="s">
        <v>8</v>
      </c>
    </row>
    <row r="59" spans="2:5" x14ac:dyDescent="0.5">
      <c r="B59" t="s">
        <v>1482</v>
      </c>
      <c r="C59" t="s">
        <v>1529</v>
      </c>
      <c r="D59" t="s">
        <v>1131</v>
      </c>
    </row>
    <row r="60" spans="2:5" x14ac:dyDescent="0.5">
      <c r="B60" t="s">
        <v>1484</v>
      </c>
      <c r="C60" t="s">
        <v>1534</v>
      </c>
      <c r="D60" t="s">
        <v>1229</v>
      </c>
    </row>
    <row r="61" spans="2:5" x14ac:dyDescent="0.5">
      <c r="B61" t="s">
        <v>1487</v>
      </c>
      <c r="C61" t="s">
        <v>1528</v>
      </c>
      <c r="D61" t="s">
        <v>8</v>
      </c>
    </row>
    <row r="62" spans="2:5" x14ac:dyDescent="0.5">
      <c r="B62" t="s">
        <v>1503</v>
      </c>
      <c r="C62" t="s">
        <v>1595</v>
      </c>
      <c r="D62" t="s">
        <v>1131</v>
      </c>
    </row>
    <row r="63" spans="2:5" x14ac:dyDescent="0.5">
      <c r="B63" t="s">
        <v>1518</v>
      </c>
      <c r="C63" t="s">
        <v>1533</v>
      </c>
      <c r="D63" t="s">
        <v>1229</v>
      </c>
    </row>
    <row r="64" spans="2:5" x14ac:dyDescent="0.5">
      <c r="B64" t="s">
        <v>1643</v>
      </c>
      <c r="C64" t="s">
        <v>1593</v>
      </c>
      <c r="D64" t="s">
        <v>8</v>
      </c>
    </row>
    <row r="65" spans="2:4" x14ac:dyDescent="0.5">
      <c r="B65" t="s">
        <v>1644</v>
      </c>
      <c r="C65" t="s">
        <v>1595</v>
      </c>
      <c r="D65" t="s">
        <v>1131</v>
      </c>
    </row>
    <row r="66" spans="2:4" x14ac:dyDescent="0.5">
      <c r="B66" t="s">
        <v>1645</v>
      </c>
      <c r="C66" t="s">
        <v>1594</v>
      </c>
      <c r="D66" t="s">
        <v>1229</v>
      </c>
    </row>
    <row r="67" spans="2:4" x14ac:dyDescent="0.5">
      <c r="B67" t="s">
        <v>1646</v>
      </c>
      <c r="C67" t="s">
        <v>1647</v>
      </c>
      <c r="D67" t="s">
        <v>8</v>
      </c>
    </row>
    <row r="68" spans="2:4" x14ac:dyDescent="0.5">
      <c r="B68" t="s">
        <v>1649</v>
      </c>
      <c r="C68" t="s">
        <v>1595</v>
      </c>
      <c r="D68" t="s">
        <v>1131</v>
      </c>
    </row>
    <row r="69" spans="2:4" x14ac:dyDescent="0.5">
      <c r="B69" t="s">
        <v>1650</v>
      </c>
      <c r="C69" t="s">
        <v>1648</v>
      </c>
      <c r="D69" t="s">
        <v>1229</v>
      </c>
    </row>
    <row r="70" spans="2:4" x14ac:dyDescent="0.5">
      <c r="B70" t="s">
        <v>1696</v>
      </c>
      <c r="C70" t="s">
        <v>1651</v>
      </c>
      <c r="D70" t="s">
        <v>8</v>
      </c>
    </row>
    <row r="71" spans="2:4" x14ac:dyDescent="0.5">
      <c r="B71" t="s">
        <v>1674</v>
      </c>
      <c r="C71" t="s">
        <v>1697</v>
      </c>
      <c r="D71" t="s">
        <v>1699</v>
      </c>
    </row>
    <row r="72" spans="2:4" x14ac:dyDescent="0.5">
      <c r="B72" t="s">
        <v>1685</v>
      </c>
      <c r="C72" t="s">
        <v>1698</v>
      </c>
      <c r="D72" t="s">
        <v>1700</v>
      </c>
    </row>
    <row r="73" spans="2:4" x14ac:dyDescent="0.5">
      <c r="B73" t="s">
        <v>1701</v>
      </c>
      <c r="C73" t="s">
        <v>1701</v>
      </c>
      <c r="D73" t="s">
        <v>442</v>
      </c>
    </row>
    <row r="74" spans="2:4" x14ac:dyDescent="0.5">
      <c r="B74" t="s">
        <v>1715</v>
      </c>
      <c r="C74" t="s">
        <v>1721</v>
      </c>
      <c r="D74" t="s">
        <v>442</v>
      </c>
    </row>
    <row r="75" spans="2:4" x14ac:dyDescent="0.5">
      <c r="B75" t="s">
        <v>1720</v>
      </c>
      <c r="C75" t="s">
        <v>1722</v>
      </c>
      <c r="D75" t="s">
        <v>8</v>
      </c>
    </row>
    <row r="76" spans="2:4" x14ac:dyDescent="0.5">
      <c r="B76" t="s">
        <v>1768</v>
      </c>
      <c r="C76" t="s">
        <v>1786</v>
      </c>
      <c r="D76" t="s">
        <v>8</v>
      </c>
    </row>
    <row r="77" spans="2:4" x14ac:dyDescent="0.5">
      <c r="B77" t="s">
        <v>1789</v>
      </c>
      <c r="C77" t="s">
        <v>1787</v>
      </c>
      <c r="D77" t="s">
        <v>1857</v>
      </c>
    </row>
    <row r="78" spans="2:4" x14ac:dyDescent="0.5">
      <c r="B78" t="s">
        <v>1856</v>
      </c>
      <c r="C78" t="s">
        <v>1859</v>
      </c>
      <c r="D78" t="s">
        <v>1858</v>
      </c>
    </row>
    <row r="79" spans="2:4" x14ac:dyDescent="0.5">
      <c r="B79" t="s">
        <v>1899</v>
      </c>
      <c r="C79" t="s">
        <v>1918</v>
      </c>
      <c r="D79" t="s">
        <v>1858</v>
      </c>
    </row>
    <row r="80" spans="2:4" x14ac:dyDescent="0.5">
      <c r="B80" t="s">
        <v>1900</v>
      </c>
      <c r="C80" t="s">
        <v>1919</v>
      </c>
      <c r="D80" t="s">
        <v>1858</v>
      </c>
    </row>
    <row r="81" spans="2:4" x14ac:dyDescent="0.5">
      <c r="B81" t="s">
        <v>1920</v>
      </c>
      <c r="C81" t="s">
        <v>1971</v>
      </c>
      <c r="D81" t="s">
        <v>1972</v>
      </c>
    </row>
    <row r="82" spans="2:4" x14ac:dyDescent="0.5">
      <c r="B82" t="s">
        <v>1973</v>
      </c>
      <c r="C82" t="s">
        <v>1974</v>
      </c>
      <c r="D82" t="s">
        <v>1975</v>
      </c>
    </row>
    <row r="83" spans="2:4" x14ac:dyDescent="0.5">
      <c r="B83" t="s">
        <v>1977</v>
      </c>
      <c r="C83" t="s">
        <v>1976</v>
      </c>
      <c r="D83" t="s">
        <v>1975</v>
      </c>
    </row>
    <row r="84" spans="2:4" x14ac:dyDescent="0.5">
      <c r="B84" t="s">
        <v>2121</v>
      </c>
      <c r="C84" t="s">
        <v>2131</v>
      </c>
      <c r="D84" t="s">
        <v>1975</v>
      </c>
    </row>
    <row r="85" spans="2:4" x14ac:dyDescent="0.5">
      <c r="B85" t="s">
        <v>2133</v>
      </c>
      <c r="C85" t="s">
        <v>2132</v>
      </c>
      <c r="D85" t="s">
        <v>1975</v>
      </c>
    </row>
    <row r="86" spans="2:4" x14ac:dyDescent="0.5">
      <c r="B86" t="s">
        <v>2143</v>
      </c>
      <c r="C86" t="s">
        <v>2155</v>
      </c>
      <c r="D86" t="s">
        <v>2154</v>
      </c>
    </row>
    <row r="87" spans="2:4" x14ac:dyDescent="0.5">
      <c r="B87" t="s">
        <v>2158</v>
      </c>
      <c r="C87" t="s">
        <v>2159</v>
      </c>
      <c r="D87" t="s">
        <v>2156</v>
      </c>
    </row>
    <row r="88" spans="2:4" x14ac:dyDescent="0.5">
      <c r="B88" t="s">
        <v>2178</v>
      </c>
      <c r="C88" t="s">
        <v>2179</v>
      </c>
      <c r="D88" t="s">
        <v>1857</v>
      </c>
    </row>
    <row r="89" spans="2:4" x14ac:dyDescent="0.5">
      <c r="B89" t="s">
        <v>2243</v>
      </c>
      <c r="C89" t="s">
        <v>2362</v>
      </c>
      <c r="D89" t="s">
        <v>1972</v>
      </c>
    </row>
    <row r="90" spans="2:4" x14ac:dyDescent="0.5">
      <c r="B90" t="s">
        <v>2294</v>
      </c>
      <c r="C90" t="s">
        <v>2363</v>
      </c>
      <c r="D90" t="s">
        <v>1972</v>
      </c>
    </row>
    <row r="91" spans="2:4" x14ac:dyDescent="0.5">
      <c r="B91" t="s">
        <v>2318</v>
      </c>
      <c r="C91" t="s">
        <v>2364</v>
      </c>
    </row>
    <row r="92" spans="2:4" x14ac:dyDescent="0.5">
      <c r="B92" t="s">
        <v>2342</v>
      </c>
      <c r="C92" t="s">
        <v>2365</v>
      </c>
    </row>
    <row r="93" spans="2:4" x14ac:dyDescent="0.5">
      <c r="B93" t="s">
        <v>2352</v>
      </c>
      <c r="C93" t="s">
        <v>2366</v>
      </c>
    </row>
    <row r="94" spans="2:4" x14ac:dyDescent="0.5">
      <c r="B94" t="s">
        <v>2367</v>
      </c>
      <c r="C94" t="s">
        <v>2447</v>
      </c>
      <c r="D94" t="s">
        <v>1858</v>
      </c>
    </row>
    <row r="95" spans="2:4" x14ac:dyDescent="0.5">
      <c r="B95" t="s">
        <v>2406</v>
      </c>
      <c r="C95" t="s">
        <v>2447</v>
      </c>
      <c r="D95" t="s">
        <v>1858</v>
      </c>
    </row>
    <row r="96" spans="2:4" x14ac:dyDescent="0.5">
      <c r="B96" t="s">
        <v>2429</v>
      </c>
      <c r="C96" t="s">
        <v>2447</v>
      </c>
      <c r="D96" t="s">
        <v>1858</v>
      </c>
    </row>
    <row r="97" spans="2:4" x14ac:dyDescent="0.5">
      <c r="B97" t="s">
        <v>2448</v>
      </c>
      <c r="C97" t="s">
        <v>2447</v>
      </c>
      <c r="D97" t="s">
        <v>2154</v>
      </c>
    </row>
    <row r="98" spans="2:4" x14ac:dyDescent="0.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T2340"/>
  <sheetViews>
    <sheetView tabSelected="1" topLeftCell="B1" zoomScale="70" zoomScaleNormal="70" workbookViewId="0">
      <pane xSplit="4" ySplit="1" topLeftCell="F721" activePane="bottomRight" state="frozen"/>
      <selection activeCell="B1" sqref="B1"/>
      <selection pane="topRight" activeCell="F1" sqref="F1"/>
      <selection pane="bottomLeft" activeCell="B2" sqref="B2"/>
      <selection pane="bottomRight" activeCell="N740" sqref="N740"/>
    </sheetView>
  </sheetViews>
  <sheetFormatPr defaultColWidth="11" defaultRowHeight="15.75" x14ac:dyDescent="0.5"/>
  <cols>
    <col min="1" max="1" width="11.5" bestFit="1" customWidth="1"/>
    <col min="2" max="2" width="10.6875" customWidth="1"/>
    <col min="3" max="3" width="6.5" customWidth="1"/>
    <col min="4" max="4" width="63.5625" customWidth="1"/>
    <col min="5" max="5" width="12.5" bestFit="1" customWidth="1"/>
    <col min="6" max="12" width="9.4375" customWidth="1"/>
    <col min="13" max="17" width="10" customWidth="1"/>
    <col min="18" max="18" width="15.4375" bestFit="1" customWidth="1"/>
  </cols>
  <sheetData>
    <row r="1" spans="1:19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2045</v>
      </c>
      <c r="M1" s="2">
        <v>2050</v>
      </c>
      <c r="N1" s="2">
        <v>2055</v>
      </c>
      <c r="O1" s="2">
        <v>2060</v>
      </c>
      <c r="P1" s="2">
        <v>2065</v>
      </c>
      <c r="Q1" s="2">
        <v>2070</v>
      </c>
    </row>
    <row r="2" spans="1:19" x14ac:dyDescent="0.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300.02662963567275</v>
      </c>
      <c r="G2" s="3">
        <f t="shared" ref="G2:K2" si="0">G3+G8+G11+G12+G16+G17+G18+G19</f>
        <v>295.46946067494412</v>
      </c>
      <c r="H2" s="3">
        <f t="shared" si="0"/>
        <v>330.77470235130386</v>
      </c>
      <c r="I2" s="3">
        <f t="shared" si="0"/>
        <v>365.47757386282871</v>
      </c>
      <c r="J2" s="3">
        <f t="shared" si="0"/>
        <v>376.65682556176125</v>
      </c>
      <c r="K2" s="3">
        <f t="shared" si="0"/>
        <v>382.58217650968595</v>
      </c>
      <c r="L2" s="3">
        <f t="shared" ref="L2:O2" si="1">L3+L8+L11+L12+L16+L17+L18+L19</f>
        <v>387.36051936014081</v>
      </c>
      <c r="M2" s="3">
        <f t="shared" si="1"/>
        <v>393.5331445826186</v>
      </c>
      <c r="N2" s="3">
        <f t="shared" si="1"/>
        <v>398.33757578259525</v>
      </c>
      <c r="O2" s="3">
        <f t="shared" si="1"/>
        <v>404.63964447920051</v>
      </c>
      <c r="P2" s="3">
        <f>P3+P8+P11+P12+P16+P17+P18+P19</f>
        <v>410.20714188261735</v>
      </c>
      <c r="Q2" s="3">
        <f>Q3+Q8+Q11+Q12+Q16+Q17+Q18+Q19</f>
        <v>416.24334441089087</v>
      </c>
      <c r="S2" s="3"/>
    </row>
    <row r="3" spans="1:19" x14ac:dyDescent="0.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44.972402472062015</v>
      </c>
      <c r="G3" s="1">
        <f t="shared" ref="G3:K3" si="4">SUM(G4:G7)</f>
        <v>48.190469372532469</v>
      </c>
      <c r="H3" s="1">
        <f t="shared" si="4"/>
        <v>48.190470755843982</v>
      </c>
      <c r="I3" s="1">
        <f t="shared" si="4"/>
        <v>48.190473556011995</v>
      </c>
      <c r="J3" s="1">
        <f t="shared" si="4"/>
        <v>48.191273698872095</v>
      </c>
      <c r="K3" s="1">
        <f t="shared" si="4"/>
        <v>48.19127584629797</v>
      </c>
      <c r="L3" s="1">
        <f t="shared" ref="L3:O3" si="5">SUM(L4:L7)</f>
        <v>48.191277742775739</v>
      </c>
      <c r="M3" s="1">
        <f t="shared" si="5"/>
        <v>48.191289233341948</v>
      </c>
      <c r="N3" s="1">
        <f t="shared" si="5"/>
        <v>48.191284952491088</v>
      </c>
      <c r="O3" s="1">
        <f t="shared" si="5"/>
        <v>48.191300452461348</v>
      </c>
      <c r="P3" s="1">
        <f>SUM(P4:P7)</f>
        <v>48.191301788521862</v>
      </c>
      <c r="Q3" s="1">
        <f>SUM(Q4:Q7)</f>
        <v>48.191363713626814</v>
      </c>
      <c r="S3" s="3"/>
    </row>
    <row r="4" spans="1:19" x14ac:dyDescent="0.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11.111877816062361</v>
      </c>
      <c r="G4" s="1" cm="1">
        <f t="array" ref="G4">SUMPRODUCT(("RNWWOD1"=[1]OUT_PrimaryEnergyCons!$A$1:$A$1000)*1,[1]OUT_PrimaryEnergyCons!E$1:E$1000)</f>
        <v>11.952883610097949</v>
      </c>
      <c r="H4" s="1" cm="1">
        <f t="array" ref="H4">SUMPRODUCT(("RNWWOD1"=[1]OUT_PrimaryEnergyCons!$A$1:$A$1000)*1,[1]OUT_PrimaryEnergyCons!F$1:F$1000)</f>
        <v>13.214392679215495</v>
      </c>
      <c r="I4" s="1" cm="1">
        <f t="array" ref="I4">SUMPRODUCT(("RNWWOD1"=[1]OUT_PrimaryEnergyCons!$A$1:$A$1000)*1,[1]OUT_PrimaryEnergyCons!G$1:G$1000)</f>
        <v>15.316909578148843</v>
      </c>
      <c r="J4" s="1" cm="1">
        <f t="array" ref="J4">SUMPRODUCT(("RNWWOD1"=[1]OUT_PrimaryEnergyCons!$A$1:$A$1000)*1,[1]OUT_PrimaryEnergyCons!H$1:H$1000)</f>
        <v>15.849138612604666</v>
      </c>
      <c r="K4" s="1" cm="1">
        <f t="array" ref="K4">SUMPRODUCT(("RNWWOD1"=[1]OUT_PrimaryEnergyCons!$A$1:$A$1000)*1,[1]OUT_PrimaryEnergyCons!I$1:I$1000)</f>
        <v>16.266395578750799</v>
      </c>
      <c r="L4" s="1" cm="1">
        <f t="array" ref="L4">SUMPRODUCT(("RNWWOD1"=[1]OUT_PrimaryEnergyCons!$A$1:$A$1000)*1,[1]OUT_PrimaryEnergyCons!J$1:J$1000)</f>
        <v>16.611694222062589</v>
      </c>
      <c r="M4" s="1" cm="1">
        <f t="array" ref="M4">SUMPRODUCT(("RNWWOD1"=[1]OUT_PrimaryEnergyCons!$A$1:$A$1000)*1,[1]OUT_PrimaryEnergyCons!K$1:K$1000)</f>
        <v>16.956993852050463</v>
      </c>
      <c r="N4" s="1" cm="1">
        <f t="array" ref="N4">SUMPRODUCT(("RNWWOD1"=[1]OUT_PrimaryEnergyCons!$A$1:$A$1000)*1,[1]OUT_PrimaryEnergyCons!L$1:L$1000)</f>
        <v>17.015760310926382</v>
      </c>
      <c r="O4" s="1" cm="1">
        <f t="array" ref="O4">SUMPRODUCT(("RNWWOD1"=[1]OUT_PrimaryEnergyCons!$A$1:$A$1000)*1,[1]OUT_PrimaryEnergyCons!M$1:M$1000)</f>
        <v>17.074528854627712</v>
      </c>
      <c r="P4" s="1" cm="1">
        <f t="array" ref="P4">SUMPRODUCT(("RNWWOD1"=[1]OUT_PrimaryEnergyCons!$A$1:$A$1000)*1,[1]OUT_PrimaryEnergyCons!N$1:N$1000)</f>
        <v>17.133294185602008</v>
      </c>
      <c r="Q4" s="1" cm="1">
        <f t="array" ref="Q4">SUMPRODUCT(("RNWWOD1"=[1]OUT_PrimaryEnergyCons!$A$1:$A$1000)*1,[1]OUT_PrimaryEnergyCons!O$1:O$1000)</f>
        <v>17.192068101281823</v>
      </c>
      <c r="S4" s="3"/>
    </row>
    <row r="5" spans="1:19" x14ac:dyDescent="0.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7.5116714792787516</v>
      </c>
      <c r="G5" s="1" cm="1">
        <f t="array" ref="G5">SUMPRODUCT(("RNWWOD2"=[1]OUT_PrimaryEnergyCons!$A$1:$A$1000)*1,[1]OUT_PrimaryEnergyCons!E$1:E$1000)</f>
        <v>7.5431421335966675</v>
      </c>
      <c r="H5" s="1" cm="1">
        <f t="array" ref="H5">SUMPRODUCT(("RNWWOD2"=[1]OUT_PrimaryEnergyCons!$A$1:$A$1000)*1,[1]OUT_PrimaryEnergyCons!F$1:F$1000)</f>
        <v>7.5903483529641971</v>
      </c>
      <c r="I5" s="1" cm="1">
        <f t="array" ref="I5">SUMPRODUCT(("RNWWOD2"=[1]OUT_PrimaryEnergyCons!$A$1:$A$1000)*1,[1]OUT_PrimaryEnergyCons!G$1:G$1000)</f>
        <v>7.6690266108984915</v>
      </c>
      <c r="J5" s="1" cm="1">
        <f t="array" ref="J5">SUMPRODUCT(("RNWWOD2"=[1]OUT_PrimaryEnergyCons!$A$1:$A$1000)*1,[1]OUT_PrimaryEnergyCons!H$1:H$1000)</f>
        <v>7.669027110614115</v>
      </c>
      <c r="K5" s="1" cm="1">
        <f t="array" ref="K5">SUMPRODUCT(("RNWWOD2"=[1]OUT_PrimaryEnergyCons!$A$1:$A$1000)*1,[1]OUT_PrimaryEnergyCons!I$1:I$1000)</f>
        <v>7.6690272561862862</v>
      </c>
      <c r="L5" s="1" cm="1">
        <f t="array" ref="L5">SUMPRODUCT(("RNWWOD2"=[1]OUT_PrimaryEnergyCons!$A$1:$A$1000)*1,[1]OUT_PrimaryEnergyCons!J$1:J$1000)</f>
        <v>7.6690271876529321</v>
      </c>
      <c r="M5" s="1" cm="1">
        <f t="array" ref="M5">SUMPRODUCT(("RNWWOD2"=[1]OUT_PrimaryEnergyCons!$A$1:$A$1000)*1,[1]OUT_PrimaryEnergyCons!K$1:K$1000)</f>
        <v>7.6690281047762552</v>
      </c>
      <c r="N5" s="1" cm="1">
        <f t="array" ref="N5">SUMPRODUCT(("RNWWOD2"=[1]OUT_PrimaryEnergyCons!$A$1:$A$1000)*1,[1]OUT_PrimaryEnergyCons!L$1:L$1000)</f>
        <v>7.6690271918015256</v>
      </c>
      <c r="O5" s="1" cm="1">
        <f t="array" ref="O5">SUMPRODUCT(("RNWWOD2"=[1]OUT_PrimaryEnergyCons!$A$1:$A$1000)*1,[1]OUT_PrimaryEnergyCons!M$1:M$1000)</f>
        <v>7.6690282773254745</v>
      </c>
      <c r="P5" s="1" cm="1">
        <f t="array" ref="P5">SUMPRODUCT(("RNWWOD2"=[1]OUT_PrimaryEnergyCons!$A$1:$A$1000)*1,[1]OUT_PrimaryEnergyCons!N$1:N$1000)</f>
        <v>7.6690262131216862</v>
      </c>
      <c r="Q5" s="1" cm="1">
        <f t="array" ref="Q5">SUMPRODUCT(("RNWWOD2"=[1]OUT_PrimaryEnergyCons!$A$1:$A$1000)*1,[1]OUT_PrimaryEnergyCons!O$1:O$1000)</f>
        <v>7.6690263254100701</v>
      </c>
      <c r="S5" s="3"/>
    </row>
    <row r="6" spans="1:19" x14ac:dyDescent="0.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3.1682453941052438</v>
      </c>
      <c r="G6" s="1" cm="1">
        <f t="array" ref="G6">SUMPRODUCT(("RNWWOD3"=[1]OUT_PrimaryEnergyCons!$A$1:$A$1000)*1,[1]OUT_PrimaryEnergyCons!E$1:E$1000)</f>
        <v>3.4956720240256094</v>
      </c>
      <c r="H6" s="1" cm="1">
        <f t="array" ref="H6">SUMPRODUCT(("RNWWOD3"=[1]OUT_PrimaryEnergyCons!$A$1:$A$1000)*1,[1]OUT_PrimaryEnergyCons!F$1:F$1000)</f>
        <v>3.9868135890129714</v>
      </c>
      <c r="I6" s="1" cm="1">
        <f t="array" ref="I6">SUMPRODUCT(("RNWWOD3"=[1]OUT_PrimaryEnergyCons!$A$1:$A$1000)*1,[1]OUT_PrimaryEnergyCons!G$1:G$1000)</f>
        <v>4.805385560005389</v>
      </c>
      <c r="J6" s="1" cm="1">
        <f t="array" ref="J6">SUMPRODUCT(("RNWWOD3"=[1]OUT_PrimaryEnergyCons!$A$1:$A$1000)*1,[1]OUT_PrimaryEnergyCons!H$1:H$1000)</f>
        <v>4.805384426012572</v>
      </c>
      <c r="K6" s="1" cm="1">
        <f t="array" ref="K6">SUMPRODUCT(("RNWWOD3"=[1]OUT_PrimaryEnergyCons!$A$1:$A$1000)*1,[1]OUT_PrimaryEnergyCons!I$1:I$1000)</f>
        <v>4.8053846118820971</v>
      </c>
      <c r="L6" s="1" cm="1">
        <f t="array" ref="L6">SUMPRODUCT(("RNWWOD3"=[1]OUT_PrimaryEnergyCons!$A$1:$A$1000)*1,[1]OUT_PrimaryEnergyCons!J$1:J$1000)</f>
        <v>4.8053846358314969</v>
      </c>
      <c r="M6" s="1" cm="1">
        <f t="array" ref="M6">SUMPRODUCT(("RNWWOD3"=[1]OUT_PrimaryEnergyCons!$A$1:$A$1000)*1,[1]OUT_PrimaryEnergyCons!K$1:K$1000)</f>
        <v>4.8053828172703277</v>
      </c>
      <c r="N6" s="1" cm="1">
        <f t="array" ref="N6">SUMPRODUCT(("RNWWOD3"=[1]OUT_PrimaryEnergyCons!$A$1:$A$1000)*1,[1]OUT_PrimaryEnergyCons!L$1:L$1000)</f>
        <v>4.8053845343663566</v>
      </c>
      <c r="O6" s="1" cm="1">
        <f t="array" ref="O6">SUMPRODUCT(("RNWWOD3"=[1]OUT_PrimaryEnergyCons!$A$1:$A$1000)*1,[1]OUT_PrimaryEnergyCons!M$1:M$1000)</f>
        <v>4.8053832322819119</v>
      </c>
      <c r="P6" s="1" cm="1">
        <f t="array" ref="P6">SUMPRODUCT(("RNWWOD3"=[1]OUT_PrimaryEnergyCons!$A$1:$A$1000)*1,[1]OUT_PrimaryEnergyCons!N$1:N$1000)</f>
        <v>4.8053834357688743</v>
      </c>
      <c r="Q6" s="1" cm="1">
        <f t="array" ref="Q6">SUMPRODUCT(("RNWWOD3"=[1]OUT_PrimaryEnergyCons!$A$1:$A$1000)*1,[1]OUT_PrimaryEnergyCons!O$1:O$1000)</f>
        <v>4.8053839557388356</v>
      </c>
      <c r="S6" s="3"/>
    </row>
    <row r="7" spans="1:19" x14ac:dyDescent="0.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23.180607782615652</v>
      </c>
      <c r="G7" s="1" cm="1">
        <f t="array" ref="G7">SUMPRODUCT(("RNWWOD4"=[1]OUT_PrimaryEnergyCons!$A$1:$A$1000)*1+("RNWWOD5"=[1]OUT_PrimaryEnergyCons!$A$1:$A$1000)*1,[1]OUT_PrimaryEnergyCons!E$1:E$1000)</f>
        <v>25.198771604812244</v>
      </c>
      <c r="H7" s="1" cm="1">
        <f t="array" ref="H7">SUMPRODUCT(("RNWWOD4"=[1]OUT_PrimaryEnergyCons!$A$1:$A$1000)*1+("RNWWOD5"=[1]OUT_PrimaryEnergyCons!$A$1:$A$1000)*1,[1]OUT_PrimaryEnergyCons!F$1:F$1000)</f>
        <v>23.398916134651319</v>
      </c>
      <c r="I7" s="1" cm="1">
        <f t="array" ref="I7">SUMPRODUCT(("RNWWOD4"=[1]OUT_PrimaryEnergyCons!$A$1:$A$1000)*1+("RNWWOD5"=[1]OUT_PrimaryEnergyCons!$A$1:$A$1000)*1,[1]OUT_PrimaryEnergyCons!G$1:G$1000)</f>
        <v>20.399151806959264</v>
      </c>
      <c r="J7" s="1" cm="1">
        <f t="array" ref="J7">SUMPRODUCT(("RNWWOD4"=[1]OUT_PrimaryEnergyCons!$A$1:$A$1000)*1+("RNWWOD5"=[1]OUT_PrimaryEnergyCons!$A$1:$A$1000)*1,[1]OUT_PrimaryEnergyCons!H$1:H$1000)</f>
        <v>19.867723549640743</v>
      </c>
      <c r="K7" s="1" cm="1">
        <f t="array" ref="K7">SUMPRODUCT(("RNWWOD4"=[1]OUT_PrimaryEnergyCons!$A$1:$A$1000)*1+("RNWWOD5"=[1]OUT_PrimaryEnergyCons!$A$1:$A$1000)*1,[1]OUT_PrimaryEnergyCons!I$1:I$1000)</f>
        <v>19.45046839947879</v>
      </c>
      <c r="L7" s="1" cm="1">
        <f t="array" ref="L7">SUMPRODUCT(("RNWWOD4"=[1]OUT_PrimaryEnergyCons!$A$1:$A$1000)*1+("RNWWOD5"=[1]OUT_PrimaryEnergyCons!$A$1:$A$1000)*1,[1]OUT_PrimaryEnergyCons!J$1:J$1000)</f>
        <v>19.10517169722872</v>
      </c>
      <c r="M7" s="1" cm="1">
        <f t="array" ref="M7">SUMPRODUCT(("RNWWOD4"=[1]OUT_PrimaryEnergyCons!$A$1:$A$1000)*1+("RNWWOD5"=[1]OUT_PrimaryEnergyCons!$A$1:$A$1000)*1,[1]OUT_PrimaryEnergyCons!K$1:K$1000)</f>
        <v>18.759884459244905</v>
      </c>
      <c r="N7" s="1" cm="1">
        <f t="array" ref="N7">SUMPRODUCT(("RNWWOD4"=[1]OUT_PrimaryEnergyCons!$A$1:$A$1000)*1+("RNWWOD5"=[1]OUT_PrimaryEnergyCons!$A$1:$A$1000)*1,[1]OUT_PrimaryEnergyCons!L$1:L$1000)</f>
        <v>18.70111291539682</v>
      </c>
      <c r="O7" s="1" cm="1">
        <f t="array" ref="O7">SUMPRODUCT(("RNWWOD4"=[1]OUT_PrimaryEnergyCons!$A$1:$A$1000)*1+("RNWWOD5"=[1]OUT_PrimaryEnergyCons!$A$1:$A$1000)*1,[1]OUT_PrimaryEnergyCons!M$1:M$1000)</f>
        <v>18.642360088226251</v>
      </c>
      <c r="P7" s="1" cm="1">
        <f t="array" ref="P7">SUMPRODUCT(("RNWWOD4"=[1]OUT_PrimaryEnergyCons!$A$1:$A$1000)*1+("RNWWOD5"=[1]OUT_PrimaryEnergyCons!$A$1:$A$1000)*1,[1]OUT_PrimaryEnergyCons!N$1:N$1000)</f>
        <v>18.583597954029294</v>
      </c>
      <c r="Q7" s="1" cm="1">
        <f t="array" ref="Q7">SUMPRODUCT(("RNWWOD4"=[1]OUT_PrimaryEnergyCons!$A$1:$A$1000)*1+("RNWWOD5"=[1]OUT_PrimaryEnergyCons!$A$1:$A$1000)*1,[1]OUT_PrimaryEnergyCons!O$1:O$1000)</f>
        <v>18.524885331196085</v>
      </c>
      <c r="S7" s="3"/>
    </row>
    <row r="8" spans="1:19" x14ac:dyDescent="0.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69.871941200223546</v>
      </c>
      <c r="G8" s="1">
        <f t="shared" ref="G8:K8" si="9">SUM(G9:G10)</f>
        <v>69.903213928398984</v>
      </c>
      <c r="H8" s="1">
        <f t="shared" si="9"/>
        <v>69.5103067647795</v>
      </c>
      <c r="I8" s="1">
        <f t="shared" si="9"/>
        <v>69.060799183311644</v>
      </c>
      <c r="J8" s="1">
        <f t="shared" si="9"/>
        <v>68.958416999730559</v>
      </c>
      <c r="K8" s="1">
        <f t="shared" si="9"/>
        <v>69.180285478295218</v>
      </c>
      <c r="L8" s="1">
        <f t="shared" ref="L8:O8" si="10">SUM(L9:L10)</f>
        <v>69.402151765941539</v>
      </c>
      <c r="M8" s="1">
        <f t="shared" si="10"/>
        <v>69.624025628867855</v>
      </c>
      <c r="N8" s="1">
        <f t="shared" si="10"/>
        <v>69.624023532500331</v>
      </c>
      <c r="O8" s="1">
        <f t="shared" si="10"/>
        <v>69.624033867580764</v>
      </c>
      <c r="P8" s="1">
        <f>SUM(P9:P10)</f>
        <v>69.624032851674627</v>
      </c>
      <c r="Q8" s="1">
        <f>SUM(Q9:Q10)</f>
        <v>69.62410012212672</v>
      </c>
      <c r="S8" s="3"/>
    </row>
    <row r="9" spans="1:19" x14ac:dyDescent="0.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35.851290112416699</v>
      </c>
      <c r="G9" s="1" cm="1">
        <f t="array" ref="G9">SUMPRODUCT(("RNNWWST1"=[1]OUT_PrimaryEnergyCons!$A$1:$A$1000)*1,[1]OUT_PrimaryEnergyCons!E$1:E$1000)</f>
        <v>35.882382878107464</v>
      </c>
      <c r="H9" s="1" cm="1">
        <f t="array" ref="H9">SUMPRODUCT(("RNNWWST1"=[1]OUT_PrimaryEnergyCons!$A$1:$A$1000)*1,[1]OUT_PrimaryEnergyCons!F$1:F$1000)</f>
        <v>35.489467550159034</v>
      </c>
      <c r="I9" s="1" cm="1">
        <f t="array" ref="I9">SUMPRODUCT(("RNNWWST1"=[1]OUT_PrimaryEnergyCons!$A$1:$A$1000)*1,[1]OUT_PrimaryEnergyCons!G$1:G$1000)</f>
        <v>35.039968096222253</v>
      </c>
      <c r="J9" s="1" cm="1">
        <f t="array" ref="J9">SUMPRODUCT(("RNNWWST1"=[1]OUT_PrimaryEnergyCons!$A$1:$A$1000)*1,[1]OUT_PrimaryEnergyCons!H$1:H$1000)</f>
        <v>34.937585174902388</v>
      </c>
      <c r="K9" s="1" cm="1">
        <f t="array" ref="K9">SUMPRODUCT(("RNNWWST1"=[1]OUT_PrimaryEnergyCons!$A$1:$A$1000)*1,[1]OUT_PrimaryEnergyCons!I$1:I$1000)</f>
        <v>35.159449549388498</v>
      </c>
      <c r="L9" s="1" cm="1">
        <f t="array" ref="L9">SUMPRODUCT(("RNNWWST1"=[1]OUT_PrimaryEnergyCons!$A$1:$A$1000)*1,[1]OUT_PrimaryEnergyCons!J$1:J$1000)</f>
        <v>35.381314116653847</v>
      </c>
      <c r="M9" s="1" cm="1">
        <f t="array" ref="M9">SUMPRODUCT(("RNNWWST1"=[1]OUT_PrimaryEnergyCons!$A$1:$A$1000)*1,[1]OUT_PrimaryEnergyCons!K$1:K$1000)</f>
        <v>35.603182411498764</v>
      </c>
      <c r="N9" s="1" cm="1">
        <f t="array" ref="N9">SUMPRODUCT(("RNNWWST1"=[1]OUT_PrimaryEnergyCons!$A$1:$A$1000)*1,[1]OUT_PrimaryEnergyCons!L$1:L$1000)</f>
        <v>35.603179606571651</v>
      </c>
      <c r="O9" s="1" cm="1">
        <f t="array" ref="O9">SUMPRODUCT(("RNNWWST1"=[1]OUT_PrimaryEnergyCons!$A$1:$A$1000)*1,[1]OUT_PrimaryEnergyCons!M$1:M$1000)</f>
        <v>35.60318313159835</v>
      </c>
      <c r="P9" s="1" cm="1">
        <f t="array" ref="P9">SUMPRODUCT(("RNNWWST1"=[1]OUT_PrimaryEnergyCons!$A$1:$A$1000)*1,[1]OUT_PrimaryEnergyCons!N$1:N$1000)</f>
        <v>35.603178915539864</v>
      </c>
      <c r="Q9" s="1" cm="1">
        <f t="array" ref="Q9">SUMPRODUCT(("RNNWWST1"=[1]OUT_PrimaryEnergyCons!$A$1:$A$1000)*1,[1]OUT_PrimaryEnergyCons!O$1:O$1000)</f>
        <v>35.603185210495248</v>
      </c>
      <c r="S9" s="3"/>
    </row>
    <row r="10" spans="1:19" x14ac:dyDescent="0.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34.020651087806847</v>
      </c>
      <c r="G10" s="1" cm="1">
        <f t="array" ref="G10">SUMPRODUCT(("RNWWST1"=[1]OUT_PrimaryEnergyCons!$A$1:$A$1000)*1,[1]OUT_PrimaryEnergyCons!E$1:E$1000)</f>
        <v>34.02083105029152</v>
      </c>
      <c r="H10" s="1" cm="1">
        <f t="array" ref="H10">SUMPRODUCT(("RNWWST1"=[1]OUT_PrimaryEnergyCons!$A$1:$A$1000)*1,[1]OUT_PrimaryEnergyCons!F$1:F$1000)</f>
        <v>34.020839214620466</v>
      </c>
      <c r="I10" s="1" cm="1">
        <f t="array" ref="I10">SUMPRODUCT(("RNWWST1"=[1]OUT_PrimaryEnergyCons!$A$1:$A$1000)*1,[1]OUT_PrimaryEnergyCons!G$1:G$1000)</f>
        <v>34.020831087089384</v>
      </c>
      <c r="J10" s="1" cm="1">
        <f t="array" ref="J10">SUMPRODUCT(("RNWWST1"=[1]OUT_PrimaryEnergyCons!$A$1:$A$1000)*1,[1]OUT_PrimaryEnergyCons!H$1:H$1000)</f>
        <v>34.020831824828178</v>
      </c>
      <c r="K10" s="1" cm="1">
        <f t="array" ref="K10">SUMPRODUCT(("RNWWST1"=[1]OUT_PrimaryEnergyCons!$A$1:$A$1000)*1,[1]OUT_PrimaryEnergyCons!I$1:I$1000)</f>
        <v>34.020835928906713</v>
      </c>
      <c r="L10" s="1" cm="1">
        <f t="array" ref="L10">SUMPRODUCT(("RNWWST1"=[1]OUT_PrimaryEnergyCons!$A$1:$A$1000)*1,[1]OUT_PrimaryEnergyCons!J$1:J$1000)</f>
        <v>34.020837649287699</v>
      </c>
      <c r="M10" s="1" cm="1">
        <f t="array" ref="M10">SUMPRODUCT(("RNWWST1"=[1]OUT_PrimaryEnergyCons!$A$1:$A$1000)*1,[1]OUT_PrimaryEnergyCons!K$1:K$1000)</f>
        <v>34.020843217369098</v>
      </c>
      <c r="N10" s="1" cm="1">
        <f t="array" ref="N10">SUMPRODUCT(("RNWWST1"=[1]OUT_PrimaryEnergyCons!$A$1:$A$1000)*1,[1]OUT_PrimaryEnergyCons!L$1:L$1000)</f>
        <v>34.020843925928681</v>
      </c>
      <c r="O10" s="1" cm="1">
        <f t="array" ref="O10">SUMPRODUCT(("RNWWST1"=[1]OUT_PrimaryEnergyCons!$A$1:$A$1000)*1,[1]OUT_PrimaryEnergyCons!M$1:M$1000)</f>
        <v>34.020850735982414</v>
      </c>
      <c r="P10" s="1" cm="1">
        <f t="array" ref="P10">SUMPRODUCT(("RNWWST1"=[1]OUT_PrimaryEnergyCons!$A$1:$A$1000)*1,[1]OUT_PrimaryEnergyCons!N$1:N$1000)</f>
        <v>34.020853936134763</v>
      </c>
      <c r="Q10" s="1" cm="1">
        <f t="array" ref="Q10">SUMPRODUCT(("RNWWST1"=[1]OUT_PrimaryEnergyCons!$A$1:$A$1000)*1,[1]OUT_PrimaryEnergyCons!O$1:O$1000)</f>
        <v>34.020914911631472</v>
      </c>
      <c r="S10" s="3"/>
    </row>
    <row r="11" spans="1:19" x14ac:dyDescent="0.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3.7980890453788723</v>
      </c>
      <c r="G11" s="1" cm="1">
        <f t="array" ref="G11">SUMPRODUCT(("mnr"=[1]OUT_PrimaryEnergyCons!$C$1:$C$1000)*1,[1]OUT_PrimaryEnergyCons!E$1:E$1000)</f>
        <v>12.48768142622205</v>
      </c>
      <c r="H11" s="1" cm="1">
        <f t="array" ref="H11">SUMPRODUCT(("mnr"=[1]OUT_PrimaryEnergyCons!$C$1:$C$1000)*1,[1]OUT_PrimaryEnergyCons!F$1:F$1000)</f>
        <v>12.540265595238091</v>
      </c>
      <c r="I11" s="1" cm="1">
        <f t="array" ref="I11">SUMPRODUCT(("mnr"=[1]OUT_PrimaryEnergyCons!$C$1:$C$1000)*1,[1]OUT_PrimaryEnergyCons!G$1:G$1000)</f>
        <v>12.540422828132941</v>
      </c>
      <c r="J11" s="1" cm="1">
        <f t="array" ref="J11">SUMPRODUCT(("mnr"=[1]OUT_PrimaryEnergyCons!$C$1:$C$1000)*1,[1]OUT_PrimaryEnergyCons!H$1:H$1000)</f>
        <v>12.540426178369573</v>
      </c>
      <c r="K11" s="1" cm="1">
        <f t="array" ref="K11">SUMPRODUCT(("mnr"=[1]OUT_PrimaryEnergyCons!$C$1:$C$1000)*1,[1]OUT_PrimaryEnergyCons!I$1:I$1000)</f>
        <v>12.541602913931778</v>
      </c>
      <c r="L11" s="1" cm="1">
        <f t="array" ref="L11">SUMPRODUCT(("mnr"=[1]OUT_PrimaryEnergyCons!$C$1:$C$1000)*1,[1]OUT_PrimaryEnergyCons!J$1:J$1000)</f>
        <v>12.5416224835975</v>
      </c>
      <c r="M11" s="1" cm="1">
        <f t="array" ref="M11">SUMPRODUCT(("mnr"=[1]OUT_PrimaryEnergyCons!$C$1:$C$1000)*1,[1]OUT_PrimaryEnergyCons!K$1:K$1000)</f>
        <v>12.541655317753763</v>
      </c>
      <c r="N11" s="1" cm="1">
        <f t="array" ref="N11">SUMPRODUCT(("mnr"=[1]OUT_PrimaryEnergyCons!$C$1:$C$1000)*1,[1]OUT_PrimaryEnergyCons!L$1:L$1000)</f>
        <v>12.541667093502433</v>
      </c>
      <c r="O11" s="1" cm="1">
        <f t="array" ref="O11">SUMPRODUCT(("mnr"=[1]OUT_PrimaryEnergyCons!$C$1:$C$1000)*1,[1]OUT_PrimaryEnergyCons!M$1:M$1000)</f>
        <v>12.541739241110205</v>
      </c>
      <c r="P11" s="1" cm="1">
        <f t="array" ref="P11">SUMPRODUCT(("mnr"=[1]OUT_PrimaryEnergyCons!$C$1:$C$1000)*1,[1]OUT_PrimaryEnergyCons!N$1:N$1000)</f>
        <v>12.54184370295355</v>
      </c>
      <c r="Q11" s="1" cm="1">
        <f t="array" ref="Q11">SUMPRODUCT(("mnr"=[1]OUT_PrimaryEnergyCons!$C$1:$C$1000)*1,[1]OUT_PrimaryEnergyCons!O$1:O$1000)</f>
        <v>12.542122705679734</v>
      </c>
      <c r="S11" s="3"/>
    </row>
    <row r="12" spans="1:19" x14ac:dyDescent="0.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149.43049454864359</v>
      </c>
      <c r="G12" s="1">
        <f t="shared" ref="G12:K12" si="11">SUM(G13:G15)</f>
        <v>125.60620572036886</v>
      </c>
      <c r="H12" s="1">
        <f t="shared" si="11"/>
        <v>141.33423289116055</v>
      </c>
      <c r="I12" s="1">
        <f t="shared" si="11"/>
        <v>150.00973086657521</v>
      </c>
      <c r="J12" s="1">
        <f t="shared" si="11"/>
        <v>150.05639720402141</v>
      </c>
      <c r="K12" s="1">
        <f t="shared" si="11"/>
        <v>150.09441559717823</v>
      </c>
      <c r="L12" s="1">
        <f t="shared" ref="L12:O12" si="12">SUM(L13:L15)</f>
        <v>150.13173386403054</v>
      </c>
      <c r="M12" s="1">
        <f t="shared" si="12"/>
        <v>150.17228287618377</v>
      </c>
      <c r="N12" s="1">
        <f t="shared" si="12"/>
        <v>150.20913736728946</v>
      </c>
      <c r="O12" s="1">
        <f t="shared" si="12"/>
        <v>150.25352472289927</v>
      </c>
      <c r="P12" s="1">
        <f>SUM(P13:P15)</f>
        <v>150.30249343745535</v>
      </c>
      <c r="Q12" s="1">
        <f>SUM(Q13:Q15)</f>
        <v>150.55047619797529</v>
      </c>
      <c r="S12" s="3"/>
    </row>
    <row r="13" spans="1:19" x14ac:dyDescent="0.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66.745679999996938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49.79880272042594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68.534766593212652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69.617936454117398</v>
      </c>
      <c r="J13" s="1" cm="1">
        <f t="array" ref="J13">SUMPRODUCT(ISNUMBER(SEARCH("EHYD-DAM",[1]OUT_Electricity_CHP!$B$1:$B$10000))*1,([1]OUT_Electricity_CHP!$C$1:$C$10000="Var_Fout")*1,ISNUMBER(SEARCH("ELC",[1]OUT_Electricity_CHP!$D$1:$D$10000))*1,[1]OUT_Electricity_CHP!I$1:I$10000)</f>
        <v>70.70230294535466</v>
      </c>
      <c r="K13" s="1" cm="1">
        <f t="array" ref="K13">SUMPRODUCT(ISNUMBER(SEARCH("EHYD-DAM",[1]OUT_Electricity_CHP!$B$1:$B$10000))*1,([1]OUT_Electricity_CHP!$C$1:$C$10000="Var_Fout")*1,ISNUMBER(SEARCH("ELC",[1]OUT_Electricity_CHP!$D$1:$D$10000))*1,[1]OUT_Electricity_CHP!J$1:J$10000)</f>
        <v>71.787070620196403</v>
      </c>
      <c r="L13" s="1" cm="1">
        <f t="array" ref="L13">SUMPRODUCT(ISNUMBER(SEARCH("EHYD-DAM",[1]OUT_Electricity_CHP!$B$1:$B$10000))*1,([1]OUT_Electricity_CHP!$C$1:$C$10000="Var_Fout")*1,ISNUMBER(SEARCH("ELC",[1]OUT_Electricity_CHP!$D$1:$D$10000))*1,[1]OUT_Electricity_CHP!K$1:K$10000)</f>
        <v>72.871347957925721</v>
      </c>
      <c r="M13" s="1" cm="1">
        <f t="array" ref="M13">SUMPRODUCT(ISNUMBER(SEARCH("EHYD-DAM",[1]OUT_Electricity_CHP!$B$1:$B$10000))*1,([1]OUT_Electricity_CHP!$C$1:$C$10000="Var_Fout")*1,ISNUMBER(SEARCH("ELC",[1]OUT_Electricity_CHP!$D$1:$D$10000))*1,[1]OUT_Electricity_CHP!L$1:L$10000)</f>
        <v>73.956372894292386</v>
      </c>
      <c r="N13" s="1" cm="1">
        <f t="array" ref="N13">SUMPRODUCT(ISNUMBER(SEARCH("EHYD-DAM",[1]OUT_Electricity_CHP!$B$1:$B$10000))*1,([1]OUT_Electricity_CHP!$C$1:$C$10000="Var_Fout")*1,ISNUMBER(SEARCH("ELC",[1]OUT_Electricity_CHP!$D$1:$D$10000))*1,[1]OUT_Electricity_CHP!M$1:M$10000)</f>
        <v>73.956376943374877</v>
      </c>
      <c r="O13" s="1" cm="1">
        <f t="array" ref="O13">SUMPRODUCT(ISNUMBER(SEARCH("EHYD-DAM",[1]OUT_Electricity_CHP!$B$1:$B$10000))*1,([1]OUT_Electricity_CHP!$C$1:$C$10000="Var_Fout")*1,ISNUMBER(SEARCH("ELC",[1]OUT_Electricity_CHP!$D$1:$D$10000))*1,[1]OUT_Electricity_CHP!N$1:N$10000)</f>
        <v>73.956432969456429</v>
      </c>
      <c r="P13" s="1" cm="1">
        <f t="array" ref="P13">SUMPRODUCT(ISNUMBER(SEARCH("EHYD-DAM",[1]OUT_Electricity_CHP!$B$1:$B$10000))*1,([1]OUT_Electricity_CHP!$C$1:$C$10000="Var_Fout")*1,ISNUMBER(SEARCH("ELC",[1]OUT_Electricity_CHP!$D$1:$D$10000))*1,[1]OUT_Electricity_CHP!O$1:O$10000)</f>
        <v>73.956436818231353</v>
      </c>
      <c r="Q13" s="1" cm="1">
        <f t="array" ref="Q13">SUMPRODUCT(ISNUMBER(SEARCH("EHYD-DAM",[1]OUT_Electricity_CHP!$B$1:$B$10000))*1,([1]OUT_Electricity_CHP!$C$1:$C$10000="Var_Fout")*1,ISNUMBER(SEARCH("ELC",[1]OUT_Electricity_CHP!$D$1:$D$10000))*1,[1]OUT_Electricity_CHP!P$1:P$10000)</f>
        <v>73.955970595593016</v>
      </c>
      <c r="S13" s="3"/>
    </row>
    <row r="14" spans="1:19" x14ac:dyDescent="0.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66.632400513568854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55.764004154854931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65.551417749832652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64.468275679026817</v>
      </c>
      <c r="J14" s="1" cm="1">
        <f t="array" ref="J14">SUMPRODUCT(ISNUMBER(SEARCH("EHYD-RUN",[1]OUT_Electricity_CHP!$B$1:$B$10000))*1,([1]OUT_Electricity_CHP!$C$1:$C$10000="Var_Fout")*1,ISNUMBER(SEARCH("ELC",[1]OUT_Electricity_CHP!$D$1:$D$10000))*1,[1]OUT_Electricity_CHP!I$1:I$10000)</f>
        <v>63.383969368795363</v>
      </c>
      <c r="K14" s="1" cm="1">
        <f t="array" ref="K14">SUMPRODUCT(ISNUMBER(SEARCH("EHYD-RUN",[1]OUT_Electricity_CHP!$B$1:$B$10000))*1,([1]OUT_Electricity_CHP!$C$1:$C$10000="Var_Fout")*1,ISNUMBER(SEARCH("ELC",[1]OUT_Electricity_CHP!$D$1:$D$10000))*1,[1]OUT_Electricity_CHP!J$1:J$10000)</f>
        <v>62.299204126580534</v>
      </c>
      <c r="L14" s="1" cm="1">
        <f t="array" ref="L14">SUMPRODUCT(ISNUMBER(SEARCH("EHYD-RUN",[1]OUT_Electricity_CHP!$B$1:$B$10000))*1,([1]OUT_Electricity_CHP!$C$1:$C$10000="Var_Fout")*1,ISNUMBER(SEARCH("ELC",[1]OUT_Electricity_CHP!$D$1:$D$10000))*1,[1]OUT_Electricity_CHP!K$1:K$10000)</f>
        <v>61.21492577383524</v>
      </c>
      <c r="M14" s="1" cm="1">
        <f t="array" ref="M14">SUMPRODUCT(ISNUMBER(SEARCH("EHYD-RUN",[1]OUT_Electricity_CHP!$B$1:$B$10000))*1,([1]OUT_Electricity_CHP!$C$1:$C$10000="Var_Fout")*1,ISNUMBER(SEARCH("ELC",[1]OUT_Electricity_CHP!$D$1:$D$10000))*1,[1]OUT_Electricity_CHP!L$1:L$10000)</f>
        <v>60.129903182655362</v>
      </c>
      <c r="N14" s="1" cm="1">
        <f t="array" ref="N14">SUMPRODUCT(ISNUMBER(SEARCH("EHYD-RUN",[1]OUT_Electricity_CHP!$B$1:$B$10000))*1,([1]OUT_Electricity_CHP!$C$1:$C$10000="Var_Fout")*1,ISNUMBER(SEARCH("ELC",[1]OUT_Electricity_CHP!$D$1:$D$10000))*1,[1]OUT_Electricity_CHP!M$1:M$10000)</f>
        <v>60.129900586362993</v>
      </c>
      <c r="O14" s="1" cm="1">
        <f t="array" ref="O14">SUMPRODUCT(ISNUMBER(SEARCH("EHYD-RUN",[1]OUT_Electricity_CHP!$B$1:$B$10000))*1,([1]OUT_Electricity_CHP!$C$1:$C$10000="Var_Fout")*1,ISNUMBER(SEARCH("ELC",[1]OUT_Electricity_CHP!$D$1:$D$10000))*1,[1]OUT_Electricity_CHP!N$1:N$10000)</f>
        <v>60.129843003729704</v>
      </c>
      <c r="P14" s="1" cm="1">
        <f t="array" ref="P14">SUMPRODUCT(ISNUMBER(SEARCH("EHYD-RUN",[1]OUT_Electricity_CHP!$B$1:$B$10000))*1,([1]OUT_Electricity_CHP!$C$1:$C$10000="Var_Fout")*1,ISNUMBER(SEARCH("ELC",[1]OUT_Electricity_CHP!$D$1:$D$10000))*1,[1]OUT_Electricity_CHP!O$1:O$10000)</f>
        <v>60.129842330749057</v>
      </c>
      <c r="Q14" s="1" cm="1">
        <f t="array" ref="Q14">SUMPRODUCT(ISNUMBER(SEARCH("EHYD-RUN",[1]OUT_Electricity_CHP!$B$1:$B$10000))*1,([1]OUT_Electricity_CHP!$C$1:$C$10000="Var_Fout")*1,ISNUMBER(SEARCH("ELC",[1]OUT_Electricity_CHP!$D$1:$D$10000))*1,[1]OUT_Electricity_CHP!P$1:P$10000)</f>
        <v>60.130335854346129</v>
      </c>
      <c r="S14" s="3"/>
    </row>
    <row r="15" spans="1:19" x14ac:dyDescent="0.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16.052414035077803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20.043398845087996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7.2480485481152455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15.923518733431001</v>
      </c>
      <c r="J15" s="1" cm="1">
        <f t="array" ref="J15">SUMPRODUCT(ISNUMBER(SEARCH("EHYD-PUM",[1]OUT_Electricity_CHP!$B$1:$B$10000))*1,([1]OUT_Electricity_CHP!$C$1:$C$10000="Var_Fin")*1,ISNUMBER(SEARCH("elc",[1]OUT_Electricity_CHP!$D$1:$D$10000))*1,[1]OUT_Electricity_CHP!I$1:I$10000)</f>
        <v>15.970124889871377</v>
      </c>
      <c r="K15" s="1" cm="1">
        <f t="array" ref="K15">SUMPRODUCT(ISNUMBER(SEARCH("EHYD-PUM",[1]OUT_Electricity_CHP!$B$1:$B$10000))*1,([1]OUT_Electricity_CHP!$C$1:$C$10000="Var_Fin")*1,ISNUMBER(SEARCH("elc",[1]OUT_Electricity_CHP!$D$1:$D$10000))*1,[1]OUT_Electricity_CHP!J$1:J$10000)</f>
        <v>16.008140850401265</v>
      </c>
      <c r="L15" s="1" cm="1">
        <f t="array" ref="L15">SUMPRODUCT(ISNUMBER(SEARCH("EHYD-PUM",[1]OUT_Electricity_CHP!$B$1:$B$10000))*1,([1]OUT_Electricity_CHP!$C$1:$C$10000="Var_Fin")*1,ISNUMBER(SEARCH("elc",[1]OUT_Electricity_CHP!$D$1:$D$10000))*1,[1]OUT_Electricity_CHP!K$1:K$10000)</f>
        <v>16.045460132269557</v>
      </c>
      <c r="M15" s="1" cm="1">
        <f t="array" ref="M15">SUMPRODUCT(ISNUMBER(SEARCH("EHYD-PUM",[1]OUT_Electricity_CHP!$B$1:$B$10000))*1,([1]OUT_Electricity_CHP!$C$1:$C$10000="Var_Fin")*1,ISNUMBER(SEARCH("elc",[1]OUT_Electricity_CHP!$D$1:$D$10000))*1,[1]OUT_Electricity_CHP!L$1:L$10000)</f>
        <v>16.086006799236031</v>
      </c>
      <c r="N15" s="1" cm="1">
        <f t="array" ref="N15">SUMPRODUCT(ISNUMBER(SEARCH("EHYD-PUM",[1]OUT_Electricity_CHP!$B$1:$B$10000))*1,([1]OUT_Electricity_CHP!$C$1:$C$10000="Var_Fin")*1,ISNUMBER(SEARCH("elc",[1]OUT_Electricity_CHP!$D$1:$D$10000))*1,[1]OUT_Electricity_CHP!M$1:M$10000)</f>
        <v>16.122859837551609</v>
      </c>
      <c r="O15" s="1" cm="1">
        <f t="array" ref="O15">SUMPRODUCT(ISNUMBER(SEARCH("EHYD-PUM",[1]OUT_Electricity_CHP!$B$1:$B$10000))*1,([1]OUT_Electricity_CHP!$C$1:$C$10000="Var_Fin")*1,ISNUMBER(SEARCH("elc",[1]OUT_Electricity_CHP!$D$1:$D$10000))*1,[1]OUT_Electricity_CHP!N$1:N$10000)</f>
        <v>16.167248749713149</v>
      </c>
      <c r="P15" s="1" cm="1">
        <f t="array" ref="P15">SUMPRODUCT(ISNUMBER(SEARCH("EHYD-PUM",[1]OUT_Electricity_CHP!$B$1:$B$10000))*1,([1]OUT_Electricity_CHP!$C$1:$C$10000="Var_Fin")*1,ISNUMBER(SEARCH("elc",[1]OUT_Electricity_CHP!$D$1:$D$10000))*1,[1]OUT_Electricity_CHP!O$1:O$10000)</f>
        <v>16.216214288474951</v>
      </c>
      <c r="Q15" s="1" cm="1">
        <f t="array" ref="Q15">SUMPRODUCT(ISNUMBER(SEARCH("EHYD-PUM",[1]OUT_Electricity_CHP!$B$1:$B$10000))*1,([1]OUT_Electricity_CHP!$C$1:$C$10000="Var_Fin")*1,ISNUMBER(SEARCH("elc",[1]OUT_Electricity_CHP!$D$1:$D$10000))*1,[1]OUT_Electricity_CHP!P$1:P$10000)</f>
        <v>16.464169748036145</v>
      </c>
      <c r="S15" s="3"/>
    </row>
    <row r="16" spans="1:19" x14ac:dyDescent="0.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12.556519064853482</v>
      </c>
      <c r="G16" s="1" cm="1">
        <f t="array" ref="G16">SUMPRODUCT(ISNUMBER(SEARCH("SOL",[1]OUT_PrimaryEnergyCons!$C$1:$C$1000))*1,[1]OUT_PrimaryEnergyCons!E$1:E$1000)</f>
        <v>16.522310718534442</v>
      </c>
      <c r="H16" s="1" cm="1">
        <f t="array" ref="H16">SUMPRODUCT(ISNUMBER(SEARCH("SOL",[1]OUT_PrimaryEnergyCons!$C$1:$C$1000))*1,[1]OUT_PrimaryEnergyCons!F$1:F$1000)</f>
        <v>32.461622337746881</v>
      </c>
      <c r="I16" s="1" cm="1">
        <f t="array" ref="I16">SUMPRODUCT(ISNUMBER(SEARCH("SOL",[1]OUT_PrimaryEnergyCons!$C$1:$C$1000))*1,[1]OUT_PrimaryEnergyCons!G$1:G$1000)</f>
        <v>54.391512754991936</v>
      </c>
      <c r="J16" s="1" cm="1">
        <f t="array" ref="J16">SUMPRODUCT(ISNUMBER(SEARCH("SOL",[1]OUT_PrimaryEnergyCons!$C$1:$C$1000))*1,[1]OUT_PrimaryEnergyCons!H$1:H$1000)</f>
        <v>57.322739727141375</v>
      </c>
      <c r="K16" s="1" cm="1">
        <f t="array" ref="K16">SUMPRODUCT(ISNUMBER(SEARCH("SOL",[1]OUT_PrimaryEnergyCons!$C$1:$C$1000))*1,[1]OUT_PrimaryEnergyCons!I$1:I$1000)</f>
        <v>59.982207730216153</v>
      </c>
      <c r="L16" s="1" cm="1">
        <f t="array" ref="L16">SUMPRODUCT(ISNUMBER(SEARCH("SOL",[1]OUT_PrimaryEnergyCons!$C$1:$C$1000))*1,[1]OUT_PrimaryEnergyCons!J$1:J$1000)</f>
        <v>62.656608924788308</v>
      </c>
      <c r="M16" s="1" cm="1">
        <f t="array" ref="M16">SUMPRODUCT(ISNUMBER(SEARCH("SOL",[1]OUT_PrimaryEnergyCons!$C$1:$C$1000))*1,[1]OUT_PrimaryEnergyCons!K$1:K$1000)</f>
        <v>65.445109124829642</v>
      </c>
      <c r="N16" s="1" cm="1">
        <f t="array" ref="N16">SUMPRODUCT(ISNUMBER(SEARCH("SOL",[1]OUT_PrimaryEnergyCons!$C$1:$C$1000))*1,[1]OUT_PrimaryEnergyCons!L$1:L$1000)</f>
        <v>68.066565779377171</v>
      </c>
      <c r="O16" s="1" cm="1">
        <f t="array" ref="O16">SUMPRODUCT(ISNUMBER(SEARCH("SOL",[1]OUT_PrimaryEnergyCons!$C$1:$C$1000))*1,[1]OUT_PrimaryEnergyCons!M$1:M$1000)</f>
        <v>71.128921885008282</v>
      </c>
      <c r="P16" s="1" cm="1">
        <f t="array" ref="P16">SUMPRODUCT(ISNUMBER(SEARCH("SOL",[1]OUT_PrimaryEnergyCons!$C$1:$C$1000))*1,[1]OUT_PrimaryEnergyCons!N$1:N$1000)</f>
        <v>74.650491637627184</v>
      </c>
      <c r="Q16" s="1" cm="1">
        <f t="array" ref="Q16">SUMPRODUCT(ISNUMBER(SEARCH("SOL",[1]OUT_PrimaryEnergyCons!$C$1:$C$1000))*1,[1]OUT_PrimaryEnergyCons!O$1:O$1000)</f>
        <v>78.992618232451747</v>
      </c>
      <c r="S16" s="3"/>
    </row>
    <row r="17" spans="1:19" x14ac:dyDescent="0.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0.52403403058392983</v>
      </c>
      <c r="G17" s="1" cm="1">
        <f t="array" ref="G17">SUMPRODUCT(ISNUMBER(SEARCH("wnd",[1]OUT_PrimaryEnergyCons!$C$1:$C$1000))*1,[1]OUT_PrimaryEnergyCons!E$1:E$1000)</f>
        <v>0.54529439211439945</v>
      </c>
      <c r="H17" s="1" cm="1">
        <f t="array" ref="H17">SUMPRODUCT(ISNUMBER(SEARCH("wnd",[1]OUT_PrimaryEnergyCons!$C$1:$C$1000))*1,[1]OUT_PrimaryEnergyCons!F$1:F$1000)</f>
        <v>0.50316710429062383</v>
      </c>
      <c r="I17" s="1" cm="1">
        <f t="array" ref="I17">SUMPRODUCT(ISNUMBER(SEARCH("wnd",[1]OUT_PrimaryEnergyCons!$C$1:$C$1000))*1,[1]OUT_PrimaryEnergyCons!G$1:G$1000)</f>
        <v>0.54660667075148972</v>
      </c>
      <c r="J17" s="1" cm="1">
        <f t="array" ref="J17">SUMPRODUCT(ISNUMBER(SEARCH("wnd",[1]OUT_PrimaryEnergyCons!$C$1:$C$1000))*1,[1]OUT_PrimaryEnergyCons!H$1:H$1000)</f>
        <v>0.54710774488177616</v>
      </c>
      <c r="K17" s="1" cm="1">
        <f t="array" ref="K17">SUMPRODUCT(ISNUMBER(SEARCH("wnd",[1]OUT_PrimaryEnergyCons!$C$1:$C$1000))*1,[1]OUT_PrimaryEnergyCons!I$1:I$1000)</f>
        <v>0.54727413321439355</v>
      </c>
      <c r="L17" s="1" cm="1">
        <f t="array" ref="L17">SUMPRODUCT(ISNUMBER(SEARCH("wnd",[1]OUT_PrimaryEnergyCons!$C$1:$C$1000))*1,[1]OUT_PrimaryEnergyCons!J$1:J$1000)</f>
        <v>0.55276816644461835</v>
      </c>
      <c r="M17" s="1" cm="1">
        <f t="array" ref="M17">SUMPRODUCT(ISNUMBER(SEARCH("wnd",[1]OUT_PrimaryEnergyCons!$C$1:$C$1000))*1,[1]OUT_PrimaryEnergyCons!K$1:K$1000)</f>
        <v>0.5528622763271972</v>
      </c>
      <c r="N17" s="1" cm="1">
        <f t="array" ref="N17">SUMPRODUCT(ISNUMBER(SEARCH("wnd",[1]OUT_PrimaryEnergyCons!$C$1:$C$1000))*1,[1]OUT_PrimaryEnergyCons!L$1:L$1000)</f>
        <v>0.55284707874449057</v>
      </c>
      <c r="O17" s="1" cm="1">
        <f t="array" ref="O17">SUMPRODUCT(ISNUMBER(SEARCH("wnd",[1]OUT_PrimaryEnergyCons!$C$1:$C$1000))*1,[1]OUT_PrimaryEnergyCons!M$1:M$1000)</f>
        <v>0.55288172003600322</v>
      </c>
      <c r="P17" s="1" cm="1">
        <f t="array" ref="P17">SUMPRODUCT(ISNUMBER(SEARCH("wnd",[1]OUT_PrimaryEnergyCons!$C$1:$C$1000))*1,[1]OUT_PrimaryEnergyCons!N$1:N$1000)</f>
        <v>0.55347091555993944</v>
      </c>
      <c r="Q17" s="1" cm="1">
        <f t="array" ref="Q17">SUMPRODUCT(ISNUMBER(SEARCH("wnd",[1]OUT_PrimaryEnergyCons!$C$1:$C$1000))*1,[1]OUT_PrimaryEnergyCons!O$1:O$1000)</f>
        <v>0.55658176955429661</v>
      </c>
      <c r="S17" s="3"/>
    </row>
    <row r="18" spans="1:19" x14ac:dyDescent="0.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18.873149273927272</v>
      </c>
      <c r="G18" s="1">
        <f>[1]Overview!C$9-G19</f>
        <v>22.214285116772967</v>
      </c>
      <c r="H18" s="1">
        <f>[1]Overview!D$9-H19</f>
        <v>26.234636902244215</v>
      </c>
      <c r="I18" s="1">
        <f>[1]Overview!E$9-I19</f>
        <v>30.738028003053515</v>
      </c>
      <c r="J18" s="1">
        <f>[1]Overview!F$9-J19</f>
        <v>39.040464008744493</v>
      </c>
      <c r="K18" s="1">
        <f>[1]Overview!G$9-K19</f>
        <v>42.044810003816288</v>
      </c>
      <c r="L18" s="1">
        <f>[1]Overview!H$9-L19</f>
        <v>43.847440648247925</v>
      </c>
      <c r="M18" s="1">
        <f>[1]Overview!I$9-M19</f>
        <v>46.927685638941277</v>
      </c>
      <c r="N18" s="1">
        <f>[1]Overview!J$9-N19</f>
        <v>49.152049978690272</v>
      </c>
      <c r="O18" s="1">
        <f>[1]Overview!K$9-O19</f>
        <v>52.347242590104699</v>
      </c>
      <c r="P18" s="1">
        <f>[1]Overview!L$9-P19</f>
        <v>54.343507548824839</v>
      </c>
      <c r="Q18" s="1">
        <f>[1]Overview!M$9-Q19</f>
        <v>55.78608166947631</v>
      </c>
      <c r="S18" s="3"/>
    </row>
    <row r="19" spans="1:19" x14ac:dyDescent="0.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+[1]Overview!F$28</f>
        <v>0</v>
      </c>
      <c r="K19" s="1">
        <f>+[1]Overview!G$28</f>
        <v>3.048067359934987E-4</v>
      </c>
      <c r="L19" s="1">
        <f>+[1]Overview!H$28</f>
        <v>3.6915764314641282E-2</v>
      </c>
      <c r="M19" s="1">
        <f>+[1]Overview!I$28</f>
        <v>7.8234486373157941E-2</v>
      </c>
      <c r="N19" s="1">
        <f>+[1]Overview!J$28</f>
        <v>0</v>
      </c>
      <c r="O19" s="1">
        <f>+[1]Overview!K$28</f>
        <v>0</v>
      </c>
      <c r="P19" s="1">
        <f>+[1]Overview!L$28</f>
        <v>0</v>
      </c>
      <c r="Q19" s="1">
        <f>+[1]Overview!M$28</f>
        <v>0</v>
      </c>
      <c r="S19" s="3"/>
    </row>
    <row r="20" spans="1:19" x14ac:dyDescent="0.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779.56723235838683</v>
      </c>
      <c r="G20" s="3">
        <f t="shared" si="13"/>
        <v>702.72573848201898</v>
      </c>
      <c r="H20" s="3">
        <f t="shared" si="13"/>
        <v>657.24607858483478</v>
      </c>
      <c r="I20" s="3">
        <f t="shared" si="13"/>
        <v>614.29915638549392</v>
      </c>
      <c r="J20" s="3">
        <f t="shared" si="13"/>
        <v>524.34695490044805</v>
      </c>
      <c r="K20" s="3">
        <f t="shared" si="13"/>
        <v>436.60099349176932</v>
      </c>
      <c r="L20" s="3">
        <f t="shared" ref="L20:O20" si="14">SUM(L21:L22,L41,L50:L51,L56)</f>
        <v>333.53269417556453</v>
      </c>
      <c r="M20" s="3">
        <f t="shared" si="14"/>
        <v>324.20675945937268</v>
      </c>
      <c r="N20" s="3">
        <f t="shared" si="14"/>
        <v>328.16836961186789</v>
      </c>
      <c r="O20" s="3">
        <f t="shared" si="14"/>
        <v>309.25191116485632</v>
      </c>
      <c r="P20" s="3">
        <f>SUM(P21:P22,P41,P50:P51,P56)</f>
        <v>293.48364105148841</v>
      </c>
      <c r="Q20" s="3">
        <f>SUM(Q21:Q22,Q41,Q50:Q51,Q56)</f>
        <v>268.87277393243647</v>
      </c>
      <c r="R20" s="1"/>
      <c r="S20" s="3"/>
    </row>
    <row r="21" spans="1:19" x14ac:dyDescent="0.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3.660005798694931</v>
      </c>
      <c r="G21" s="1" cm="1">
        <f t="array" ref="G21">SUMPRODUCT(("COA"=[1]OUT_PrimaryEnergyCons!$C$4:$C$10000)*1,[1]OUT_PrimaryEnergyCons!E$4:E$10000)</f>
        <v>3.564717920772833</v>
      </c>
      <c r="H21" s="1" cm="1">
        <f t="array" ref="H21">SUMPRODUCT(("COA"=[1]OUT_PrimaryEnergyCons!$C$4:$C$10000)*1,[1]OUT_PrimaryEnergyCons!F$4:F$10000)</f>
        <v>2.9101793072424531</v>
      </c>
      <c r="I21" s="1" cm="1">
        <f t="array" ref="I21">SUMPRODUCT(("COA"=[1]OUT_PrimaryEnergyCons!$C$4:$C$10000)*1,[1]OUT_PrimaryEnergyCons!G$4:G$10000)</f>
        <v>3.0962455558206279E-3</v>
      </c>
      <c r="J21" s="1" cm="1">
        <f t="array" ref="J21">SUMPRODUCT(("COA"=[1]OUT_PrimaryEnergyCons!$C$4:$C$10000)*1,[1]OUT_PrimaryEnergyCons!H$4:H$10000)</f>
        <v>2.2281574129933445E-3</v>
      </c>
      <c r="K21" s="1" cm="1">
        <f t="array" ref="K21">SUMPRODUCT(("COA"=[1]OUT_PrimaryEnergyCons!$C$4:$C$10000)*1,[1]OUT_PrimaryEnergyCons!I$4:I$10000)</f>
        <v>1.356355616750455E-3</v>
      </c>
      <c r="L21" s="1" cm="1">
        <f t="array" ref="L21">SUMPRODUCT(("COA"=[1]OUT_PrimaryEnergyCons!$C$4:$C$10000)*1,[1]OUT_PrimaryEnergyCons!J$4:J$10000)</f>
        <v>1.7821310339615763E-3</v>
      </c>
      <c r="M21" s="1" cm="1">
        <f t="array" ref="M21">SUMPRODUCT(("COA"=[1]OUT_PrimaryEnergyCons!$C$4:$C$10000)*1,[1]OUT_PrimaryEnergyCons!K$4:K$10000)</f>
        <v>4.4958159540471462E-3</v>
      </c>
      <c r="N21" s="1" cm="1">
        <f t="array" ref="N21">SUMPRODUCT(("COA"=[1]OUT_PrimaryEnergyCons!$C$4:$C$10000)*1,[1]OUT_PrimaryEnergyCons!L$4:L$10000)</f>
        <v>2.6600949992475072E-3</v>
      </c>
      <c r="O21" s="1" cm="1">
        <f t="array" ref="O21">SUMPRODUCT(("COA"=[1]OUT_PrimaryEnergyCons!$C$4:$C$10000)*1,[1]OUT_PrimaryEnergyCons!M$4:M$10000)</f>
        <v>4.0053278377095072E-3</v>
      </c>
      <c r="P21" s="1" cm="1">
        <f t="array" ref="P21">SUMPRODUCT(("COA"=[1]OUT_PrimaryEnergyCons!$C$4:$C$10000)*1,[1]OUT_PrimaryEnergyCons!N$4:N$10000)</f>
        <v>2.206658400013735E-3</v>
      </c>
      <c r="Q21" s="1" cm="1">
        <f t="array" ref="Q21">SUMPRODUCT(("COA"=[1]OUT_PrimaryEnergyCons!$C$4:$C$10000)*1,[1]OUT_PrimaryEnergyCons!O$4:O$10000)</f>
        <v>3.8655899619369095E-3</v>
      </c>
      <c r="S21" s="3"/>
    </row>
    <row r="22" spans="1:19" x14ac:dyDescent="0.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310.77839931089204</v>
      </c>
      <c r="G22" s="1">
        <f t="shared" ref="G22:K22" si="15">G23+G29</f>
        <v>287.25679821918175</v>
      </c>
      <c r="H22" s="1">
        <f t="shared" si="15"/>
        <v>266.23211376888565</v>
      </c>
      <c r="I22" s="1">
        <f t="shared" si="15"/>
        <v>220.49369298037516</v>
      </c>
      <c r="J22" s="1">
        <f t="shared" si="15"/>
        <v>167.55938654165689</v>
      </c>
      <c r="K22" s="1">
        <f t="shared" si="15"/>
        <v>148.6667185177165</v>
      </c>
      <c r="L22" s="1">
        <f t="shared" ref="L22:O22" si="16">L23+L29</f>
        <v>135.4214455205848</v>
      </c>
      <c r="M22" s="1">
        <f t="shared" si="16"/>
        <v>119.55423237671982</v>
      </c>
      <c r="N22" s="1">
        <f t="shared" si="16"/>
        <v>112.39659697216629</v>
      </c>
      <c r="O22" s="1">
        <f t="shared" si="16"/>
        <v>97.561558319752905</v>
      </c>
      <c r="P22" s="1">
        <f>P23+P29</f>
        <v>82.391764840175938</v>
      </c>
      <c r="Q22" s="1">
        <f>Q23+Q29</f>
        <v>68.354276063757581</v>
      </c>
      <c r="S22" s="3"/>
    </row>
    <row r="23" spans="1:19" x14ac:dyDescent="0.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303.95467549290373</v>
      </c>
      <c r="G23" s="1">
        <f t="shared" ref="G23:K23" si="20">SUM(G24:G28)</f>
        <v>280.4801691920639</v>
      </c>
      <c r="H23" s="1">
        <f t="shared" si="20"/>
        <v>257.6940950413711</v>
      </c>
      <c r="I23" s="1">
        <f t="shared" si="20"/>
        <v>207.57526822768406</v>
      </c>
      <c r="J23" s="1">
        <f t="shared" si="20"/>
        <v>155.90714738621011</v>
      </c>
      <c r="K23" s="1">
        <f t="shared" si="20"/>
        <v>137.47552175975085</v>
      </c>
      <c r="L23" s="1">
        <f t="shared" ref="L23:O23" si="21">SUM(L24:L28)</f>
        <v>124.39908004340855</v>
      </c>
      <c r="M23" s="1">
        <f t="shared" si="21"/>
        <v>108.87501714173631</v>
      </c>
      <c r="N23" s="1">
        <f t="shared" si="21"/>
        <v>101.9390561003095</v>
      </c>
      <c r="O23" s="1">
        <f t="shared" si="21"/>
        <v>87.420300466609916</v>
      </c>
      <c r="P23" s="1">
        <f>SUM(P24:P28)</f>
        <v>73.206458128771587</v>
      </c>
      <c r="Q23" s="1">
        <f>SUM(Q24:Q28)</f>
        <v>59.377758105615037</v>
      </c>
      <c r="S23" s="3"/>
    </row>
    <row r="24" spans="1:19" x14ac:dyDescent="0.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101.74110665674951</v>
      </c>
      <c r="G24" s="1" cm="1">
        <f t="array" ref="G24">SUMPRODUCT(("LFO"=[1]OUT_PrimaryEnergyCons!$C$4:$C$10000)*1,[1]OUT_PrimaryEnergyCons!E$4:E$10000)</f>
        <v>88.671108068053954</v>
      </c>
      <c r="H24" s="1" cm="1">
        <f t="array" ref="H24">SUMPRODUCT(("LFO"=[1]OUT_PrimaryEnergyCons!$C$4:$C$10000)*1,[1]OUT_PrimaryEnergyCons!F$4:F$10000)</f>
        <v>79.255544805656328</v>
      </c>
      <c r="I24" s="1" cm="1">
        <f t="array" ref="I24">SUMPRODUCT(("LFO"=[1]OUT_PrimaryEnergyCons!$C$4:$C$10000)*1,[1]OUT_PrimaryEnergyCons!G$4:G$10000)</f>
        <v>75.988057299717497</v>
      </c>
      <c r="J24" s="1" cm="1">
        <f t="array" ref="J24">SUMPRODUCT(("LFO"=[1]OUT_PrimaryEnergyCons!$C$4:$C$10000)*1,[1]OUT_PrimaryEnergyCons!H$4:H$10000)</f>
        <v>60.400542330658645</v>
      </c>
      <c r="K24" s="1" cm="1">
        <f t="array" ref="K24">SUMPRODUCT(("LFO"=[1]OUT_PrimaryEnergyCons!$C$4:$C$10000)*1,[1]OUT_PrimaryEnergyCons!I$4:I$10000)</f>
        <v>52.415912356983192</v>
      </c>
      <c r="L24" s="1" cm="1">
        <f t="array" ref="L24">SUMPRODUCT(("LFO"=[1]OUT_PrimaryEnergyCons!$C$4:$C$10000)*1,[1]OUT_PrimaryEnergyCons!J$4:J$10000)</f>
        <v>48.629784400637931</v>
      </c>
      <c r="M24" s="1" cm="1">
        <f t="array" ref="M24">SUMPRODUCT(("LFO"=[1]OUT_PrimaryEnergyCons!$C$4:$C$10000)*1,[1]OUT_PrimaryEnergyCons!K$4:K$10000)</f>
        <v>39.314087036100844</v>
      </c>
      <c r="N24" s="1" cm="1">
        <f t="array" ref="N24">SUMPRODUCT(("LFO"=[1]OUT_PrimaryEnergyCons!$C$4:$C$10000)*1,[1]OUT_PrimaryEnergyCons!L$4:L$10000)</f>
        <v>35.640262552510876</v>
      </c>
      <c r="O24" s="1" cm="1">
        <f t="array" ref="O24">SUMPRODUCT(("LFO"=[1]OUT_PrimaryEnergyCons!$C$4:$C$10000)*1,[1]OUT_PrimaryEnergyCons!M$4:M$10000)</f>
        <v>30.305656509851204</v>
      </c>
      <c r="P24" s="1" cm="1">
        <f t="array" ref="P24">SUMPRODUCT(("LFO"=[1]OUT_PrimaryEnergyCons!$C$4:$C$10000)*1,[1]OUT_PrimaryEnergyCons!N$4:N$10000)</f>
        <v>21.640347642793952</v>
      </c>
      <c r="Q24" s="1" cm="1">
        <f t="array" ref="Q24">SUMPRODUCT(("LFO"=[1]OUT_PrimaryEnergyCons!$C$4:$C$10000)*1,[1]OUT_PrimaryEnergyCons!O$4:O$10000)</f>
        <v>8.4552609324629131</v>
      </c>
      <c r="S24" s="3"/>
    </row>
    <row r="25" spans="1:19" x14ac:dyDescent="0.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2.7763728796908738</v>
      </c>
      <c r="G25" s="1" cm="1">
        <f t="array" ref="G25">SUMPRODUCT(("HFO"=[1]OUT_PrimaryEnergyCons!$C$4:$C$10000)*1,[1]OUT_PrimaryEnergyCons!E$4:E$10000)</f>
        <v>2.3070306354183776</v>
      </c>
      <c r="H25" s="1" cm="1">
        <f t="array" ref="H25">SUMPRODUCT(("HFO"=[1]OUT_PrimaryEnergyCons!$C$4:$C$10000)*1,[1]OUT_PrimaryEnergyCons!F$4:F$10000)</f>
        <v>3.2363941301427105E-3</v>
      </c>
      <c r="I25" s="1" cm="1">
        <f t="array" ref="I25">SUMPRODUCT(("HFO"=[1]OUT_PrimaryEnergyCons!$C$4:$C$10000)*1,[1]OUT_PrimaryEnergyCons!G$4:G$10000)</f>
        <v>9.1582087505070846E-4</v>
      </c>
      <c r="J25" s="1" cm="1">
        <f t="array" ref="J25">SUMPRODUCT(("HFO"=[1]OUT_PrimaryEnergyCons!$C$4:$C$10000)*1,[1]OUT_PrimaryEnergyCons!H$4:H$10000)</f>
        <v>1.4333012973887045E-3</v>
      </c>
      <c r="K25" s="1" cm="1">
        <f t="array" ref="K25">SUMPRODUCT(("HFO"=[1]OUT_PrimaryEnergyCons!$C$4:$C$10000)*1,[1]OUT_PrimaryEnergyCons!I$4:I$10000)</f>
        <v>1.2935185701310884E-3</v>
      </c>
      <c r="L25" s="1" cm="1">
        <f t="array" ref="L25">SUMPRODUCT(("HFO"=[1]OUT_PrimaryEnergyCons!$C$4:$C$10000)*1,[1]OUT_PrimaryEnergyCons!J$4:J$10000)</f>
        <v>1.4666104341367115E-3</v>
      </c>
      <c r="M25" s="1" cm="1">
        <f t="array" ref="M25">SUMPRODUCT(("HFO"=[1]OUT_PrimaryEnergyCons!$C$4:$C$10000)*1,[1]OUT_PrimaryEnergyCons!K$4:K$10000)</f>
        <v>0</v>
      </c>
      <c r="N25" s="1" cm="1">
        <f t="array" ref="N25">SUMPRODUCT(("HFO"=[1]OUT_PrimaryEnergyCons!$C$4:$C$10000)*1,[1]OUT_PrimaryEnergyCons!L$4:L$10000)</f>
        <v>0</v>
      </c>
      <c r="O25" s="1" cm="1">
        <f t="array" ref="O25">SUMPRODUCT(("HFO"=[1]OUT_PrimaryEnergyCons!$C$4:$C$10000)*1,[1]OUT_PrimaryEnergyCons!M$4:M$10000)</f>
        <v>0</v>
      </c>
      <c r="P25" s="1" cm="1">
        <f t="array" ref="P25">SUMPRODUCT(("HFO"=[1]OUT_PrimaryEnergyCons!$C$4:$C$10000)*1,[1]OUT_PrimaryEnergyCons!N$4:N$10000)</f>
        <v>0</v>
      </c>
      <c r="Q25" s="1" cm="1">
        <f t="array" ref="Q25">SUMPRODUCT(("HFO"=[1]OUT_PrimaryEnergyCons!$C$4:$C$10000)*1,[1]OUT_PrimaryEnergyCons!O$4:O$10000)</f>
        <v>0</v>
      </c>
      <c r="S25" s="3"/>
    </row>
    <row r="26" spans="1:19" x14ac:dyDescent="0.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118.5288809529289</v>
      </c>
      <c r="G26" s="1" cm="1">
        <f t="array" ref="G26">SUMPRODUCT(("DSL"=[1]OUT_PrimaryEnergyCons!$C$4:$C$10000)*1,[1]OUT_PrimaryEnergyCons!E$4:E$10000)</f>
        <v>112.14100115341488</v>
      </c>
      <c r="H26" s="1" cm="1">
        <f t="array" ref="H26">SUMPRODUCT(("DSL"=[1]OUT_PrimaryEnergyCons!$C$4:$C$10000)*1,[1]OUT_PrimaryEnergyCons!F$4:F$10000)</f>
        <v>96.825151174308772</v>
      </c>
      <c r="I26" s="1" cm="1">
        <f t="array" ref="I26">SUMPRODUCT(("DSL"=[1]OUT_PrimaryEnergyCons!$C$4:$C$10000)*1,[1]OUT_PrimaryEnergyCons!G$4:G$10000)</f>
        <v>71.54646920948494</v>
      </c>
      <c r="J26" s="1" cm="1">
        <f t="array" ref="J26">SUMPRODUCT(("DSL"=[1]OUT_PrimaryEnergyCons!$C$4:$C$10000)*1,[1]OUT_PrimaryEnergyCons!H$4:H$10000)</f>
        <v>49.533865935213193</v>
      </c>
      <c r="K26" s="1" cm="1">
        <f t="array" ref="K26">SUMPRODUCT(("DSL"=[1]OUT_PrimaryEnergyCons!$C$4:$C$10000)*1,[1]OUT_PrimaryEnergyCons!I$4:I$10000)</f>
        <v>45.512087491287112</v>
      </c>
      <c r="L26" s="1" cm="1">
        <f t="array" ref="L26">SUMPRODUCT(("DSL"=[1]OUT_PrimaryEnergyCons!$C$4:$C$10000)*1,[1]OUT_PrimaryEnergyCons!J$4:J$10000)</f>
        <v>41.921489439685004</v>
      </c>
      <c r="M26" s="1" cm="1">
        <f t="array" ref="M26">SUMPRODUCT(("DSL"=[1]OUT_PrimaryEnergyCons!$C$4:$C$10000)*1,[1]OUT_PrimaryEnergyCons!K$4:K$10000)</f>
        <v>40.41625265672387</v>
      </c>
      <c r="N26" s="1" cm="1">
        <f t="array" ref="N26">SUMPRODUCT(("DSL"=[1]OUT_PrimaryEnergyCons!$C$4:$C$10000)*1,[1]OUT_PrimaryEnergyCons!L$4:L$10000)</f>
        <v>39.822796350348717</v>
      </c>
      <c r="O26" s="1" cm="1">
        <f t="array" ref="O26">SUMPRODUCT(("DSL"=[1]OUT_PrimaryEnergyCons!$C$4:$C$10000)*1,[1]OUT_PrimaryEnergyCons!M$4:M$10000)</f>
        <v>33.216348005739462</v>
      </c>
      <c r="P26" s="1" cm="1">
        <f t="array" ref="P26">SUMPRODUCT(("DSL"=[1]OUT_PrimaryEnergyCons!$C$4:$C$10000)*1,[1]OUT_PrimaryEnergyCons!N$4:N$10000)</f>
        <v>29.481552163467459</v>
      </c>
      <c r="Q26" s="1" cm="1">
        <f t="array" ref="Q26">SUMPRODUCT(("DSL"=[1]OUT_PrimaryEnergyCons!$C$4:$C$10000)*1,[1]OUT_PrimaryEnergyCons!O$4:O$10000)</f>
        <v>29.794647562903716</v>
      </c>
      <c r="S26" s="3"/>
    </row>
    <row r="27" spans="1:19" x14ac:dyDescent="0.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79.800116501283014</v>
      </c>
      <c r="G27" s="1" cm="1">
        <f t="array" ref="G27">SUMPRODUCT(("GSL"=[1]OUT_PrimaryEnergyCons!$C$4:$C$10000)*1,[1]OUT_PrimaryEnergyCons!E$4:E$10000)</f>
        <v>75.955831102009526</v>
      </c>
      <c r="H27" s="1" cm="1">
        <f t="array" ref="H27">SUMPRODUCT(("GSL"=[1]OUT_PrimaryEnergyCons!$C$4:$C$10000)*1,[1]OUT_PrimaryEnergyCons!F$4:F$10000)</f>
        <v>79.763331139614763</v>
      </c>
      <c r="I27" s="1" cm="1">
        <f t="array" ref="I27">SUMPRODUCT(("GSL"=[1]OUT_PrimaryEnergyCons!$C$4:$C$10000)*1,[1]OUT_PrimaryEnergyCons!G$4:G$10000)</f>
        <v>58.428498520784693</v>
      </c>
      <c r="J27" s="1" cm="1">
        <f t="array" ref="J27">SUMPRODUCT(("GSL"=[1]OUT_PrimaryEnergyCons!$C$4:$C$10000)*1,[1]OUT_PrimaryEnergyCons!H$4:H$10000)</f>
        <v>44.808438265412477</v>
      </c>
      <c r="K27" s="1" cm="1">
        <f t="array" ref="K27">SUMPRODUCT(("GSL"=[1]OUT_PrimaryEnergyCons!$C$4:$C$10000)*1,[1]OUT_PrimaryEnergyCons!I$4:I$10000)</f>
        <v>38.560366241640835</v>
      </c>
      <c r="L27" s="1" cm="1">
        <f t="array" ref="L27">SUMPRODUCT(("GSL"=[1]OUT_PrimaryEnergyCons!$C$4:$C$10000)*1,[1]OUT_PrimaryEnergyCons!J$4:J$10000)</f>
        <v>33.205257240926265</v>
      </c>
      <c r="M27" s="1" cm="1">
        <f t="array" ref="M27">SUMPRODUCT(("GSL"=[1]OUT_PrimaryEnergyCons!$C$4:$C$10000)*1,[1]OUT_PrimaryEnergyCons!K$4:K$10000)</f>
        <v>28.757538875166794</v>
      </c>
      <c r="N27" s="1" cm="1">
        <f t="array" ref="N27">SUMPRODUCT(("GSL"=[1]OUT_PrimaryEnergyCons!$C$4:$C$10000)*1,[1]OUT_PrimaryEnergyCons!L$4:L$10000)</f>
        <v>26.279222318002475</v>
      </c>
      <c r="O27" s="1" cm="1">
        <f t="array" ref="O27">SUMPRODUCT(("GSL"=[1]OUT_PrimaryEnergyCons!$C$4:$C$10000)*1,[1]OUT_PrimaryEnergyCons!M$4:M$10000)</f>
        <v>23.898186030248745</v>
      </c>
      <c r="P27" s="1" cm="1">
        <f t="array" ref="P27">SUMPRODUCT(("GSL"=[1]OUT_PrimaryEnergyCons!$C$4:$C$10000)*1,[1]OUT_PrimaryEnergyCons!N$4:N$10000)</f>
        <v>22.084489880320223</v>
      </c>
      <c r="Q27" s="1" cm="1">
        <f t="array" ref="Q27">SUMPRODUCT(("GSL"=[1]OUT_PrimaryEnergyCons!$C$4:$C$10000)*1,[1]OUT_PrimaryEnergyCons!O$4:O$10000)</f>
        <v>21.127724721248338</v>
      </c>
      <c r="S27" s="3"/>
    </row>
    <row r="28" spans="1:19" x14ac:dyDescent="0.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1.1081985022514804</v>
      </c>
      <c r="G28" s="1" cm="1">
        <f t="array" ref="G28">SUMPRODUCT(("KER"=[1]OUT_PrimaryEnergyCons!$C$4:$C$10000)*1,[1]OUT_PrimaryEnergyCons!E$4:E$10000)</f>
        <v>1.4051982331671331</v>
      </c>
      <c r="H28" s="1" cm="1">
        <f t="array" ref="H28">SUMPRODUCT(("KER"=[1]OUT_PrimaryEnergyCons!$C$4:$C$10000)*1,[1]OUT_PrimaryEnergyCons!F$4:F$10000)</f>
        <v>1.8468315276611209</v>
      </c>
      <c r="I28" s="1" cm="1">
        <f t="array" ref="I28">SUMPRODUCT(("KER"=[1]OUT_PrimaryEnergyCons!$C$4:$C$10000)*1,[1]OUT_PrimaryEnergyCons!G$4:G$10000)</f>
        <v>1.6113273768218674</v>
      </c>
      <c r="J28" s="1" cm="1">
        <f t="array" ref="J28">SUMPRODUCT(("KER"=[1]OUT_PrimaryEnergyCons!$C$4:$C$10000)*1,[1]OUT_PrimaryEnergyCons!H$4:H$10000)</f>
        <v>1.1628675536284052</v>
      </c>
      <c r="K28" s="1" cm="1">
        <f t="array" ref="K28">SUMPRODUCT(("KER"=[1]OUT_PrimaryEnergyCons!$C$4:$C$10000)*1,[1]OUT_PrimaryEnergyCons!I$4:I$10000)</f>
        <v>0.98586215126959842</v>
      </c>
      <c r="L28" s="1" cm="1">
        <f t="array" ref="L28">SUMPRODUCT(("KER"=[1]OUT_PrimaryEnergyCons!$C$4:$C$10000)*1,[1]OUT_PrimaryEnergyCons!J$4:J$10000)</f>
        <v>0.64108235172521733</v>
      </c>
      <c r="M28" s="1" cm="1">
        <f t="array" ref="M28">SUMPRODUCT(("KER"=[1]OUT_PrimaryEnergyCons!$C$4:$C$10000)*1,[1]OUT_PrimaryEnergyCons!K$4:K$10000)</f>
        <v>0.38713857374479593</v>
      </c>
      <c r="N28" s="1" cm="1">
        <f t="array" ref="N28">SUMPRODUCT(("KER"=[1]OUT_PrimaryEnergyCons!$C$4:$C$10000)*1,[1]OUT_PrimaryEnergyCons!L$4:L$10000)</f>
        <v>0.19677487944744107</v>
      </c>
      <c r="O28" s="1" cm="1">
        <f t="array" ref="O28">SUMPRODUCT(("KER"=[1]OUT_PrimaryEnergyCons!$C$4:$C$10000)*1,[1]OUT_PrimaryEnergyCons!M$4:M$10000)</f>
        <v>1.099207705099201E-4</v>
      </c>
      <c r="P28" s="1" cm="1">
        <f t="array" ref="P28">SUMPRODUCT(("KER"=[1]OUT_PrimaryEnergyCons!$C$4:$C$10000)*1,[1]OUT_PrimaryEnergyCons!N$4:N$10000)</f>
        <v>6.8442189954515557E-5</v>
      </c>
      <c r="Q28" s="1" cm="1">
        <f t="array" ref="Q28">SUMPRODUCT(("KER"=[1]OUT_PrimaryEnergyCons!$C$4:$C$10000)*1,[1]OUT_PrimaryEnergyCons!O$4:O$10000)</f>
        <v>1.2488900007089188E-4</v>
      </c>
      <c r="S28" s="3"/>
    </row>
    <row r="29" spans="1:19" x14ac:dyDescent="0.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6.8237238179883164</v>
      </c>
      <c r="G29" s="1">
        <f t="shared" ref="G29:K29" si="25">SUM(G30:G32)</f>
        <v>6.7766290271178544</v>
      </c>
      <c r="H29" s="1">
        <f t="shared" si="25"/>
        <v>8.5380187275145598</v>
      </c>
      <c r="I29" s="1">
        <f t="shared" si="25"/>
        <v>12.918424752691099</v>
      </c>
      <c r="J29" s="1">
        <f t="shared" si="25"/>
        <v>11.652239155446773</v>
      </c>
      <c r="K29" s="1">
        <f t="shared" si="25"/>
        <v>11.191196757965669</v>
      </c>
      <c r="L29" s="1">
        <f t="shared" ref="L29:O29" si="26">SUM(L30:L32)</f>
        <v>11.022365477176248</v>
      </c>
      <c r="M29" s="1">
        <f t="shared" si="26"/>
        <v>10.679215234983509</v>
      </c>
      <c r="N29" s="1">
        <f t="shared" si="26"/>
        <v>10.457540871856798</v>
      </c>
      <c r="O29" s="1">
        <f t="shared" si="26"/>
        <v>10.141257853142992</v>
      </c>
      <c r="P29" s="1">
        <f>SUM(P30:P32)</f>
        <v>9.1853067114043583</v>
      </c>
      <c r="Q29" s="1">
        <f>SUM(Q30:Q32)</f>
        <v>8.9765179581425407</v>
      </c>
      <c r="S29" s="3"/>
    </row>
    <row r="30" spans="1:19" x14ac:dyDescent="0.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2.388400529941757</v>
      </c>
      <c r="G30" s="1" cm="1">
        <f t="array" ref="G30">SUMPRODUCT(ISNUMBER(SEARCH("IMPBDS",[1]OUT_SyntheticFuels!$C$4:$C$1000))*1,("Var_Fout"=[1]OUT_SyntheticFuels!$B$4:$B$1000)*1,[1]OUT_SyntheticFuels!F$4:F$1000)-G32</f>
        <v>2.3779953835266165</v>
      </c>
      <c r="H30" s="1" cm="1">
        <f t="array" ref="H30">SUMPRODUCT(ISNUMBER(SEARCH("IMPBDS",[1]OUT_SyntheticFuels!$C$4:$C$1000))*1,("Var_Fout"=[1]OUT_SyntheticFuels!$B$4:$B$1000)*1,[1]OUT_SyntheticFuels!G$4:G$1000)-H32</f>
        <v>3.9173085517904389</v>
      </c>
      <c r="I30" s="1" cm="1">
        <f t="array" ref="I30">SUMPRODUCT(ISNUMBER(SEARCH("IMPBDS",[1]OUT_SyntheticFuels!$C$4:$C$1000))*1,("Var_Fout"=[1]OUT_SyntheticFuels!$B$4:$B$1000)*1,[1]OUT_SyntheticFuels!H$4:H$1000)-I32</f>
        <v>2.3998874969914752</v>
      </c>
      <c r="J30" s="1" cm="1">
        <f t="array" ref="J30">SUMPRODUCT(ISNUMBER(SEARCH("IMPBDS",[1]OUT_SyntheticFuels!$C$4:$C$1000))*1,("Var_Fout"=[1]OUT_SyntheticFuels!$B$4:$B$1000)*1,[1]OUT_SyntheticFuels!I$4:I$1000)-J32</f>
        <v>1.8283397532424814</v>
      </c>
      <c r="K30" s="1" cm="1">
        <f t="array" ref="K30">SUMPRODUCT(ISNUMBER(SEARCH("IMPBDS",[1]OUT_SyntheticFuels!$C$4:$C$1000))*1,("Var_Fout"=[1]OUT_SyntheticFuels!$B$4:$B$1000)*1,[1]OUT_SyntheticFuels!J$4:J$1000)-K32</f>
        <v>1.8668664124470293</v>
      </c>
      <c r="L30" s="1" cm="1">
        <f t="array" ref="L30">SUMPRODUCT(ISNUMBER(SEARCH("IMPBDS",[1]OUT_SyntheticFuels!$C$4:$C$1000))*1,("Var_Fout"=[1]OUT_SyntheticFuels!$B$4:$B$1000)*1,[1]OUT_SyntheticFuels!K$4:K$1000)-L32</f>
        <v>1.7418483729144931</v>
      </c>
      <c r="M30" s="1" cm="1">
        <f t="array" ref="M30">SUMPRODUCT(ISNUMBER(SEARCH("IMPBDS",[1]OUT_SyntheticFuels!$C$4:$C$1000))*1,("Var_Fout"=[1]OUT_SyntheticFuels!$B$4:$B$1000)*1,[1]OUT_SyntheticFuels!L$4:L$1000)-M32</f>
        <v>1.500095716589362</v>
      </c>
      <c r="N30" s="1" cm="1">
        <f t="array" ref="N30">SUMPRODUCT(ISNUMBER(SEARCH("IMPBDS",[1]OUT_SyntheticFuels!$C$4:$C$1000))*1,("Var_Fout"=[1]OUT_SyntheticFuels!$B$4:$B$1000)*1,[1]OUT_SyntheticFuels!M$4:M$1000)-N32</f>
        <v>1.4158742608349995</v>
      </c>
      <c r="O30" s="1" cm="1">
        <f t="array" ref="O30">SUMPRODUCT(ISNUMBER(SEARCH("IMPBDS",[1]OUT_SyntheticFuels!$C$4:$C$1000))*1,("Var_Fout"=[1]OUT_SyntheticFuels!$B$4:$B$1000)*1,[1]OUT_SyntheticFuels!N$4:N$1000)-O32</f>
        <v>1.2050676270174145</v>
      </c>
      <c r="P30" s="1" cm="1">
        <f t="array" ref="P30">SUMPRODUCT(ISNUMBER(SEARCH("IMPBDS",[1]OUT_SyntheticFuels!$C$4:$C$1000))*1,("Var_Fout"=[1]OUT_SyntheticFuels!$B$4:$B$1000)*1,[1]OUT_SyntheticFuels!O$4:O$1000)-P32</f>
        <v>0.49872252979397214</v>
      </c>
      <c r="Q30" s="1" cm="1">
        <f t="array" ref="Q30">SUMPRODUCT(ISNUMBER(SEARCH("IMPBDS",[1]OUT_SyntheticFuels!$C$4:$C$1000))*1,("Var_Fout"=[1]OUT_SyntheticFuels!$B$4:$B$1000)*1,[1]OUT_SyntheticFuels!P$4:P$1000)-Q32</f>
        <v>0.36694109805456687</v>
      </c>
      <c r="S30" s="3"/>
    </row>
    <row r="31" spans="1:19" x14ac:dyDescent="0.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4.4341519255776722</v>
      </c>
      <c r="G31" s="1" cm="1">
        <f t="array" ref="G31">SUMPRODUCT(ISNUMBER(SEARCH("IMPeth",[1]OUT_SyntheticFuels!$C$4:$C$1000))*1,("Var_Fout"=[1]OUT_SyntheticFuels!$B$4:$B$1000)*1,[1]OUT_SyntheticFuels!F$4:F$1000)</f>
        <v>4.3986163932295153</v>
      </c>
      <c r="H31" s="1" cm="1">
        <f t="array" ref="H31">SUMPRODUCT(ISNUMBER(SEARCH("IMPeth",[1]OUT_SyntheticFuels!$C$4:$C$1000))*1,("Var_Fout"=[1]OUT_SyntheticFuels!$B$4:$B$1000)*1,[1]OUT_SyntheticFuels!G$4:G$1000)</f>
        <v>4.6186126808201786</v>
      </c>
      <c r="I31" s="1" cm="1">
        <f t="array" ref="I31">SUMPRODUCT(ISNUMBER(SEARCH("IMPeth",[1]OUT_SyntheticFuels!$C$4:$C$1000))*1,("Var_Fout"=[1]OUT_SyntheticFuels!$B$4:$B$1000)*1,[1]OUT_SyntheticFuels!H$4:H$1000)</f>
        <v>4.1109770175834157</v>
      </c>
      <c r="J31" s="1" cm="1">
        <f t="array" ref="J31">SUMPRODUCT(ISNUMBER(SEARCH("IMPeth",[1]OUT_SyntheticFuels!$C$4:$C$1000))*1,("Var_Fout"=[1]OUT_SyntheticFuels!$B$4:$B$1000)*1,[1]OUT_SyntheticFuels!I$4:I$1000)</f>
        <v>2.8918450506768658</v>
      </c>
      <c r="K31" s="1" cm="1">
        <f t="array" ref="K31">SUMPRODUCT(ISNUMBER(SEARCH("IMPeth",[1]OUT_SyntheticFuels!$C$4:$C$1000))*1,("Var_Fout"=[1]OUT_SyntheticFuels!$B$4:$B$1000)*1,[1]OUT_SyntheticFuels!J$4:J$1000)</f>
        <v>2.2334233641073076</v>
      </c>
      <c r="L31" s="1" cm="1">
        <f t="array" ref="L31">SUMPRODUCT(ISNUMBER(SEARCH("IMPeth",[1]OUT_SyntheticFuels!$C$4:$C$1000))*1,("Var_Fout"=[1]OUT_SyntheticFuels!$B$4:$B$1000)*1,[1]OUT_SyntheticFuels!K$4:K$1000)</f>
        <v>1.923267562958572</v>
      </c>
      <c r="M31" s="1" cm="1">
        <f t="array" ref="M31">SUMPRODUCT(ISNUMBER(SEARCH("IMPeth",[1]OUT_SyntheticFuels!$C$4:$C$1000))*1,("Var_Fout"=[1]OUT_SyntheticFuels!$B$4:$B$1000)*1,[1]OUT_SyntheticFuels!L$4:L$1000)</f>
        <v>1.6660200650747619</v>
      </c>
      <c r="N31" s="1" cm="1">
        <f t="array" ref="N31">SUMPRODUCT(ISNUMBER(SEARCH("IMPeth",[1]OUT_SyntheticFuels!$C$4:$C$1000))*1,("Var_Fout"=[1]OUT_SyntheticFuels!$B$4:$B$1000)*1,[1]OUT_SyntheticFuels!M$4:M$1000)</f>
        <v>1.5220630282110983</v>
      </c>
      <c r="O31" s="1" cm="1">
        <f t="array" ref="O31">SUMPRODUCT(ISNUMBER(SEARCH("IMPeth",[1]OUT_SyntheticFuels!$C$4:$C$1000))*1,("Var_Fout"=[1]OUT_SyntheticFuels!$B$4:$B$1000)*1,[1]OUT_SyntheticFuels!N$4:N$1000)</f>
        <v>1.3844675728155382</v>
      </c>
      <c r="P31" s="1" cm="1">
        <f t="array" ref="P31">SUMPRODUCT(ISNUMBER(SEARCH("IMPeth",[1]OUT_SyntheticFuels!$C$4:$C$1000))*1,("Var_Fout"=[1]OUT_SyntheticFuels!$B$4:$B$1000)*1,[1]OUT_SyntheticFuels!O$4:O$1000)</f>
        <v>1.279184724857102</v>
      </c>
      <c r="Q31" s="1" cm="1">
        <f t="array" ref="Q31">SUMPRODUCT(ISNUMBER(SEARCH("IMPeth",[1]OUT_SyntheticFuels!$C$4:$C$1000))*1,("Var_Fout"=[1]OUT_SyntheticFuels!$B$4:$B$1000)*1,[1]OUT_SyntheticFuels!P$4:P$1000)</f>
        <v>1.2243457690473214</v>
      </c>
      <c r="S31" s="3"/>
    </row>
    <row r="32" spans="1:19" x14ac:dyDescent="0.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1.1713624688869601E-3</v>
      </c>
      <c r="G32" s="1">
        <f>SUM([1]Transport_Aviation_Intl!C$12,[1]Transport!C$28)</f>
        <v>1.72503617219424E-5</v>
      </c>
      <c r="H32" s="1">
        <f>SUM([1]Transport_Aviation_Intl!D$12,[1]Transport!D$28)</f>
        <v>2.0974949039434801E-3</v>
      </c>
      <c r="I32" s="1">
        <f>SUM([1]Transport_Aviation_Intl!E$12,[1]Transport!E$28)</f>
        <v>6.4075602381162078</v>
      </c>
      <c r="J32" s="1">
        <f>SUM([1]Transport_Aviation_Intl!F$12,[1]Transport!F$28)</f>
        <v>6.9320543515274267</v>
      </c>
      <c r="K32" s="1">
        <f>SUM([1]Transport_Aviation_Intl!G$12,[1]Transport!G$28)</f>
        <v>7.0909069814113312</v>
      </c>
      <c r="L32" s="1">
        <f>SUM([1]Transport_Aviation_Intl!H$12,[1]Transport!H$28)</f>
        <v>7.3572495413031831</v>
      </c>
      <c r="M32" s="1">
        <f>SUM([1]Transport_Aviation_Intl!I$12,[1]Transport!I$28)</f>
        <v>7.5130994533193842</v>
      </c>
      <c r="N32" s="1">
        <f>SUM([1]Transport_Aviation_Intl!J$12,[1]Transport!J$28)</f>
        <v>7.5196035828107002</v>
      </c>
      <c r="O32" s="1">
        <f>SUM([1]Transport_Aviation_Intl!K$12,[1]Transport!K$28)</f>
        <v>7.5517226533100397</v>
      </c>
      <c r="P32" s="1">
        <f>SUM([1]Transport_Aviation_Intl!L$12,[1]Transport!L$28)</f>
        <v>7.4073994567532839</v>
      </c>
      <c r="Q32" s="1">
        <f>SUM([1]Transport_Aviation_Intl!M$12,[1]Transport!M$28)</f>
        <v>7.3852310910406516</v>
      </c>
      <c r="S32" s="3"/>
    </row>
    <row r="33" spans="1:19" x14ac:dyDescent="0.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6.8237238179883164</v>
      </c>
      <c r="G33" s="1">
        <f t="shared" si="27"/>
        <v>6.7766290271178544</v>
      </c>
      <c r="H33" s="1">
        <f t="shared" si="27"/>
        <v>8.5380187275145598</v>
      </c>
      <c r="I33" s="1">
        <f t="shared" si="27"/>
        <v>12.918424752691099</v>
      </c>
      <c r="J33" s="1">
        <f t="shared" si="27"/>
        <v>11.127745042035555</v>
      </c>
      <c r="K33" s="1">
        <f>SUM(K34:K36)</f>
        <v>11.032344128081764</v>
      </c>
      <c r="L33" s="1">
        <f t="shared" ref="L33:O33" si="28">SUM(L34:L36)</f>
        <v>10.756022917284398</v>
      </c>
      <c r="M33" s="1">
        <f t="shared" si="28"/>
        <v>10.523365322967308</v>
      </c>
      <c r="N33" s="1">
        <f t="shared" si="28"/>
        <v>10.451036742365481</v>
      </c>
      <c r="O33" s="1">
        <f t="shared" si="28"/>
        <v>10.109138782643653</v>
      </c>
      <c r="P33" s="1">
        <f>SUM(P34:P36)</f>
        <v>9.1853067114043583</v>
      </c>
      <c r="Q33" s="1">
        <f>SUM(Q34:Q36)</f>
        <v>8.9765179581425407</v>
      </c>
      <c r="S33" s="3"/>
    </row>
    <row r="34" spans="1:19" x14ac:dyDescent="0.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9">F30</f>
        <v>2.388400529941757</v>
      </c>
      <c r="G34" s="1">
        <f t="shared" si="29"/>
        <v>2.3779953835266165</v>
      </c>
      <c r="H34" s="1">
        <f t="shared" si="29"/>
        <v>3.9173085517904389</v>
      </c>
      <c r="I34" s="1">
        <f t="shared" si="29"/>
        <v>2.3998874969914752</v>
      </c>
      <c r="J34" s="1">
        <f>IF(J30-MAX(F30:I30)&lt;0,J30,MAX(F30:I30))</f>
        <v>1.8283397532424814</v>
      </c>
      <c r="K34" s="1">
        <f>IF(K30-MAX(F30:J30)&lt;0,K30,MAX(F30:J30))</f>
        <v>1.8668664124470293</v>
      </c>
      <c r="L34" s="1">
        <f t="shared" ref="L34:O34" si="30">IF(L30-MAX(G30:K30)&lt;0,L30,MAX(G30:K30))</f>
        <v>1.7418483729144931</v>
      </c>
      <c r="M34" s="1">
        <f t="shared" si="30"/>
        <v>1.500095716589362</v>
      </c>
      <c r="N34" s="1">
        <f t="shared" si="30"/>
        <v>1.4158742608349995</v>
      </c>
      <c r="O34" s="1">
        <f t="shared" si="30"/>
        <v>1.2050676270174145</v>
      </c>
      <c r="P34" s="1">
        <f>IF(P30-MAX(K30:O30)&lt;0,P30,MAX(K30:O30))</f>
        <v>0.49872252979397214</v>
      </c>
      <c r="Q34" s="1">
        <f>IF(Q30-MAX(L30:P30)&lt;0,Q30,MAX(L30:P30))</f>
        <v>0.36694109805456687</v>
      </c>
      <c r="S34" s="3"/>
    </row>
    <row r="35" spans="1:19" x14ac:dyDescent="0.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9"/>
        <v>4.4341519255776722</v>
      </c>
      <c r="G35" s="1">
        <f t="shared" si="29"/>
        <v>4.3986163932295153</v>
      </c>
      <c r="H35" s="1">
        <f t="shared" si="29"/>
        <v>4.6186126808201786</v>
      </c>
      <c r="I35" s="1">
        <f t="shared" si="29"/>
        <v>4.1109770175834157</v>
      </c>
      <c r="J35" s="1">
        <f>IF(J31-MAX(F31:I31)&lt;0,J31,MAX(F31:I31))</f>
        <v>2.8918450506768658</v>
      </c>
      <c r="K35" s="1">
        <f>IF(K31-MAX(F31:J31)&lt;0,K31,MAX(F31:J31))</f>
        <v>2.2334233641073076</v>
      </c>
      <c r="L35" s="1">
        <f t="shared" ref="L35:O35" si="31">IF(L31-MAX(G31:K31)&lt;0,L31,MAX(G31:K31))</f>
        <v>1.923267562958572</v>
      </c>
      <c r="M35" s="1">
        <f t="shared" si="31"/>
        <v>1.6660200650747619</v>
      </c>
      <c r="N35" s="1">
        <f t="shared" si="31"/>
        <v>1.5220630282110983</v>
      </c>
      <c r="O35" s="1">
        <f t="shared" si="31"/>
        <v>1.3844675728155382</v>
      </c>
      <c r="P35" s="1">
        <f>IF(P31-MAX(K31:O31)&lt;0,P31,MAX(K31:O31))</f>
        <v>1.279184724857102</v>
      </c>
      <c r="Q35" s="1">
        <f>IF(Q31-MAX(L31:P31)&lt;0,Q31,MAX(L31:P31))</f>
        <v>1.2243457690473214</v>
      </c>
      <c r="S35" s="3"/>
    </row>
    <row r="36" spans="1:19" x14ac:dyDescent="0.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1.1713624688869601E-3</v>
      </c>
      <c r="G36" s="1">
        <f>SUM([1]Transport!C$28,[1]Transport_Aviation_Intl!C$12)</f>
        <v>1.72503617219424E-5</v>
      </c>
      <c r="H36" s="1">
        <f>SUM([1]Transport!D$28,[1]Transport_Aviation_Intl!D$12)</f>
        <v>2.0974949039434801E-3</v>
      </c>
      <c r="I36" s="1">
        <f>SUM([1]Transport!E$28,[1]Transport_Aviation_Intl!E$12)</f>
        <v>6.4075602381162078</v>
      </c>
      <c r="J36" s="1">
        <f>IF(J32-MAX(F32:I32)&lt;0,J32,MAX(F32:I32))</f>
        <v>6.4075602381162078</v>
      </c>
      <c r="K36" s="1">
        <f>IF(K32-MAX(G32:J32)&lt;0,K32,MAX(G32:J32))</f>
        <v>6.9320543515274267</v>
      </c>
      <c r="L36" s="1">
        <f t="shared" ref="L36:O36" si="32">IF(L32-MAX(H32:K32)&lt;0,L32,MAX(H32:K32))</f>
        <v>7.0909069814113312</v>
      </c>
      <c r="M36" s="1">
        <f t="shared" si="32"/>
        <v>7.3572495413031831</v>
      </c>
      <c r="N36" s="1">
        <f t="shared" si="32"/>
        <v>7.5130994533193842</v>
      </c>
      <c r="O36" s="1">
        <f t="shared" si="32"/>
        <v>7.5196035828107002</v>
      </c>
      <c r="P36" s="1">
        <f>IF(P32-MAX(L32:O32)&lt;0,P32,MAX(L32:O32))</f>
        <v>7.4073994567532839</v>
      </c>
      <c r="Q36" s="1">
        <f>IF(Q32-MAX(M32:P32)&lt;0,Q32,MAX(M32:P32))</f>
        <v>7.3852310910406516</v>
      </c>
      <c r="S36" s="3"/>
    </row>
    <row r="37" spans="1:19" x14ac:dyDescent="0.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33">SUM(G38:G40)</f>
        <v>0</v>
      </c>
      <c r="H37" s="1">
        <f t="shared" si="33"/>
        <v>0</v>
      </c>
      <c r="I37" s="1">
        <f t="shared" si="33"/>
        <v>0</v>
      </c>
      <c r="J37" s="1">
        <f t="shared" si="33"/>
        <v>0.52449411341121888</v>
      </c>
      <c r="K37" s="1">
        <f t="shared" si="33"/>
        <v>0.15885262988390458</v>
      </c>
      <c r="L37" s="1">
        <f t="shared" ref="L37:O37" si="34">SUM(L38:L40)</f>
        <v>0.26634255989185185</v>
      </c>
      <c r="M37" s="1">
        <f t="shared" si="34"/>
        <v>0.15584991201620113</v>
      </c>
      <c r="N37" s="1">
        <f t="shared" si="34"/>
        <v>6.5041294913159575E-3</v>
      </c>
      <c r="O37" s="1">
        <f t="shared" si="34"/>
        <v>3.2119070499339486E-2</v>
      </c>
      <c r="P37" s="1">
        <f>SUM(P38:P40)</f>
        <v>0</v>
      </c>
      <c r="Q37" s="1">
        <f>SUM(Q38:Q40)</f>
        <v>0</v>
      </c>
      <c r="S37" s="3"/>
    </row>
    <row r="38" spans="1:19" x14ac:dyDescent="0.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5">J30-J34</f>
        <v>0</v>
      </c>
      <c r="K38" s="1">
        <f t="shared" si="35"/>
        <v>0</v>
      </c>
      <c r="L38" s="1">
        <f t="shared" ref="L38:O38" si="36">L30-L34</f>
        <v>0</v>
      </c>
      <c r="M38" s="1">
        <f t="shared" si="36"/>
        <v>0</v>
      </c>
      <c r="N38" s="1">
        <f t="shared" si="36"/>
        <v>0</v>
      </c>
      <c r="O38" s="1">
        <f t="shared" si="36"/>
        <v>0</v>
      </c>
      <c r="P38" s="1">
        <f t="shared" ref="P38:Q40" si="37">P30-P34</f>
        <v>0</v>
      </c>
      <c r="Q38" s="1">
        <f t="shared" si="37"/>
        <v>0</v>
      </c>
      <c r="S38" s="3"/>
    </row>
    <row r="39" spans="1:19" x14ac:dyDescent="0.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5"/>
        <v>0</v>
      </c>
      <c r="K39" s="1">
        <f t="shared" si="35"/>
        <v>0</v>
      </c>
      <c r="L39" s="1">
        <f t="shared" ref="L39:O39" si="38">L31-L35</f>
        <v>0</v>
      </c>
      <c r="M39" s="1">
        <f t="shared" si="38"/>
        <v>0</v>
      </c>
      <c r="N39" s="1">
        <f t="shared" si="38"/>
        <v>0</v>
      </c>
      <c r="O39" s="1">
        <f t="shared" si="38"/>
        <v>0</v>
      </c>
      <c r="P39" s="1">
        <f t="shared" si="37"/>
        <v>0</v>
      </c>
      <c r="Q39" s="1">
        <f t="shared" si="37"/>
        <v>0</v>
      </c>
      <c r="S39" s="3"/>
    </row>
    <row r="40" spans="1:19" x14ac:dyDescent="0.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5"/>
        <v>0.52449411341121888</v>
      </c>
      <c r="K40" s="1">
        <f t="shared" si="35"/>
        <v>0.15885262988390458</v>
      </c>
      <c r="L40" s="1">
        <f t="shared" ref="L40:O40" si="39">L32-L36</f>
        <v>0.26634255989185185</v>
      </c>
      <c r="M40" s="1">
        <f t="shared" si="39"/>
        <v>0.15584991201620113</v>
      </c>
      <c r="N40" s="1">
        <f t="shared" si="39"/>
        <v>6.5041294913159575E-3</v>
      </c>
      <c r="O40" s="1">
        <f t="shared" si="39"/>
        <v>3.2119070499339486E-2</v>
      </c>
      <c r="P40" s="1">
        <f t="shared" si="37"/>
        <v>0</v>
      </c>
      <c r="Q40" s="1">
        <f t="shared" si="37"/>
        <v>0</v>
      </c>
      <c r="S40" s="3"/>
    </row>
    <row r="41" spans="1:19" x14ac:dyDescent="0.5">
      <c r="A41" s="5" t="str">
        <f t="shared" ref="A41:C42" si="40">A28</f>
        <v>STEM</v>
      </c>
      <c r="B41" s="5" t="str">
        <f t="shared" si="40"/>
        <v>SPS1</v>
      </c>
      <c r="C41" s="5" t="str">
        <f t="shared" si="40"/>
        <v>CH</v>
      </c>
      <c r="D41" t="s">
        <v>783</v>
      </c>
      <c r="E41" t="s">
        <v>8</v>
      </c>
      <c r="F41" s="1">
        <f>F42+F45</f>
        <v>117.02060415422058</v>
      </c>
      <c r="G41" s="1">
        <f t="shared" ref="G41:K41" si="41">G42+G45</f>
        <v>107.23650075885602</v>
      </c>
      <c r="H41" s="1">
        <f t="shared" si="41"/>
        <v>113.4945058442764</v>
      </c>
      <c r="I41" s="1">
        <f t="shared" si="41"/>
        <v>121.52775060583122</v>
      </c>
      <c r="J41" s="1">
        <f t="shared" si="41"/>
        <v>126.76831989625612</v>
      </c>
      <c r="K41" s="1">
        <f t="shared" si="41"/>
        <v>128.51535276397769</v>
      </c>
      <c r="L41" s="1">
        <f t="shared" ref="L41:O41" si="42">L42+L45</f>
        <v>129.18766767904128</v>
      </c>
      <c r="M41" s="1">
        <f t="shared" si="42"/>
        <v>127.69496368315016</v>
      </c>
      <c r="N41" s="1">
        <f t="shared" si="42"/>
        <v>124.96054038736153</v>
      </c>
      <c r="O41" s="1">
        <f t="shared" si="42"/>
        <v>121.00325152126557</v>
      </c>
      <c r="P41" s="1">
        <f>P42+P45</f>
        <v>121.45101187540052</v>
      </c>
      <c r="Q41" s="1">
        <f>Q42+Q45</f>
        <v>110.64601861926062</v>
      </c>
      <c r="S41" s="3"/>
    </row>
    <row r="42" spans="1:19" x14ac:dyDescent="0.5">
      <c r="A42" s="5" t="str">
        <f t="shared" si="40"/>
        <v>STEM</v>
      </c>
      <c r="B42" s="5" t="str">
        <f t="shared" si="40"/>
        <v>SPS1</v>
      </c>
      <c r="C42" s="5" t="str">
        <f t="shared" si="40"/>
        <v>CH</v>
      </c>
      <c r="D42" t="s">
        <v>549</v>
      </c>
      <c r="E42" t="s">
        <v>8</v>
      </c>
      <c r="F42" s="1">
        <f>F43+F44</f>
        <v>117.02060415422058</v>
      </c>
      <c r="G42" s="1">
        <f t="shared" ref="G42:K42" si="43">G43+G44</f>
        <v>106.71999989703531</v>
      </c>
      <c r="H42" s="1">
        <f t="shared" si="43"/>
        <v>112.32736443706395</v>
      </c>
      <c r="I42" s="1">
        <f t="shared" si="43"/>
        <v>119.2948044386044</v>
      </c>
      <c r="J42" s="1">
        <f t="shared" si="43"/>
        <v>122.95857746889256</v>
      </c>
      <c r="K42" s="1">
        <f t="shared" si="43"/>
        <v>122.40631140647685</v>
      </c>
      <c r="L42" s="1">
        <f t="shared" ref="L42:O42" si="44">L43+L44</f>
        <v>122.78122508869221</v>
      </c>
      <c r="M42" s="1">
        <f t="shared" si="44"/>
        <v>120.82212898287223</v>
      </c>
      <c r="N42" s="1">
        <f t="shared" si="44"/>
        <v>117.86797958498677</v>
      </c>
      <c r="O42" s="1">
        <f t="shared" si="44"/>
        <v>113.5927539937622</v>
      </c>
      <c r="P42" s="1">
        <f>P43+P44</f>
        <v>113.08531081495155</v>
      </c>
      <c r="Q42" s="1">
        <f>Q43+Q44</f>
        <v>101.96120154570445</v>
      </c>
      <c r="S42" s="3"/>
    </row>
    <row r="43" spans="1:19" x14ac:dyDescent="0.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117.02060415422058</v>
      </c>
      <c r="G43" s="1" cm="1">
        <f t="array" ref="G43">SUMPRODUCT(("NGA"=[1]OUT_PrimaryEnergyCons!$C$4:$C$10000)*1,[1]OUT_PrimaryEnergyCons!E$4:E$10000)</f>
        <v>106.71999989703531</v>
      </c>
      <c r="H43" s="1" cm="1">
        <f t="array" ref="H43">SUMPRODUCT(("NGA"=[1]OUT_PrimaryEnergyCons!$C$4:$C$10000)*1,[1]OUT_PrimaryEnergyCons!F$4:F$10000)</f>
        <v>112.32736443706395</v>
      </c>
      <c r="I43" s="1" cm="1">
        <f t="array" ref="I43">SUMPRODUCT(("NGA"=[1]OUT_PrimaryEnergyCons!$C$4:$C$10000)*1,[1]OUT_PrimaryEnergyCons!G$4:G$10000)</f>
        <v>119.29382626193762</v>
      </c>
      <c r="J43" s="1" cm="1">
        <f t="array" ref="J43">SUMPRODUCT(("NGA"=[1]OUT_PrimaryEnergyCons!$C$4:$C$10000)*1,[1]OUT_PrimaryEnergyCons!H$4:H$10000)</f>
        <v>122.95686017998561</v>
      </c>
      <c r="K43" s="1" cm="1">
        <f t="array" ref="K43">SUMPRODUCT(("NGA"=[1]OUT_PrimaryEnergyCons!$C$4:$C$10000)*1,[1]OUT_PrimaryEnergyCons!I$4:I$10000)</f>
        <v>122.40471799680431</v>
      </c>
      <c r="L43" s="1" cm="1">
        <f t="array" ref="L43">SUMPRODUCT(("NGA"=[1]OUT_PrimaryEnergyCons!$C$4:$C$10000)*1,[1]OUT_PrimaryEnergyCons!J$4:J$10000)</f>
        <v>122.77954252500017</v>
      </c>
      <c r="M43" s="1" cm="1">
        <f t="array" ref="M43">SUMPRODUCT(("NGA"=[1]OUT_PrimaryEnergyCons!$C$4:$C$10000)*1,[1]OUT_PrimaryEnergyCons!K$4:K$10000)</f>
        <v>120.81855123616619</v>
      </c>
      <c r="N43" s="1" cm="1">
        <f t="array" ref="N43">SUMPRODUCT(("NGA"=[1]OUT_PrimaryEnergyCons!$C$4:$C$10000)*1,[1]OUT_PrimaryEnergyCons!L$4:L$10000)</f>
        <v>117.86614501800922</v>
      </c>
      <c r="O43" s="1" cm="1">
        <f t="array" ref="O43">SUMPRODUCT(("NGA"=[1]OUT_PrimaryEnergyCons!$C$4:$C$10000)*1,[1]OUT_PrimaryEnergyCons!M$4:M$10000)</f>
        <v>113.58921411020063</v>
      </c>
      <c r="P43" s="1" cm="1">
        <f t="array" ref="P43">SUMPRODUCT(("NGA"=[1]OUT_PrimaryEnergyCons!$C$4:$C$10000)*1,[1]OUT_PrimaryEnergyCons!N$4:N$10000)</f>
        <v>113.08251608387286</v>
      </c>
      <c r="Q43" s="1" cm="1">
        <f t="array" ref="Q43">SUMPRODUCT(("NGA"=[1]OUT_PrimaryEnergyCons!$C$4:$C$10000)*1,[1]OUT_PrimaryEnergyCons!O$4:O$10000)</f>
        <v>101.95519412387092</v>
      </c>
      <c r="S43" s="3"/>
    </row>
    <row r="44" spans="1:19" x14ac:dyDescent="0.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9.78176666779181E-4</v>
      </c>
      <c r="J44" s="1" cm="1">
        <f t="array" ref="J44">SUMPRODUCT(("LNGA"=[1]OUT_PrimaryEnergyCons!$C$4:$C$10000)*1,[1]OUT_PrimaryEnergyCons!H$4:H$10000)</f>
        <v>1.7172889069452873E-3</v>
      </c>
      <c r="K44" s="1" cm="1">
        <f t="array" ref="K44">SUMPRODUCT(("LNGA"=[1]OUT_PrimaryEnergyCons!$C$4:$C$10000)*1,[1]OUT_PrimaryEnergyCons!I$4:I$10000)</f>
        <v>1.593409672538451E-3</v>
      </c>
      <c r="L44" s="1" cm="1">
        <f t="array" ref="L44">SUMPRODUCT(("LNGA"=[1]OUT_PrimaryEnergyCons!$C$4:$C$10000)*1,[1]OUT_PrimaryEnergyCons!J$4:J$10000)</f>
        <v>1.6825636920448869E-3</v>
      </c>
      <c r="M44" s="1" cm="1">
        <f t="array" ref="M44">SUMPRODUCT(("LNGA"=[1]OUT_PrimaryEnergyCons!$C$4:$C$10000)*1,[1]OUT_PrimaryEnergyCons!K$4:K$10000)</f>
        <v>3.5777467060372687E-3</v>
      </c>
      <c r="N44" s="1" cm="1">
        <f t="array" ref="N44">SUMPRODUCT(("LNGA"=[1]OUT_PrimaryEnergyCons!$C$4:$C$10000)*1,[1]OUT_PrimaryEnergyCons!L$4:L$10000)</f>
        <v>1.8345669775439262E-3</v>
      </c>
      <c r="O44" s="1" cm="1">
        <f t="array" ref="O44">SUMPRODUCT(("LNGA"=[1]OUT_PrimaryEnergyCons!$C$4:$C$10000)*1,[1]OUT_PrimaryEnergyCons!M$4:M$10000)</f>
        <v>3.5398835615711327E-3</v>
      </c>
      <c r="P44" s="1" cm="1">
        <f t="array" ref="P44">SUMPRODUCT(("LNGA"=[1]OUT_PrimaryEnergyCons!$C$4:$C$10000)*1,[1]OUT_PrimaryEnergyCons!N$4:N$10000)</f>
        <v>2.7947310786923113E-3</v>
      </c>
      <c r="Q44" s="1" cm="1">
        <f t="array" ref="Q44">SUMPRODUCT(("LNGA"=[1]OUT_PrimaryEnergyCons!$C$4:$C$10000)*1,[1]OUT_PrimaryEnergyCons!O$4:O$10000)</f>
        <v>6.0074218335366024E-3</v>
      </c>
      <c r="S44" s="3"/>
    </row>
    <row r="45" spans="1:19" x14ac:dyDescent="0.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0.51650086182072252</v>
      </c>
      <c r="H45" s="1" cm="1">
        <f t="array" ref="H45">SUMPRODUCT(("BIO"=[1]OUT_PrimaryEnergyCons!$C$4:$C$10000)*1+("LBIO"=[1]OUT_PrimaryEnergyCons!$C$4:$C$10000)*1,[1]OUT_PrimaryEnergyCons!F$4:F$10000)</f>
        <v>1.16714140721246</v>
      </c>
      <c r="I45" s="1" cm="1">
        <f t="array" ref="I45">SUMPRODUCT(("BIO"=[1]OUT_PrimaryEnergyCons!$C$4:$C$10000)*1+("LBIO"=[1]OUT_PrimaryEnergyCons!$C$4:$C$10000)*1,[1]OUT_PrimaryEnergyCons!G$4:G$10000)</f>
        <v>2.2329461672268165</v>
      </c>
      <c r="J45" s="1" cm="1">
        <f t="array" ref="J45">SUMPRODUCT(("BIO"=[1]OUT_PrimaryEnergyCons!$C$4:$C$10000)*1+("LBIO"=[1]OUT_PrimaryEnergyCons!$C$4:$C$10000)*1,[1]OUT_PrimaryEnergyCons!H$4:H$10000)</f>
        <v>3.8097424273635574</v>
      </c>
      <c r="K45" s="1" cm="1">
        <f t="array" ref="K45">SUMPRODUCT(("BIO"=[1]OUT_PrimaryEnergyCons!$C$4:$C$10000)*1+("LBIO"=[1]OUT_PrimaryEnergyCons!$C$4:$C$10000)*1,[1]OUT_PrimaryEnergyCons!I$4:I$10000)</f>
        <v>6.109041357500856</v>
      </c>
      <c r="L45" s="1" cm="1">
        <f t="array" ref="L45">SUMPRODUCT(("BIO"=[1]OUT_PrimaryEnergyCons!$C$4:$C$10000)*1+("LBIO"=[1]OUT_PrimaryEnergyCons!$C$4:$C$10000)*1,[1]OUT_PrimaryEnergyCons!J$4:J$10000)</f>
        <v>6.4064425903490863</v>
      </c>
      <c r="M45" s="1" cm="1">
        <f t="array" ref="M45">SUMPRODUCT(("BIO"=[1]OUT_PrimaryEnergyCons!$C$4:$C$10000)*1+("LBIO"=[1]OUT_PrimaryEnergyCons!$C$4:$C$10000)*1,[1]OUT_PrimaryEnergyCons!K$4:K$10000)</f>
        <v>6.8728347002779389</v>
      </c>
      <c r="N45" s="1" cm="1">
        <f t="array" ref="N45">SUMPRODUCT(("BIO"=[1]OUT_PrimaryEnergyCons!$C$4:$C$10000)*1+("LBIO"=[1]OUT_PrimaryEnergyCons!$C$4:$C$10000)*1,[1]OUT_PrimaryEnergyCons!L$4:L$10000)</f>
        <v>7.0925608023747628</v>
      </c>
      <c r="O45" s="1" cm="1">
        <f t="array" ref="O45">SUMPRODUCT(("BIO"=[1]OUT_PrimaryEnergyCons!$C$4:$C$10000)*1+("LBIO"=[1]OUT_PrimaryEnergyCons!$C$4:$C$10000)*1,[1]OUT_PrimaryEnergyCons!M$4:M$10000)</f>
        <v>7.4104975275033711</v>
      </c>
      <c r="P45" s="1" cm="1">
        <f t="array" ref="P45">SUMPRODUCT(("BIO"=[1]OUT_PrimaryEnergyCons!$C$4:$C$10000)*1+("LBIO"=[1]OUT_PrimaryEnergyCons!$C$4:$C$10000)*1,[1]OUT_PrimaryEnergyCons!N$4:N$10000)</f>
        <v>8.3657010604489734</v>
      </c>
      <c r="Q45" s="1" cm="1">
        <f t="array" ref="Q45">SUMPRODUCT(("BIO"=[1]OUT_PrimaryEnergyCons!$C$4:$C$10000)*1+("LBIO"=[1]OUT_PrimaryEnergyCons!$C$4:$C$10000)*1,[1]OUT_PrimaryEnergyCons!O$4:O$10000)</f>
        <v>8.6848170735561627</v>
      </c>
      <c r="S45" s="3"/>
    </row>
    <row r="46" spans="1:19" x14ac:dyDescent="0.5">
      <c r="A46" s="5" t="str">
        <f t="shared" ref="A46:C47" si="45">A45</f>
        <v>STEM</v>
      </c>
      <c r="B46" s="5" t="str">
        <f t="shared" si="45"/>
        <v>SPS1</v>
      </c>
      <c r="C46" s="5" t="str">
        <f t="shared" si="45"/>
        <v>CH</v>
      </c>
      <c r="D46" t="s">
        <v>785</v>
      </c>
      <c r="E46" t="s">
        <v>8</v>
      </c>
      <c r="F46" s="1">
        <f t="shared" ref="F46:O46" si="46">F47</f>
        <v>0</v>
      </c>
      <c r="G46" s="1">
        <f t="shared" si="46"/>
        <v>0.51650086182072252</v>
      </c>
      <c r="H46" s="1">
        <f t="shared" si="46"/>
        <v>1.16714140721246</v>
      </c>
      <c r="I46" s="1">
        <f t="shared" si="46"/>
        <v>2.2329461672268165</v>
      </c>
      <c r="J46" s="1">
        <f t="shared" si="46"/>
        <v>2.2329461672268165</v>
      </c>
      <c r="K46" s="1">
        <f t="shared" si="46"/>
        <v>3.8097424273635574</v>
      </c>
      <c r="L46" s="1">
        <f t="shared" si="46"/>
        <v>6.109041357500856</v>
      </c>
      <c r="M46" s="1">
        <f t="shared" si="46"/>
        <v>6.4064425903490863</v>
      </c>
      <c r="N46" s="1">
        <f t="shared" si="46"/>
        <v>6.8728347002779389</v>
      </c>
      <c r="O46" s="1">
        <f t="shared" si="46"/>
        <v>7.0925608023747628</v>
      </c>
      <c r="P46" s="1">
        <f>P47</f>
        <v>7.4104975275033711</v>
      </c>
      <c r="Q46" s="1">
        <f>Q47</f>
        <v>8.3657010604489734</v>
      </c>
      <c r="S46" s="3"/>
    </row>
    <row r="47" spans="1:19" x14ac:dyDescent="0.5">
      <c r="A47" s="5" t="str">
        <f t="shared" si="45"/>
        <v>STEM</v>
      </c>
      <c r="B47" s="5" t="str">
        <f t="shared" si="45"/>
        <v>SPS1</v>
      </c>
      <c r="C47" s="5" t="str">
        <f t="shared" si="45"/>
        <v>CH</v>
      </c>
      <c r="D47" t="s">
        <v>611</v>
      </c>
      <c r="E47" t="s">
        <v>8</v>
      </c>
      <c r="F47" s="1">
        <f>F45</f>
        <v>0</v>
      </c>
      <c r="G47" s="1">
        <f>G45</f>
        <v>0.51650086182072252</v>
      </c>
      <c r="H47" s="1">
        <f>H45</f>
        <v>1.16714140721246</v>
      </c>
      <c r="I47" s="1">
        <f>I45</f>
        <v>2.2329461672268165</v>
      </c>
      <c r="J47" s="1">
        <f>IF(J45-MAX(F45:I45)&lt;0,J45,MAX(F45:I45))</f>
        <v>2.2329461672268165</v>
      </c>
      <c r="K47" s="1">
        <f>IF(K45-MAX(G45:J45)&lt;0,K45,MAX(G45:J45))</f>
        <v>3.8097424273635574</v>
      </c>
      <c r="L47" s="1">
        <f t="shared" ref="L47:O47" si="47">IF(L45-MAX(H45:K45)&lt;0,L45,MAX(H45:K45))</f>
        <v>6.109041357500856</v>
      </c>
      <c r="M47" s="1">
        <f t="shared" si="47"/>
        <v>6.4064425903490863</v>
      </c>
      <c r="N47" s="1">
        <f t="shared" si="47"/>
        <v>6.8728347002779389</v>
      </c>
      <c r="O47" s="1">
        <f t="shared" si="47"/>
        <v>7.0925608023747628</v>
      </c>
      <c r="P47" s="1">
        <f>IF(P45-MAX(L45:O45)&lt;0,P45,MAX(L45:O45))</f>
        <v>7.4104975275033711</v>
      </c>
      <c r="Q47" s="1">
        <f>IF(Q45-MAX(M45:P45)&lt;0,Q45,MAX(M45:P45))</f>
        <v>8.3657010604489734</v>
      </c>
      <c r="S47" s="3"/>
    </row>
    <row r="48" spans="1:19" x14ac:dyDescent="0.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O48" si="48">F49</f>
        <v>0</v>
      </c>
      <c r="G48" s="1">
        <f t="shared" si="48"/>
        <v>0</v>
      </c>
      <c r="H48" s="1">
        <f t="shared" si="48"/>
        <v>0</v>
      </c>
      <c r="I48" s="1">
        <f t="shared" si="48"/>
        <v>0</v>
      </c>
      <c r="J48" s="1">
        <f t="shared" si="48"/>
        <v>1.5767962601367409</v>
      </c>
      <c r="K48" s="1">
        <f t="shared" si="48"/>
        <v>2.2992989301372986</v>
      </c>
      <c r="L48" s="1">
        <f t="shared" si="48"/>
        <v>0.29740123284823028</v>
      </c>
      <c r="M48" s="1">
        <f t="shared" si="48"/>
        <v>0.46639210992885261</v>
      </c>
      <c r="N48" s="1">
        <f t="shared" si="48"/>
        <v>0.21972610209682397</v>
      </c>
      <c r="O48" s="1">
        <f t="shared" si="48"/>
        <v>0.31793672512860827</v>
      </c>
      <c r="P48" s="1">
        <f>P49</f>
        <v>0.95520353294560234</v>
      </c>
      <c r="Q48" s="1">
        <f>Q49</f>
        <v>0.31911601310718929</v>
      </c>
      <c r="S48" s="3"/>
    </row>
    <row r="49" spans="1:19" x14ac:dyDescent="0.5">
      <c r="A49" s="5" t="str">
        <f t="shared" ref="A49" si="49">A47</f>
        <v>STEM</v>
      </c>
      <c r="B49" s="5" t="str">
        <f t="shared" ref="B49" si="50">B47</f>
        <v>SPS1</v>
      </c>
      <c r="C49" s="5" t="str">
        <f t="shared" ref="C49" si="51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1.5767962601367409</v>
      </c>
      <c r="K49" s="1">
        <f>K45-K47</f>
        <v>2.2992989301372986</v>
      </c>
      <c r="L49" s="1">
        <f t="shared" ref="L49:O49" si="52">L45-L47</f>
        <v>0.29740123284823028</v>
      </c>
      <c r="M49" s="1">
        <f t="shared" si="52"/>
        <v>0.46639210992885261</v>
      </c>
      <c r="N49" s="1">
        <f t="shared" si="52"/>
        <v>0.21972610209682397</v>
      </c>
      <c r="O49" s="1">
        <f t="shared" si="52"/>
        <v>0.31793672512860827</v>
      </c>
      <c r="P49" s="1">
        <f>P45-P47</f>
        <v>0.95520353294560234</v>
      </c>
      <c r="Q49" s="1">
        <f>Q45-Q47</f>
        <v>0.31911601310718929</v>
      </c>
      <c r="S49" s="3"/>
    </row>
    <row r="50" spans="1:19" x14ac:dyDescent="0.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250.94822217467984</v>
      </c>
      <c r="G50" s="1" cm="1">
        <f t="array" ref="G50">SUMPRODUCT(("urn"=[1]OUT_PrimaryEnergyCons!$C$4:$C$10000)*1,[1]OUT_PrimaryEnergyCons!E$4:E$10000)</f>
        <v>254.39252495563562</v>
      </c>
      <c r="H50" s="1" cm="1">
        <f t="array" ref="H50">SUMPRODUCT(("urn"=[1]OUT_PrimaryEnergyCons!$C$4:$C$10000)*1,[1]OUT_PrimaryEnergyCons!F$4:F$10000)</f>
        <v>224.15584756872391</v>
      </c>
      <c r="I50" s="1" cm="1">
        <f t="array" ref="I50">SUMPRODUCT(("urn"=[1]OUT_PrimaryEnergyCons!$C$4:$C$10000)*1,[1]OUT_PrimaryEnergyCons!G$4:G$10000)</f>
        <v>221.52789535729715</v>
      </c>
      <c r="J50" s="1" cm="1">
        <f t="array" ref="J50">SUMPRODUCT(("urn"=[1]OUT_PrimaryEnergyCons!$C$4:$C$10000)*1,[1]OUT_PrimaryEnergyCons!H$4:H$10000)</f>
        <v>173.71236014282644</v>
      </c>
      <c r="K50" s="1" cm="1">
        <f t="array" ref="K50">SUMPRODUCT(("urn"=[1]OUT_PrimaryEnergyCons!$C$4:$C$10000)*1,[1]OUT_PrimaryEnergyCons!I$4:I$10000)</f>
        <v>100.02410055867948</v>
      </c>
      <c r="L50" s="1" cm="1">
        <f t="array" ref="L50">SUMPRODUCT(("urn"=[1]OUT_PrimaryEnergyCons!$C$4:$C$10000)*1,[1]OUT_PrimaryEnergyCons!J$4:J$10000)</f>
        <v>3.385666830003689</v>
      </c>
      <c r="M50" s="1" cm="1">
        <f t="array" ref="M50">SUMPRODUCT(("urn"=[1]OUT_PrimaryEnergyCons!$C$4:$C$10000)*1,[1]OUT_PrimaryEnergyCons!K$4:K$10000)</f>
        <v>21.582477861567501</v>
      </c>
      <c r="N50" s="1" cm="1">
        <f t="array" ref="N50">SUMPRODUCT(("urn"=[1]OUT_PrimaryEnergyCons!$C$4:$C$10000)*1,[1]OUT_PrimaryEnergyCons!L$4:L$10000)</f>
        <v>21.619862978763724</v>
      </c>
      <c r="O50" s="1" cm="1">
        <f t="array" ref="O50">SUMPRODUCT(("urn"=[1]OUT_PrimaryEnergyCons!$C$4:$C$10000)*1,[1]OUT_PrimaryEnergyCons!M$4:M$10000)</f>
        <v>21.477319190718944</v>
      </c>
      <c r="P50" s="1" cm="1">
        <f t="array" ref="P50">SUMPRODUCT(("urn"=[1]OUT_PrimaryEnergyCons!$C$4:$C$10000)*1,[1]OUT_PrimaryEnergyCons!N$4:N$10000)</f>
        <v>20.433563815377582</v>
      </c>
      <c r="Q50" s="1" cm="1">
        <f t="array" ref="Q50">SUMPRODUCT(("urn"=[1]OUT_PrimaryEnergyCons!$C$4:$C$10000)*1,[1]OUT_PrimaryEnergyCons!O$4:O$10000)</f>
        <v>20.66026260032362</v>
      </c>
      <c r="S50" s="3"/>
    </row>
    <row r="51" spans="1:19" x14ac:dyDescent="0.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97.160000919899389</v>
      </c>
      <c r="G51" s="1">
        <f t="shared" ref="G51:K51" si="53">SUM(G52:G55)</f>
        <v>50.275196627572782</v>
      </c>
      <c r="H51" s="1">
        <f t="shared" si="53"/>
        <v>50.453432095706333</v>
      </c>
      <c r="I51" s="1">
        <f t="shared" si="53"/>
        <v>50.746721196434521</v>
      </c>
      <c r="J51" s="1">
        <f t="shared" si="53"/>
        <v>56.304660162295534</v>
      </c>
      <c r="K51" s="1">
        <f t="shared" si="53"/>
        <v>59.391197610219919</v>
      </c>
      <c r="L51" s="1">
        <f t="shared" ref="L51:O51" si="54">SUM(L52:L55)</f>
        <v>65.533855810250671</v>
      </c>
      <c r="M51" s="1">
        <f t="shared" si="54"/>
        <v>55.369280735388692</v>
      </c>
      <c r="N51" s="1">
        <f t="shared" si="54"/>
        <v>69.188092951600026</v>
      </c>
      <c r="O51" s="1">
        <f t="shared" si="54"/>
        <v>69.204302900728266</v>
      </c>
      <c r="P51" s="1">
        <f>SUM(P52:P55)</f>
        <v>69.204056773035518</v>
      </c>
      <c r="Q51" s="1">
        <f>SUM(Q52:Q55)</f>
        <v>69.206011901343643</v>
      </c>
      <c r="S51" s="3"/>
    </row>
    <row r="52" spans="1:19" x14ac:dyDescent="0.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15.013805815136745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1.1620573886542708E-2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8.0952548738963907E-3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9.1139312772712568E-3</v>
      </c>
      <c r="J52" s="1" cm="1">
        <f t="array" ref="J52">SUMPRODUCT(([1]OUT_Electricity_CHP!$B$1:$B$10000="G-INTC-IMP00-AT")*1,([1]OUT_Electricity_CHP!$C$1:$C$10000="Var_Fout")*1,ISNUMBER(SEARCH("ELC",[1]OUT_Electricity_CHP!$D$1:$D$10000))*1,[1]OUT_Electricity_CHP!I$1:I$10000)</f>
        <v>6.6300166370771357E-3</v>
      </c>
      <c r="K52" s="1" cm="1">
        <f t="array" ref="K52">SUMPRODUCT(([1]OUT_Electricity_CHP!$B$1:$B$10000="G-INTC-IMP00-AT")*1,([1]OUT_Electricity_CHP!$C$1:$C$10000="Var_Fout")*1,ISNUMBER(SEARCH("ELC",[1]OUT_Electricity_CHP!$D$1:$D$10000))*1,[1]OUT_Electricity_CHP!J$1:J$10000)</f>
        <v>4.9655039591475058E-3</v>
      </c>
      <c r="L52" s="1" cm="1">
        <f t="array" ref="L52">SUMPRODUCT(([1]OUT_Electricity_CHP!$B$1:$B$10000="G-INTC-IMP00-AT")*1,([1]OUT_Electricity_CHP!$C$1:$C$10000="Var_Fout")*1,ISNUMBER(SEARCH("ELC",[1]OUT_Electricity_CHP!$D$1:$D$10000))*1,[1]OUT_Electricity_CHP!K$1:K$10000)</f>
        <v>4.5653973262731783E-3</v>
      </c>
      <c r="M52" s="1" cm="1">
        <f t="array" ref="M52">SUMPRODUCT(([1]OUT_Electricity_CHP!$B$1:$B$10000="G-INTC-IMP00-AT")*1,([1]OUT_Electricity_CHP!$C$1:$C$10000="Var_Fout")*1,ISNUMBER(SEARCH("ELC",[1]OUT_Electricity_CHP!$D$1:$D$10000))*1,[1]OUT_Electricity_CHP!L$1:L$10000)</f>
        <v>5.3604693773963907E-3</v>
      </c>
      <c r="N52" s="1" cm="1">
        <f t="array" ref="N52">SUMPRODUCT(([1]OUT_Electricity_CHP!$B$1:$B$10000="G-INTC-IMP00-AT")*1,([1]OUT_Electricity_CHP!$C$1:$C$10000="Var_Fout")*1,ISNUMBER(SEARCH("ELC",[1]OUT_Electricity_CHP!$D$1:$D$10000))*1,[1]OUT_Electricity_CHP!M$1:M$10000)</f>
        <v>5.4103646195807868E-3</v>
      </c>
      <c r="O52" s="1" cm="1">
        <f t="array" ref="O52">SUMPRODUCT(([1]OUT_Electricity_CHP!$B$1:$B$10000="G-INTC-IMP00-AT")*1,([1]OUT_Electricity_CHP!$C$1:$C$10000="Var_Fout")*1,ISNUMBER(SEARCH("ELC",[1]OUT_Electricity_CHP!$D$1:$D$10000))*1,[1]OUT_Electricity_CHP!N$1:N$10000)</f>
        <v>7.9722990110929967E-3</v>
      </c>
      <c r="P52" s="1" cm="1">
        <f t="array" ref="P52">SUMPRODUCT(([1]OUT_Electricity_CHP!$B$1:$B$10000="G-INTC-IMP00-AT")*1,([1]OUT_Electricity_CHP!$C$1:$C$10000="Var_Fout")*1,ISNUMBER(SEARCH("ELC",[1]OUT_Electricity_CHP!$D$1:$D$10000))*1,[1]OUT_Electricity_CHP!O$1:O$10000)</f>
        <v>8.11648875967305E-3</v>
      </c>
      <c r="Q52" s="1" cm="1">
        <f t="array" ref="Q52">SUMPRODUCT(([1]OUT_Electricity_CHP!$B$1:$B$10000="G-INTC-IMP00-AT")*1,([1]OUT_Electricity_CHP!$C$1:$C$10000="Var_Fout")*1,ISNUMBER(SEARCH("ELC",[1]OUT_Electricity_CHP!$D$1:$D$10000))*1,[1]OUT_Electricity_CHP!P$1:P$10000)</f>
        <v>1.2883271993904304E-2</v>
      </c>
      <c r="S52" s="3"/>
    </row>
    <row r="53" spans="1:19" x14ac:dyDescent="0.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28.948621077418558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17.829886890416205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21.482045717684951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15.105816769185767</v>
      </c>
      <c r="J53" s="1" cm="1">
        <f t="array" ref="J53">SUMPRODUCT(([1]OUT_Electricity_CHP!$B$1:$B$10000="G-INTC-IMP00-fr")*1,([1]OUT_Electricity_CHP!$C$1:$C$10000="Var_Fout")*1,ISNUMBER(SEARCH("ELC",[1]OUT_Electricity_CHP!$D$1:$D$10000))*1,[1]OUT_Electricity_CHP!I$1:I$10000)</f>
        <v>21.079035856962488</v>
      </c>
      <c r="K53" s="1" cm="1">
        <f t="array" ref="K53">SUMPRODUCT(([1]OUT_Electricity_CHP!$B$1:$B$10000="G-INTC-IMP00-fr")*1,([1]OUT_Electricity_CHP!$C$1:$C$10000="Var_Fout")*1,ISNUMBER(SEARCH("ELC",[1]OUT_Electricity_CHP!$D$1:$D$10000))*1,[1]OUT_Electricity_CHP!J$1:J$10000)</f>
        <v>29.794655575365201</v>
      </c>
      <c r="L53" s="1" cm="1">
        <f t="array" ref="L53">SUMPRODUCT(([1]OUT_Electricity_CHP!$B$1:$B$10000="G-INTC-IMP00-fr")*1,([1]OUT_Electricity_CHP!$C$1:$C$10000="Var_Fout")*1,ISNUMBER(SEARCH("ELC",[1]OUT_Electricity_CHP!$D$1:$D$10000))*1,[1]OUT_Electricity_CHP!K$1:K$10000)</f>
        <v>33.875128784246577</v>
      </c>
      <c r="M53" s="1" cm="1">
        <f t="array" ref="M53">SUMPRODUCT(([1]OUT_Electricity_CHP!$B$1:$B$10000="G-INTC-IMP00-fr")*1,([1]OUT_Electricity_CHP!$C$1:$C$10000="Var_Fout")*1,ISNUMBER(SEARCH("ELC",[1]OUT_Electricity_CHP!$D$1:$D$10000))*1,[1]OUT_Electricity_CHP!L$1:L$10000)</f>
        <v>28.459363919749673</v>
      </c>
      <c r="N53" s="1" cm="1">
        <f t="array" ref="N53">SUMPRODUCT(([1]OUT_Electricity_CHP!$B$1:$B$10000="G-INTC-IMP00-fr")*1,([1]OUT_Electricity_CHP!$C$1:$C$10000="Var_Fout")*1,ISNUMBER(SEARCH("ELC",[1]OUT_Electricity_CHP!$D$1:$D$10000))*1,[1]OUT_Electricity_CHP!M$1:M$10000)</f>
        <v>63.162437098662565</v>
      </c>
      <c r="O53" s="1" cm="1">
        <f t="array" ref="O53">SUMPRODUCT(([1]OUT_Electricity_CHP!$B$1:$B$10000="G-INTC-IMP00-fr")*1,([1]OUT_Electricity_CHP!$C$1:$C$10000="Var_Fout")*1,ISNUMBER(SEARCH("ELC",[1]OUT_Electricity_CHP!$D$1:$D$10000))*1,[1]OUT_Electricity_CHP!N$1:N$10000)</f>
        <v>69.191615162257307</v>
      </c>
      <c r="P53" s="1" cm="1">
        <f t="array" ref="P53">SUMPRODUCT(([1]OUT_Electricity_CHP!$B$1:$B$10000="G-INTC-IMP00-fr")*1,([1]OUT_Electricity_CHP!$C$1:$C$10000="Var_Fout")*1,ISNUMBER(SEARCH("ELC",[1]OUT_Electricity_CHP!$D$1:$D$10000))*1,[1]OUT_Electricity_CHP!O$1:O$10000)</f>
        <v>69.193644350197133</v>
      </c>
      <c r="Q53" s="1" cm="1">
        <f t="array" ref="Q53">SUMPRODUCT(([1]OUT_Electricity_CHP!$B$1:$B$10000="G-INTC-IMP00-fr")*1,([1]OUT_Electricity_CHP!$C$1:$C$10000="Var_Fout")*1,ISNUMBER(SEARCH("ELC",[1]OUT_Electricity_CHP!$D$1:$D$10000))*1,[1]OUT_Electricity_CHP!P$1:P$10000)</f>
        <v>69.188336859708386</v>
      </c>
      <c r="S53" s="3"/>
    </row>
    <row r="54" spans="1:19" x14ac:dyDescent="0.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46.398475558398296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32.433239892185853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28.962914111315044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35.631619927336757</v>
      </c>
      <c r="J54" s="1" cm="1">
        <f t="array" ref="J54">SUMPRODUCT(([1]OUT_Electricity_CHP!$B$1:$B$10000="G-INTC-IMP00-de")*1,([1]OUT_Electricity_CHP!$C$1:$C$10000="Var_Fout")*1,ISNUMBER(SEARCH("ELC",[1]OUT_Electricity_CHP!$D$1:$D$10000))*1,[1]OUT_Electricity_CHP!I$1:I$10000)</f>
        <v>35.218741532434144</v>
      </c>
      <c r="K54" s="1" cm="1">
        <f t="array" ref="K54">SUMPRODUCT(([1]OUT_Electricity_CHP!$B$1:$B$10000="G-INTC-IMP00-de")*1,([1]OUT_Electricity_CHP!$C$1:$C$10000="Var_Fout")*1,ISNUMBER(SEARCH("ELC",[1]OUT_Electricity_CHP!$D$1:$D$10000))*1,[1]OUT_Electricity_CHP!J$1:J$10000)</f>
        <v>29.591298312779195</v>
      </c>
      <c r="L54" s="1" cm="1">
        <f t="array" ref="L54">SUMPRODUCT(([1]OUT_Electricity_CHP!$B$1:$B$10000="G-INTC-IMP00-de")*1,([1]OUT_Electricity_CHP!$C$1:$C$10000="Var_Fout")*1,ISNUMBER(SEARCH("ELC",[1]OUT_Electricity_CHP!$D$1:$D$10000))*1,[1]OUT_Electricity_CHP!K$1:K$10000)</f>
        <v>31.653863172776603</v>
      </c>
      <c r="M54" s="1" cm="1">
        <f t="array" ref="M54">SUMPRODUCT(([1]OUT_Electricity_CHP!$B$1:$B$10000="G-INTC-IMP00-de")*1,([1]OUT_Electricity_CHP!$C$1:$C$10000="Var_Fout")*1,ISNUMBER(SEARCH("ELC",[1]OUT_Electricity_CHP!$D$1:$D$10000))*1,[1]OUT_Electricity_CHP!L$1:L$10000)</f>
        <v>26.904251354298484</v>
      </c>
      <c r="N54" s="1" cm="1">
        <f t="array" ref="N54">SUMPRODUCT(([1]OUT_Electricity_CHP!$B$1:$B$10000="G-INTC-IMP00-de")*1,([1]OUT_Electricity_CHP!$C$1:$C$10000="Var_Fout")*1,ISNUMBER(SEARCH("ELC",[1]OUT_Electricity_CHP!$D$1:$D$10000))*1,[1]OUT_Electricity_CHP!M$1:M$10000)</f>
        <v>6.0199666844384998</v>
      </c>
      <c r="O54" s="1" cm="1">
        <f t="array" ref="O54">SUMPRODUCT(([1]OUT_Electricity_CHP!$B$1:$B$10000="G-INTC-IMP00-de")*1,([1]OUT_Electricity_CHP!$C$1:$C$10000="Var_Fout")*1,ISNUMBER(SEARCH("ELC",[1]OUT_Electricity_CHP!$D$1:$D$10000))*1,[1]OUT_Electricity_CHP!N$1:N$10000)</f>
        <v>4.4188469404399895E-3</v>
      </c>
      <c r="P54" s="1" cm="1">
        <f t="array" ref="P54">SUMPRODUCT(([1]OUT_Electricity_CHP!$B$1:$B$10000="G-INTC-IMP00-de")*1,([1]OUT_Electricity_CHP!$C$1:$C$10000="Var_Fout")*1,ISNUMBER(SEARCH("ELC",[1]OUT_Electricity_CHP!$D$1:$D$10000))*1,[1]OUT_Electricity_CHP!O$1:O$10000)</f>
        <v>2.0143583182738196E-3</v>
      </c>
      <c r="Q54" s="1" cm="1">
        <f t="array" ref="Q54">SUMPRODUCT(([1]OUT_Electricity_CHP!$B$1:$B$10000="G-INTC-IMP00-de")*1,([1]OUT_Electricity_CHP!$C$1:$C$10000="Var_Fout")*1,ISNUMBER(SEARCH("ELC",[1]OUT_Electricity_CHP!$D$1:$D$10000))*1,[1]OUT_Electricity_CHP!P$1:P$10000)</f>
        <v>4.2821727803009097E-3</v>
      </c>
      <c r="S54" s="3"/>
    </row>
    <row r="55" spans="1:19" x14ac:dyDescent="0.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6.7990984689457825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4.4927108418183479E-4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3.7701183243797506E-4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1.7056863472947946E-4</v>
      </c>
      <c r="J55" s="1" cm="1">
        <f t="array" ref="J55">SUMPRODUCT(([1]OUT_Electricity_CHP!$B$1:$B$10000="G-INTC-IMP00-it")*1,([1]OUT_Electricity_CHP!$C$1:$C$10000="Var_Fout")*1,ISNUMBER(SEARCH("ELC",[1]OUT_Electricity_CHP!$D$1:$D$10000))*1,[1]OUT_Electricity_CHP!I$1:I$10000)</f>
        <v>2.5275626182611562E-4</v>
      </c>
      <c r="K55" s="1" cm="1">
        <f t="array" ref="K55">SUMPRODUCT(([1]OUT_Electricity_CHP!$B$1:$B$10000="G-INTC-IMP00-it")*1,([1]OUT_Electricity_CHP!$C$1:$C$10000="Var_Fout")*1,ISNUMBER(SEARCH("ELC",[1]OUT_Electricity_CHP!$D$1:$D$10000))*1,[1]OUT_Electricity_CHP!J$1:J$10000)</f>
        <v>2.7821811638026436E-4</v>
      </c>
      <c r="L55" s="1" cm="1">
        <f t="array" ref="L55">SUMPRODUCT(([1]OUT_Electricity_CHP!$B$1:$B$10000="G-INTC-IMP00-it")*1,([1]OUT_Electricity_CHP!$C$1:$C$10000="Var_Fout")*1,ISNUMBER(SEARCH("ELC",[1]OUT_Electricity_CHP!$D$1:$D$10000))*1,[1]OUT_Electricity_CHP!K$1:K$10000)</f>
        <v>2.9845590121461323E-4</v>
      </c>
      <c r="M55" s="1" cm="1">
        <f t="array" ref="M55">SUMPRODUCT(([1]OUT_Electricity_CHP!$B$1:$B$10000="G-INTC-IMP00-it")*1,([1]OUT_Electricity_CHP!$C$1:$C$10000="Var_Fout")*1,ISNUMBER(SEARCH("ELC",[1]OUT_Electricity_CHP!$D$1:$D$10000))*1,[1]OUT_Electricity_CHP!L$1:L$10000)</f>
        <v>3.0499196314359711E-4</v>
      </c>
      <c r="N55" s="1" cm="1">
        <f t="array" ref="N55">SUMPRODUCT(([1]OUT_Electricity_CHP!$B$1:$B$10000="G-INTC-IMP00-it")*1,([1]OUT_Electricity_CHP!$C$1:$C$10000="Var_Fout")*1,ISNUMBER(SEARCH("ELC",[1]OUT_Electricity_CHP!$D$1:$D$10000))*1,[1]OUT_Electricity_CHP!M$1:M$10000)</f>
        <v>2.788038793884994E-4</v>
      </c>
      <c r="O55" s="1" cm="1">
        <f t="array" ref="O55">SUMPRODUCT(([1]OUT_Electricity_CHP!$B$1:$B$10000="G-INTC-IMP00-it")*1,([1]OUT_Electricity_CHP!$C$1:$C$10000="Var_Fout")*1,ISNUMBER(SEARCH("ELC",[1]OUT_Electricity_CHP!$D$1:$D$10000))*1,[1]OUT_Electricity_CHP!N$1:N$10000)</f>
        <v>2.9659251943588822E-4</v>
      </c>
      <c r="P55" s="1" cm="1">
        <f t="array" ref="P55">SUMPRODUCT(([1]OUT_Electricity_CHP!$B$1:$B$10000="G-INTC-IMP00-it")*1,([1]OUT_Electricity_CHP!$C$1:$C$10000="Var_Fout")*1,ISNUMBER(SEARCH("ELC",[1]OUT_Electricity_CHP!$D$1:$D$10000))*1,[1]OUT_Electricity_CHP!O$1:O$10000)</f>
        <v>2.8157576044126389E-4</v>
      </c>
      <c r="Q55" s="1" cm="1">
        <f t="array" ref="Q55">SUMPRODUCT(([1]OUT_Electricity_CHP!$B$1:$B$10000="G-INTC-IMP00-it")*1,([1]OUT_Electricity_CHP!$C$1:$C$10000="Var_Fout")*1,ISNUMBER(SEARCH("ELC",[1]OUT_Electricity_CHP!$D$1:$D$10000))*1,[1]OUT_Electricity_CHP!P$1:P$10000)</f>
        <v>5.0959686104336309E-4</v>
      </c>
      <c r="S55" s="3"/>
    </row>
    <row r="56" spans="1:19" x14ac:dyDescent="0.5">
      <c r="A56" s="5" t="str">
        <f t="shared" ref="A56" si="55">A55</f>
        <v>STEM</v>
      </c>
      <c r="B56" s="5" t="str">
        <f t="shared" ref="B56" si="56">B55</f>
        <v>SPS1</v>
      </c>
      <c r="C56" s="5" t="str">
        <f t="shared" ref="C56" si="57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SUMPRODUCT(("h2"=[1]OUT_PrimaryEnergyCons!$C$4:$C$10000)*1,[1]OUT_PrimaryEnergyCons!H$4:H$10000)</f>
        <v>0</v>
      </c>
      <c r="K56" s="1" cm="1">
        <f t="array" ref="K56">SUMPRODUCT(("h2"=[1]OUT_PrimaryEnergyCons!$C$4:$C$10000)*1,[1]OUT_PrimaryEnergyCons!I$4:I$10000)</f>
        <v>2.2676855589104138E-3</v>
      </c>
      <c r="L56" s="1" cm="1">
        <f t="array" ref="L56">SUMPRODUCT(("h2"=[1]OUT_PrimaryEnergyCons!$C$4:$C$10000)*1,[1]OUT_PrimaryEnergyCons!J$4:J$10000)</f>
        <v>2.2762046501962167E-3</v>
      </c>
      <c r="M56" s="1" cm="1">
        <f t="array" ref="M56">SUMPRODUCT(("h2"=[1]OUT_PrimaryEnergyCons!$C$4:$C$10000)*1,[1]OUT_PrimaryEnergyCons!K$4:K$10000)</f>
        <v>1.3089865924287307E-3</v>
      </c>
      <c r="N56" s="1" cm="1">
        <f t="array" ref="N56">SUMPRODUCT(("h2"=[1]OUT_PrimaryEnergyCons!$C$4:$C$10000)*1,[1]OUT_PrimaryEnergyCons!L$4:L$10000)</f>
        <v>6.1622697707120497E-4</v>
      </c>
      <c r="O56" s="1" cm="1">
        <f t="array" ref="O56">SUMPRODUCT(("h2"=[1]OUT_PrimaryEnergyCons!$C$4:$C$10000)*1,[1]OUT_PrimaryEnergyCons!M$4:M$10000)</f>
        <v>1.4739045528837113E-3</v>
      </c>
      <c r="P56" s="1" cm="1">
        <f t="array" ref="P56">SUMPRODUCT(("h2"=[1]OUT_PrimaryEnergyCons!$C$4:$C$10000)*1,[1]OUT_PrimaryEnergyCons!N$4:N$10000)</f>
        <v>1.0370890988300793E-3</v>
      </c>
      <c r="Q56" s="1" cm="1">
        <f t="array" ref="Q56">SUMPRODUCT(("h2"=[1]OUT_PrimaryEnergyCons!$C$4:$C$10000)*1,[1]OUT_PrimaryEnergyCons!O$4:O$10000)</f>
        <v>2.3391577890773787E-3</v>
      </c>
      <c r="S56" s="3"/>
    </row>
    <row r="57" spans="1:19" x14ac:dyDescent="0.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117.17000718266576</v>
      </c>
      <c r="G57" s="3">
        <f t="shared" ref="G57:O57" si="58">G58</f>
        <v>35.819924660996776</v>
      </c>
      <c r="H57" s="3">
        <f t="shared" si="58"/>
        <v>64.431871861115511</v>
      </c>
      <c r="I57" s="3">
        <f t="shared" si="58"/>
        <v>81.826316002232105</v>
      </c>
      <c r="J57" s="3">
        <f t="shared" si="58"/>
        <v>65.694111649026979</v>
      </c>
      <c r="K57" s="3">
        <f t="shared" si="58"/>
        <v>43.590952028265612</v>
      </c>
      <c r="L57" s="3">
        <f t="shared" si="58"/>
        <v>27.482606971570846</v>
      </c>
      <c r="M57" s="3">
        <f t="shared" si="58"/>
        <v>30.211204511677185</v>
      </c>
      <c r="N57" s="3">
        <f t="shared" si="58"/>
        <v>46.723540897196699</v>
      </c>
      <c r="O57" s="3">
        <f t="shared" si="58"/>
        <v>40.626997358224912</v>
      </c>
      <c r="P57" s="3">
        <f>P58</f>
        <v>38.847034076966459</v>
      </c>
      <c r="Q57" s="3">
        <f>Q58</f>
        <v>32.390284295003916</v>
      </c>
      <c r="R57" s="1"/>
      <c r="S57" s="3"/>
    </row>
    <row r="58" spans="1:19" x14ac:dyDescent="0.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117.17000718266576</v>
      </c>
      <c r="G58" s="1">
        <f t="shared" ref="G58:K58" si="59">SUM(G59:G62)</f>
        <v>35.819924660996776</v>
      </c>
      <c r="H58" s="1">
        <f t="shared" si="59"/>
        <v>64.431871861115511</v>
      </c>
      <c r="I58" s="1">
        <f t="shared" si="59"/>
        <v>81.826316002232105</v>
      </c>
      <c r="J58" s="1">
        <f t="shared" si="59"/>
        <v>65.694111649026979</v>
      </c>
      <c r="K58" s="1">
        <f t="shared" si="59"/>
        <v>43.590952028265612</v>
      </c>
      <c r="L58" s="1">
        <f t="shared" ref="L58:O58" si="60">SUM(L59:L62)</f>
        <v>27.482606971570846</v>
      </c>
      <c r="M58" s="1">
        <f t="shared" si="60"/>
        <v>30.211204511677185</v>
      </c>
      <c r="N58" s="1">
        <f t="shared" si="60"/>
        <v>46.723540897196699</v>
      </c>
      <c r="O58" s="1">
        <f t="shared" si="60"/>
        <v>40.626997358224912</v>
      </c>
      <c r="P58" s="1">
        <f>SUM(P59:P62)</f>
        <v>38.847034076966459</v>
      </c>
      <c r="Q58" s="1">
        <f>SUM(Q59:Q62)</f>
        <v>32.390284295003916</v>
      </c>
      <c r="S58" s="3"/>
    </row>
    <row r="59" spans="1:19" x14ac:dyDescent="0.5">
      <c r="A59" s="5" t="str">
        <f t="shared" ref="A59:A63" si="61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62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6.2295586541739674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6.758635197009591E-4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1.1873939520349948E-3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1.9439926697101668E-4</v>
      </c>
      <c r="J59" s="1" cm="1">
        <f t="array" ref="J59">SUMPRODUCT(([1]OUT_Electricity_CHP!$B$1:$B$10000="G-INTC-exp00-AT")*1,([1]OUT_Electricity_CHP!$C$1:$C$10000="Var_Fout")*1,ISNUMBER(SEARCH("ELC",[1]OUT_Electricity_CHP!$D$1:$D$10000))*1,[1]OUT_Electricity_CHP!I$1:I$10000)</f>
        <v>2.4313228254253336E-4</v>
      </c>
      <c r="K59" s="1" cm="1">
        <f t="array" ref="K59">SUMPRODUCT(([1]OUT_Electricity_CHP!$B$1:$B$10000="G-INTC-exp00-AT")*1,([1]OUT_Electricity_CHP!$C$1:$C$10000="Var_Fout")*1,ISNUMBER(SEARCH("ELC",[1]OUT_Electricity_CHP!$D$1:$D$10000))*1,[1]OUT_Electricity_CHP!J$1:J$10000)</f>
        <v>2.2750247653932393E-4</v>
      </c>
      <c r="L59" s="1" cm="1">
        <f t="array" ref="L59">SUMPRODUCT(([1]OUT_Electricity_CHP!$B$1:$B$10000="G-INTC-exp00-AT")*1,([1]OUT_Electricity_CHP!$C$1:$C$10000="Var_Fout")*1,ISNUMBER(SEARCH("ELC",[1]OUT_Electricity_CHP!$D$1:$D$10000))*1,[1]OUT_Electricity_CHP!K$1:K$10000)</f>
        <v>2.1719793533314506E-4</v>
      </c>
      <c r="M59" s="1" cm="1">
        <f t="array" ref="M59">SUMPRODUCT(([1]OUT_Electricity_CHP!$B$1:$B$10000="G-INTC-exp00-AT")*1,([1]OUT_Electricity_CHP!$C$1:$C$10000="Var_Fout")*1,ISNUMBER(SEARCH("ELC",[1]OUT_Electricity_CHP!$D$1:$D$10000))*1,[1]OUT_Electricity_CHP!L$1:L$10000)</f>
        <v>1.8722801991687078E-4</v>
      </c>
      <c r="N59" s="1" cm="1">
        <f t="array" ref="N59">SUMPRODUCT(([1]OUT_Electricity_CHP!$B$1:$B$10000="G-INTC-exp00-AT")*1,([1]OUT_Electricity_CHP!$C$1:$C$10000="Var_Fout")*1,ISNUMBER(SEARCH("ELC",[1]OUT_Electricity_CHP!$D$1:$D$10000))*1,[1]OUT_Electricity_CHP!M$1:M$10000)</f>
        <v>1.9026186505036958E-4</v>
      </c>
      <c r="O59" s="1" cm="1">
        <f t="array" ref="O59">SUMPRODUCT(([1]OUT_Electricity_CHP!$B$1:$B$10000="G-INTC-exp00-AT")*1,([1]OUT_Electricity_CHP!$C$1:$C$10000="Var_Fout")*1,ISNUMBER(SEARCH("ELC",[1]OUT_Electricity_CHP!$D$1:$D$10000))*1,[1]OUT_Electricity_CHP!N$1:N$10000)</f>
        <v>2.265603112718215E-4</v>
      </c>
      <c r="P59" s="1" cm="1">
        <f t="array" ref="P59">SUMPRODUCT(([1]OUT_Electricity_CHP!$B$1:$B$10000="G-INTC-exp00-AT")*1,([1]OUT_Electricity_CHP!$C$1:$C$10000="Var_Fout")*1,ISNUMBER(SEARCH("ELC",[1]OUT_Electricity_CHP!$D$1:$D$10000))*1,[1]OUT_Electricity_CHP!O$1:O$10000)</f>
        <v>2.1941900855843076E-4</v>
      </c>
      <c r="Q59" s="1" cm="1">
        <f t="array" ref="Q59">SUMPRODUCT(([1]OUT_Electricity_CHP!$B$1:$B$10000="G-INTC-exp00-AT")*1,([1]OUT_Electricity_CHP!$C$1:$C$10000="Var_Fout")*1,ISNUMBER(SEARCH("ELC",[1]OUT_Electricity_CHP!$D$1:$D$10000))*1,[1]OUT_Electricity_CHP!P$1:P$10000)</f>
        <v>4.0704144678345287E-4</v>
      </c>
      <c r="S59" s="3"/>
    </row>
    <row r="60" spans="1:19" x14ac:dyDescent="0.5">
      <c r="A60" s="5" t="str">
        <f t="shared" si="61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62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12.753360878576474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5.1924275930652309E-4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4.8597608612085171E-4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3.1396421928374586E-4</v>
      </c>
      <c r="J60" s="1" cm="1">
        <f t="array" ref="J60">SUMPRODUCT(([1]OUT_Electricity_CHP!$B$1:$B$10000="G-INTC-exp00-fr")*1,([1]OUT_Electricity_CHP!$C$1:$C$10000="Var_Fout")*1,ISNUMBER(SEARCH("ELC",[1]OUT_Electricity_CHP!$D$1:$D$10000))*1,[1]OUT_Electricity_CHP!I$1:I$10000)</f>
        <v>5.0053589938260136E-4</v>
      </c>
      <c r="K60" s="1" cm="1">
        <f t="array" ref="K60">SUMPRODUCT(([1]OUT_Electricity_CHP!$B$1:$B$10000="G-INTC-exp00-fr")*1,([1]OUT_Electricity_CHP!$C$1:$C$10000="Var_Fout")*1,ISNUMBER(SEARCH("ELC",[1]OUT_Electricity_CHP!$D$1:$D$10000))*1,[1]OUT_Electricity_CHP!J$1:J$10000)</f>
        <v>5.065802178207859E-4</v>
      </c>
      <c r="L60" s="1" cm="1">
        <f t="array" ref="L60">SUMPRODUCT(([1]OUT_Electricity_CHP!$B$1:$B$10000="G-INTC-exp00-fr")*1,([1]OUT_Electricity_CHP!$C$1:$C$10000="Var_Fout")*1,ISNUMBER(SEARCH("ELC",[1]OUT_Electricity_CHP!$D$1:$D$10000))*1,[1]OUT_Electricity_CHP!K$1:K$10000)</f>
        <v>4.1371450436259707E-4</v>
      </c>
      <c r="M60" s="1" cm="1">
        <f t="array" ref="M60">SUMPRODUCT(([1]OUT_Electricity_CHP!$B$1:$B$10000="G-INTC-exp00-fr")*1,([1]OUT_Electricity_CHP!$C$1:$C$10000="Var_Fout")*1,ISNUMBER(SEARCH("ELC",[1]OUT_Electricity_CHP!$D$1:$D$10000))*1,[1]OUT_Electricity_CHP!L$1:L$10000)</f>
        <v>5.7781028078749558E-4</v>
      </c>
      <c r="N60" s="1" cm="1">
        <f t="array" ref="N60">SUMPRODUCT(([1]OUT_Electricity_CHP!$B$1:$B$10000="G-INTC-exp00-fr")*1,([1]OUT_Electricity_CHP!$C$1:$C$10000="Var_Fout")*1,ISNUMBER(SEARCH("ELC",[1]OUT_Electricity_CHP!$D$1:$D$10000))*1,[1]OUT_Electricity_CHP!M$1:M$10000)</f>
        <v>3.3958674050101533E-4</v>
      </c>
      <c r="O60" s="1" cm="1">
        <f t="array" ref="O60">SUMPRODUCT(([1]OUT_Electricity_CHP!$B$1:$B$10000="G-INTC-exp00-fr")*1,([1]OUT_Electricity_CHP!$C$1:$C$10000="Var_Fout")*1,ISNUMBER(SEARCH("ELC",[1]OUT_Electricity_CHP!$D$1:$D$10000))*1,[1]OUT_Electricity_CHP!N$1:N$10000)</f>
        <v>4.462869172842259E-4</v>
      </c>
      <c r="P60" s="1" cm="1">
        <f t="array" ref="P60">SUMPRODUCT(([1]OUT_Electricity_CHP!$B$1:$B$10000="G-INTC-exp00-fr")*1,([1]OUT_Electricity_CHP!$C$1:$C$10000="Var_Fout")*1,ISNUMBER(SEARCH("ELC",[1]OUT_Electricity_CHP!$D$1:$D$10000))*1,[1]OUT_Electricity_CHP!O$1:O$10000)</f>
        <v>4.1744012143691699E-4</v>
      </c>
      <c r="Q60" s="1" cm="1">
        <f t="array" ref="Q60">SUMPRODUCT(([1]OUT_Electricity_CHP!$B$1:$B$10000="G-INTC-exp00-fr")*1,([1]OUT_Electricity_CHP!$C$1:$C$10000="Var_Fout")*1,ISNUMBER(SEARCH("ELC",[1]OUT_Electricity_CHP!$D$1:$D$10000))*1,[1]OUT_Electricity_CHP!P$1:P$10000)</f>
        <v>7.7355886661036337E-4</v>
      </c>
      <c r="S60" s="3"/>
    </row>
    <row r="61" spans="1:19" x14ac:dyDescent="0.5">
      <c r="A61" s="5" t="str">
        <f t="shared" si="61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62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26.492979911879338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3.8327013483783145E-4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4.0869226548880119E-4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3.8792139159350085E-4</v>
      </c>
      <c r="J61" s="1" cm="1">
        <f t="array" ref="J61">SUMPRODUCT(([1]OUT_Electricity_CHP!$B$1:$B$10000="G-INTC-exp00-de")*1,([1]OUT_Electricity_CHP!$C$1:$C$10000="Var_Fout")*1,ISNUMBER(SEARCH("ELC",[1]OUT_Electricity_CHP!$D$1:$D$10000))*1,[1]OUT_Electricity_CHP!I$1:I$10000)</f>
        <v>5.5143441002100777E-4</v>
      </c>
      <c r="K61" s="1" cm="1">
        <f t="array" ref="K61">SUMPRODUCT(([1]OUT_Electricity_CHP!$B$1:$B$10000="G-INTC-exp00-de")*1,([1]OUT_Electricity_CHP!$C$1:$C$10000="Var_Fout")*1,ISNUMBER(SEARCH("ELC",[1]OUT_Electricity_CHP!$D$1:$D$10000))*1,[1]OUT_Electricity_CHP!J$1:J$10000)</f>
        <v>5.8981867300869823E-4</v>
      </c>
      <c r="L61" s="1" cm="1">
        <f t="array" ref="L61">SUMPRODUCT(([1]OUT_Electricity_CHP!$B$1:$B$10000="G-INTC-exp00-de")*1,([1]OUT_Electricity_CHP!$C$1:$C$10000="Var_Fout")*1,ISNUMBER(SEARCH("ELC",[1]OUT_Electricity_CHP!$D$1:$D$10000))*1,[1]OUT_Electricity_CHP!K$1:K$10000)</f>
        <v>5.0878149528997519E-4</v>
      </c>
      <c r="M61" s="1" cm="1">
        <f t="array" ref="M61">SUMPRODUCT(([1]OUT_Electricity_CHP!$B$1:$B$10000="G-INTC-exp00-de")*1,([1]OUT_Electricity_CHP!$C$1:$C$10000="Var_Fout")*1,ISNUMBER(SEARCH("ELC",[1]OUT_Electricity_CHP!$D$1:$D$10000))*1,[1]OUT_Electricity_CHP!L$1:L$10000)</f>
        <v>4.6400034598323046E-4</v>
      </c>
      <c r="N61" s="1" cm="1">
        <f t="array" ref="N61">SUMPRODUCT(([1]OUT_Electricity_CHP!$B$1:$B$10000="G-INTC-exp00-de")*1,([1]OUT_Electricity_CHP!$C$1:$C$10000="Var_Fout")*1,ISNUMBER(SEARCH("ELC",[1]OUT_Electricity_CHP!$D$1:$D$10000))*1,[1]OUT_Electricity_CHP!M$1:M$10000)</f>
        <v>3.3033443638172936E-4</v>
      </c>
      <c r="O61" s="1" cm="1">
        <f t="array" ref="O61">SUMPRODUCT(([1]OUT_Electricity_CHP!$B$1:$B$10000="G-INTC-exp00-de")*1,([1]OUT_Electricity_CHP!$C$1:$C$10000="Var_Fout")*1,ISNUMBER(SEARCH("ELC",[1]OUT_Electricity_CHP!$D$1:$D$10000))*1,[1]OUT_Electricity_CHP!N$1:N$10000)</f>
        <v>5.8013712218153604E-4</v>
      </c>
      <c r="P61" s="1" cm="1">
        <f t="array" ref="P61">SUMPRODUCT(([1]OUT_Electricity_CHP!$B$1:$B$10000="G-INTC-exp00-de")*1,([1]OUT_Electricity_CHP!$C$1:$C$10000="Var_Fout")*1,ISNUMBER(SEARCH("ELC",[1]OUT_Electricity_CHP!$D$1:$D$10000))*1,[1]OUT_Electricity_CHP!O$1:O$10000)</f>
        <v>5.7231052626658676E-4</v>
      </c>
      <c r="Q61" s="1" cm="1">
        <f t="array" ref="Q61">SUMPRODUCT(([1]OUT_Electricity_CHP!$B$1:$B$10000="G-INTC-exp00-de")*1,([1]OUT_Electricity_CHP!$C$1:$C$10000="Var_Fout")*1,ISNUMBER(SEARCH("ELC",[1]OUT_Electricity_CHP!$D$1:$D$10000))*1,[1]OUT_Electricity_CHP!P$1:P$10000)</f>
        <v>1.0902148007127632E-3</v>
      </c>
      <c r="S61" s="3"/>
    </row>
    <row r="62" spans="1:19" x14ac:dyDescent="0.5">
      <c r="A62" s="5" t="str">
        <f t="shared" si="61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62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71.694107738035981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35.81834628458293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64.429789798811868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81.825419717354251</v>
      </c>
      <c r="J62" s="1" cm="1">
        <f t="array" ref="J62">SUMPRODUCT(([1]OUT_Electricity_CHP!$B$1:$B$10000="G-INTC-exp00-it")*1,([1]OUT_Electricity_CHP!$C$1:$C$10000="Var_Fout")*1,ISNUMBER(SEARCH("ELC",[1]OUT_Electricity_CHP!$D$1:$D$10000))*1,[1]OUT_Electricity_CHP!I$1:I$10000)</f>
        <v>65.69281654643504</v>
      </c>
      <c r="K62" s="1" cm="1">
        <f t="array" ref="K62">SUMPRODUCT(([1]OUT_Electricity_CHP!$B$1:$B$10000="G-INTC-exp00-it")*1,([1]OUT_Electricity_CHP!$C$1:$C$10000="Var_Fout")*1,ISNUMBER(SEARCH("ELC",[1]OUT_Electricity_CHP!$D$1:$D$10000))*1,[1]OUT_Electricity_CHP!J$1:J$10000)</f>
        <v>43.589628126898241</v>
      </c>
      <c r="L62" s="1" cm="1">
        <f t="array" ref="L62">SUMPRODUCT(([1]OUT_Electricity_CHP!$B$1:$B$10000="G-INTC-exp00-it")*1,([1]OUT_Electricity_CHP!$C$1:$C$10000="Var_Fout")*1,ISNUMBER(SEARCH("ELC",[1]OUT_Electricity_CHP!$D$1:$D$10000))*1,[1]OUT_Electricity_CHP!K$1:K$10000)</f>
        <v>27.481467277635861</v>
      </c>
      <c r="M62" s="1" cm="1">
        <f t="array" ref="M62">SUMPRODUCT(([1]OUT_Electricity_CHP!$B$1:$B$10000="G-INTC-exp00-it")*1,([1]OUT_Electricity_CHP!$C$1:$C$10000="Var_Fout")*1,ISNUMBER(SEARCH("ELC",[1]OUT_Electricity_CHP!$D$1:$D$10000))*1,[1]OUT_Electricity_CHP!L$1:L$10000)</f>
        <v>30.209975473030497</v>
      </c>
      <c r="N62" s="1" cm="1">
        <f t="array" ref="N62">SUMPRODUCT(([1]OUT_Electricity_CHP!$B$1:$B$10000="G-INTC-exp00-it")*1,([1]OUT_Electricity_CHP!$C$1:$C$10000="Var_Fout")*1,ISNUMBER(SEARCH("ELC",[1]OUT_Electricity_CHP!$D$1:$D$10000))*1,[1]OUT_Electricity_CHP!M$1:M$10000)</f>
        <v>46.722680714154762</v>
      </c>
      <c r="O62" s="1" cm="1">
        <f t="array" ref="O62">SUMPRODUCT(([1]OUT_Electricity_CHP!$B$1:$B$10000="G-INTC-exp00-it")*1,([1]OUT_Electricity_CHP!$C$1:$C$10000="Var_Fout")*1,ISNUMBER(SEARCH("ELC",[1]OUT_Electricity_CHP!$D$1:$D$10000))*1,[1]OUT_Electricity_CHP!N$1:N$10000)</f>
        <v>40.625744373874177</v>
      </c>
      <c r="P62" s="1" cm="1">
        <f t="array" ref="P62">SUMPRODUCT(([1]OUT_Electricity_CHP!$B$1:$B$10000="G-INTC-exp00-it")*1,([1]OUT_Electricity_CHP!$C$1:$C$10000="Var_Fout")*1,ISNUMBER(SEARCH("ELC",[1]OUT_Electricity_CHP!$D$1:$D$10000))*1,[1]OUT_Electricity_CHP!O$1:O$10000)</f>
        <v>38.845824907310195</v>
      </c>
      <c r="Q62" s="1" cm="1">
        <f t="array" ref="Q62">SUMPRODUCT(([1]OUT_Electricity_CHP!$B$1:$B$10000="G-INTC-exp00-it")*1,([1]OUT_Electricity_CHP!$C$1:$C$10000="Var_Fout")*1,ISNUMBER(SEARCH("ELC",[1]OUT_Electricity_CHP!$D$1:$D$10000))*1,[1]OUT_Electricity_CHP!P$1:P$10000)</f>
        <v>32.388013479889807</v>
      </c>
      <c r="S62" s="3"/>
    </row>
    <row r="63" spans="1:19" x14ac:dyDescent="0.5">
      <c r="A63" s="9" t="str">
        <f t="shared" si="61"/>
        <v>STEM</v>
      </c>
      <c r="B63" s="9" t="str">
        <f t="shared" ref="B63:B64" si="63">B62</f>
        <v>SPS1</v>
      </c>
      <c r="C63" s="2" t="str">
        <f t="shared" ref="C63:C64" si="64">C62</f>
        <v>CH</v>
      </c>
      <c r="D63" s="2" t="s">
        <v>29</v>
      </c>
      <c r="E63" s="2" t="s">
        <v>8</v>
      </c>
      <c r="F63" s="3">
        <f>SUM(F64,F66,F70,F82,F130,F151,F159,F161,F169,F173,F167)</f>
        <v>251.16745678821258</v>
      </c>
      <c r="G63" s="3">
        <f t="shared" ref="G63:K63" si="65">SUM(G64,G66,G74,G82,G130,G151,G159,G161,G169,G173,G167)</f>
        <v>229.64287513899953</v>
      </c>
      <c r="H63" s="3">
        <f t="shared" si="65"/>
        <v>255.07846449578057</v>
      </c>
      <c r="I63" s="3">
        <f t="shared" si="65"/>
        <v>289.86389606708553</v>
      </c>
      <c r="J63" s="3">
        <f t="shared" si="65"/>
        <v>279.73426289174705</v>
      </c>
      <c r="K63" s="3">
        <f t="shared" si="65"/>
        <v>259.65653856792824</v>
      </c>
      <c r="L63" s="3">
        <f t="shared" ref="L63:O63" si="66">SUM(L64,L66,L74,L82,L130,L151,L159,L161,L169,L173,L167)</f>
        <v>235.40390722880881</v>
      </c>
      <c r="M63" s="3">
        <f t="shared" si="66"/>
        <v>247.81591436167028</v>
      </c>
      <c r="N63" s="3">
        <f t="shared" si="66"/>
        <v>252.21755858053123</v>
      </c>
      <c r="O63" s="3">
        <f t="shared" si="66"/>
        <v>257.39264780676859</v>
      </c>
      <c r="P63" s="3">
        <f>SUM(P64,P66,P74,P82,P130,P151,P159,P161,P169,P173,P167)</f>
        <v>261.16721768978334</v>
      </c>
      <c r="Q63" s="3">
        <f>SUM(Q64,Q66,Q74,Q82,Q130,Q151,Q159,Q161,Q169,Q173,Q167)</f>
        <v>265.88566329962896</v>
      </c>
      <c r="S63" s="3"/>
    </row>
    <row r="64" spans="1:19" x14ac:dyDescent="0.5">
      <c r="A64" s="5" t="str">
        <f>A63</f>
        <v>STEM</v>
      </c>
      <c r="B64" s="5" t="str">
        <f t="shared" si="63"/>
        <v>SPS1</v>
      </c>
      <c r="C64" s="5" t="str">
        <f t="shared" si="64"/>
        <v>CH</v>
      </c>
      <c r="D64" t="s">
        <v>791</v>
      </c>
      <c r="E64" t="str">
        <f>E62</f>
        <v>PJ/yr.</v>
      </c>
      <c r="F64" s="1">
        <f>+F65</f>
        <v>82.760006147636844</v>
      </c>
      <c r="G64" s="1">
        <f t="shared" ref="G64:O64" si="67">+G65</f>
        <v>83.109712014280547</v>
      </c>
      <c r="H64" s="1">
        <f t="shared" si="67"/>
        <v>73.072385704255808</v>
      </c>
      <c r="I64" s="1">
        <f t="shared" si="67"/>
        <v>73.078864134710372</v>
      </c>
      <c r="J64" s="1">
        <f t="shared" si="67"/>
        <v>57.368236951326253</v>
      </c>
      <c r="K64" s="1">
        <f t="shared" si="67"/>
        <v>33.16592444893142</v>
      </c>
      <c r="L64" s="1">
        <f t="shared" si="67"/>
        <v>0.85477716286081373</v>
      </c>
      <c r="M64" s="1">
        <f t="shared" si="67"/>
        <v>5.8362318156821198</v>
      </c>
      <c r="N64" s="1">
        <f t="shared" si="67"/>
        <v>5.792451448058836</v>
      </c>
      <c r="O64" s="1">
        <f t="shared" si="67"/>
        <v>5.7451828872914605</v>
      </c>
      <c r="P64" s="1">
        <f>+P65</f>
        <v>5.3990749029885654</v>
      </c>
      <c r="Q64" s="1">
        <f>+Q65</f>
        <v>5.6535356383894078</v>
      </c>
      <c r="S64" s="3"/>
    </row>
    <row r="65" spans="1:19" x14ac:dyDescent="0.5">
      <c r="A65" s="5" t="str">
        <f t="shared" ref="A65:A149" si="68">A64</f>
        <v>STEM</v>
      </c>
      <c r="B65" s="5" t="str">
        <f t="shared" ref="B65:B149" si="69">B64</f>
        <v>SPS1</v>
      </c>
      <c r="C65" s="5" t="str">
        <f t="shared" ref="C65:C149" si="70">C64</f>
        <v>CH</v>
      </c>
      <c r="D65" t="s">
        <v>30</v>
      </c>
      <c r="E65" t="str">
        <f>E63</f>
        <v>PJ/yr.</v>
      </c>
      <c r="F65" s="1">
        <f>'[1]Electricity and CHPs'!B14</f>
        <v>82.760006147636844</v>
      </c>
      <c r="G65" s="1">
        <f>'[1]Electricity and CHPs'!C14</f>
        <v>83.109712014280547</v>
      </c>
      <c r="H65" s="1">
        <f>'[1]Electricity and CHPs'!D14</f>
        <v>73.072385704255808</v>
      </c>
      <c r="I65" s="1">
        <f>'[1]Electricity and CHPs'!E14</f>
        <v>73.078864134710372</v>
      </c>
      <c r="J65" s="1">
        <f>'[1]Electricity and CHPs'!F14</f>
        <v>57.368236951326253</v>
      </c>
      <c r="K65" s="1">
        <f>'[1]Electricity and CHPs'!G14</f>
        <v>33.16592444893142</v>
      </c>
      <c r="L65" s="1">
        <f>'[1]Electricity and CHPs'!H14</f>
        <v>0.85477716286081373</v>
      </c>
      <c r="M65" s="1">
        <f>'[1]Electricity and CHPs'!I14</f>
        <v>5.8362318156821198</v>
      </c>
      <c r="N65" s="1">
        <f>'[1]Electricity and CHPs'!J14</f>
        <v>5.792451448058836</v>
      </c>
      <c r="O65" s="1">
        <f>'[1]Electricity and CHPs'!K14</f>
        <v>5.7451828872914605</v>
      </c>
      <c r="P65" s="1">
        <f>'[1]Electricity and CHPs'!L14</f>
        <v>5.3990749029885654</v>
      </c>
      <c r="Q65" s="1">
        <f>'[1]Electricity and CHPs'!M14</f>
        <v>5.6535356383894078</v>
      </c>
      <c r="S65" s="3"/>
    </row>
    <row r="66" spans="1:19" x14ac:dyDescent="0.5">
      <c r="A66" s="5" t="str">
        <f t="shared" si="68"/>
        <v>STEM</v>
      </c>
      <c r="B66" s="5" t="str">
        <f t="shared" si="69"/>
        <v>SPS1</v>
      </c>
      <c r="C66" s="5" t="str">
        <f t="shared" si="70"/>
        <v>CH</v>
      </c>
      <c r="D66" t="s">
        <v>792</v>
      </c>
      <c r="E66" t="str">
        <f>E65</f>
        <v>PJ/yr.</v>
      </c>
      <c r="F66" s="1">
        <f>SUM(F67:F69)</f>
        <v>146.22000719077008</v>
      </c>
      <c r="G66" s="1">
        <f t="shared" ref="G66:K66" si="71">SUM(G67:G69)</f>
        <v>121.59752277251135</v>
      </c>
      <c r="H66" s="1">
        <f t="shared" si="71"/>
        <v>139.88462261705806</v>
      </c>
      <c r="I66" s="1">
        <f t="shared" si="71"/>
        <v>146.82502620801694</v>
      </c>
      <c r="J66" s="1">
        <f t="shared" si="71"/>
        <v>146.86236990474268</v>
      </c>
      <c r="K66" s="1">
        <f t="shared" si="71"/>
        <v>146.89278833183354</v>
      </c>
      <c r="L66" s="1">
        <f t="shared" ref="L66:O66" si="72">SUM(L67:L69)</f>
        <v>146.9226435221683</v>
      </c>
      <c r="M66" s="1">
        <f t="shared" si="72"/>
        <v>146.95508251217899</v>
      </c>
      <c r="N66" s="1">
        <f t="shared" si="72"/>
        <v>146.98456609923119</v>
      </c>
      <c r="O66" s="1">
        <f t="shared" si="72"/>
        <v>147.02007621035449</v>
      </c>
      <c r="P66" s="1">
        <f>SUM(P67:P69)</f>
        <v>147.05925196222898</v>
      </c>
      <c r="Q66" s="1">
        <f>SUM(Q67:Q69)</f>
        <v>147.25764408928333</v>
      </c>
      <c r="S66" s="3"/>
    </row>
    <row r="67" spans="1:19" x14ac:dyDescent="0.5">
      <c r="A67" s="5" t="str">
        <f t="shared" si="68"/>
        <v>STEM</v>
      </c>
      <c r="B67" s="5" t="str">
        <f t="shared" si="69"/>
        <v>SPS1</v>
      </c>
      <c r="C67" s="5" t="str">
        <f t="shared" si="70"/>
        <v>CH</v>
      </c>
      <c r="D67" t="s">
        <v>31</v>
      </c>
      <c r="E67" t="str">
        <f>E65</f>
        <v>PJ/yr.</v>
      </c>
      <c r="F67" s="1">
        <f>'[1]Electricity and CHPs'!B15</f>
        <v>66.745679999996938</v>
      </c>
      <c r="G67" s="1">
        <f>'[1]Electricity and CHPs'!C15</f>
        <v>49.79880272042594</v>
      </c>
      <c r="H67" s="1">
        <f>'[1]Electricity and CHPs'!D15</f>
        <v>68.534766593212652</v>
      </c>
      <c r="I67" s="1">
        <f>'[1]Electricity and CHPs'!E15</f>
        <v>69.617936454117398</v>
      </c>
      <c r="J67" s="1">
        <f>'[1]Electricity and CHPs'!F15</f>
        <v>70.70230294535466</v>
      </c>
      <c r="K67" s="1">
        <f>'[1]Electricity and CHPs'!G15</f>
        <v>71.787070620196403</v>
      </c>
      <c r="L67" s="1">
        <f>'[1]Electricity and CHPs'!H15</f>
        <v>72.871347957925721</v>
      </c>
      <c r="M67" s="1">
        <f>'[1]Electricity and CHPs'!I15</f>
        <v>73.956372894292386</v>
      </c>
      <c r="N67" s="1">
        <f>'[1]Electricity and CHPs'!J15</f>
        <v>73.956376943374877</v>
      </c>
      <c r="O67" s="1">
        <f>'[1]Electricity and CHPs'!K15</f>
        <v>73.956432969456429</v>
      </c>
      <c r="P67" s="1">
        <f>'[1]Electricity and CHPs'!L15</f>
        <v>73.956436818231353</v>
      </c>
      <c r="Q67" s="1">
        <f>'[1]Electricity and CHPs'!M15</f>
        <v>73.955970595593016</v>
      </c>
      <c r="S67" s="3"/>
    </row>
    <row r="68" spans="1:19" x14ac:dyDescent="0.5">
      <c r="A68" s="5" t="str">
        <f t="shared" si="68"/>
        <v>STEM</v>
      </c>
      <c r="B68" s="5" t="str">
        <f t="shared" si="69"/>
        <v>SPS1</v>
      </c>
      <c r="C68" s="5" t="str">
        <f t="shared" si="70"/>
        <v>CH</v>
      </c>
      <c r="D68" t="s">
        <v>32</v>
      </c>
      <c r="E68" t="str">
        <f t="shared" ref="E68:E69" si="73">E67</f>
        <v>PJ/yr.</v>
      </c>
      <c r="F68" s="1">
        <f>'[1]Electricity and CHPs'!B16</f>
        <v>66.632400513568854</v>
      </c>
      <c r="G68" s="1">
        <f>'[1]Electricity and CHPs'!C16</f>
        <v>55.764004154854931</v>
      </c>
      <c r="H68" s="1">
        <f>'[1]Electricity and CHPs'!D16</f>
        <v>65.551417749832652</v>
      </c>
      <c r="I68" s="1">
        <f>'[1]Electricity and CHPs'!E16</f>
        <v>64.468275679026817</v>
      </c>
      <c r="J68" s="1">
        <f>'[1]Electricity and CHPs'!F16</f>
        <v>63.383969368795363</v>
      </c>
      <c r="K68" s="1">
        <f>'[1]Electricity and CHPs'!G16</f>
        <v>62.299204126580534</v>
      </c>
      <c r="L68" s="1">
        <f>'[1]Electricity and CHPs'!H16</f>
        <v>61.21492577383524</v>
      </c>
      <c r="M68" s="1">
        <f>'[1]Electricity and CHPs'!I16</f>
        <v>60.129903182655362</v>
      </c>
      <c r="N68" s="1">
        <f>'[1]Electricity and CHPs'!J16</f>
        <v>60.129900586362993</v>
      </c>
      <c r="O68" s="1">
        <f>'[1]Electricity and CHPs'!K16</f>
        <v>60.129843003729704</v>
      </c>
      <c r="P68" s="1">
        <f>'[1]Electricity and CHPs'!L16</f>
        <v>60.129842330749057</v>
      </c>
      <c r="Q68" s="1">
        <f>'[1]Electricity and CHPs'!M16</f>
        <v>60.130335854346129</v>
      </c>
      <c r="S68" s="3"/>
    </row>
    <row r="69" spans="1:19" x14ac:dyDescent="0.5">
      <c r="A69" s="5" t="str">
        <f t="shared" si="68"/>
        <v>STEM</v>
      </c>
      <c r="B69" s="5" t="str">
        <f t="shared" si="69"/>
        <v>SPS1</v>
      </c>
      <c r="C69" s="5" t="str">
        <f t="shared" si="70"/>
        <v>CH</v>
      </c>
      <c r="D69" t="s">
        <v>33</v>
      </c>
      <c r="E69" t="str">
        <f t="shared" si="73"/>
        <v>PJ/yr.</v>
      </c>
      <c r="F69" s="1">
        <f>'[1]Electricity and CHPs'!B17</f>
        <v>12.841926677204274</v>
      </c>
      <c r="G69" s="1">
        <f>'[1]Electricity and CHPs'!C17</f>
        <v>16.03471589723048</v>
      </c>
      <c r="H69" s="1">
        <f>'[1]Electricity and CHPs'!D17</f>
        <v>5.7984382740127378</v>
      </c>
      <c r="I69" s="1">
        <f>'[1]Electricity and CHPs'!E17</f>
        <v>12.738814074872735</v>
      </c>
      <c r="J69" s="1">
        <f>'[1]Electricity and CHPs'!F17</f>
        <v>12.776097590592649</v>
      </c>
      <c r="K69" s="1">
        <f>'[1]Electricity and CHPs'!G17</f>
        <v>12.806513585056605</v>
      </c>
      <c r="L69" s="1">
        <f>'[1]Electricity and CHPs'!H17</f>
        <v>12.836369790407339</v>
      </c>
      <c r="M69" s="1">
        <f>'[1]Electricity and CHPs'!I17</f>
        <v>12.868806435231248</v>
      </c>
      <c r="N69" s="1">
        <f>'[1]Electricity and CHPs'!J17</f>
        <v>12.898288569493319</v>
      </c>
      <c r="O69" s="1">
        <f>'[1]Electricity and CHPs'!K17</f>
        <v>12.933800237168349</v>
      </c>
      <c r="P69" s="1">
        <f>'[1]Electricity and CHPs'!L17</f>
        <v>12.972972813248598</v>
      </c>
      <c r="Q69" s="1">
        <f>'[1]Electricity and CHPs'!M17</f>
        <v>13.171337639344175</v>
      </c>
      <c r="S69" s="3"/>
    </row>
    <row r="70" spans="1:19" x14ac:dyDescent="0.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0.111913302858276</v>
      </c>
      <c r="G70" s="1">
        <f t="shared" ref="G70" si="74">SUM(G71:G73)</f>
        <v>0.17153420600410391</v>
      </c>
      <c r="H70" s="1">
        <f t="shared" ref="H70" si="75">SUM(H71:H73)</f>
        <v>7.4784397496768639E-3</v>
      </c>
      <c r="I70" s="1">
        <f t="shared" ref="I70" si="76">SUM(I71:I73)</f>
        <v>0.17153401351947348</v>
      </c>
      <c r="J70" s="1">
        <f t="shared" ref="J70" si="77">SUM(J71:J73)</f>
        <v>0.17155002256137178</v>
      </c>
      <c r="K70" s="1">
        <f t="shared" ref="K70" si="78">SUM(K71:K73)</f>
        <v>2.2901567275601692E-2</v>
      </c>
      <c r="L70" s="1">
        <f t="shared" ref="L70:O70" si="79">SUM(L71:L73)</f>
        <v>3.1311405220426497E-2</v>
      </c>
      <c r="M70" s="1">
        <f t="shared" si="79"/>
        <v>4.6214061504488896E-2</v>
      </c>
      <c r="N70" s="1">
        <f t="shared" si="79"/>
        <v>3.8406106460182485E-2</v>
      </c>
      <c r="O70" s="1">
        <f t="shared" si="79"/>
        <v>4.1246175722314975E-2</v>
      </c>
      <c r="P70" s="1">
        <f>SUM(P71:P73)</f>
        <v>4.2759999980266993E-2</v>
      </c>
      <c r="Q70" s="1">
        <f>SUM(Q71:Q73)</f>
        <v>4.9737103833449418E-2</v>
      </c>
      <c r="S70" s="3"/>
    </row>
    <row r="71" spans="1:19" x14ac:dyDescent="0.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3.9603192165147752E-2</v>
      </c>
      <c r="G71" s="1">
        <f>'[1]Electricity and CHPs'!C18</f>
        <v>4.0921741177653021E-5</v>
      </c>
      <c r="H71" s="1">
        <f>'[1]Electricity and CHPs'!D18</f>
        <v>3.6829281070392184E-3</v>
      </c>
      <c r="I71" s="1">
        <f>'[1]Electricity and CHPs'!E18</f>
        <v>1.769358089038319E-3</v>
      </c>
      <c r="J71" s="1">
        <f>'[1]Electricity and CHPs'!F18</f>
        <v>2.2222212371971928E-3</v>
      </c>
      <c r="K71" s="1">
        <f>'[1]Electricity and CHPs'!G18</f>
        <v>2.8691039277796678E-3</v>
      </c>
      <c r="L71" s="1">
        <f>'[1]Electricity and CHPs'!H18</f>
        <v>9.4537332715362889E-3</v>
      </c>
      <c r="M71" s="1">
        <f>'[1]Electricity and CHPs'!I18</f>
        <v>1.88732737660804E-2</v>
      </c>
      <c r="N71" s="1">
        <f>'[1]Electricity and CHPs'!J18</f>
        <v>1.0039286931708606E-2</v>
      </c>
      <c r="O71" s="1">
        <f>'[1]Electricity and CHPs'!K18</f>
        <v>1.2047809618373444E-2</v>
      </c>
      <c r="P71" s="1">
        <f>'[1]Electricity and CHPs'!L18</f>
        <v>1.431985257064536E-2</v>
      </c>
      <c r="Q71" s="1">
        <f>'[1]Electricity and CHPs'!M18</f>
        <v>2.0391627459347361E-2</v>
      </c>
      <c r="S71" s="3"/>
    </row>
    <row r="72" spans="1:19" x14ac:dyDescent="0.5">
      <c r="A72" s="5" t="str">
        <f t="shared" ref="A72:A73" si="80">A71</f>
        <v>STEM</v>
      </c>
      <c r="B72" s="5" t="str">
        <f t="shared" ref="B72:B73" si="81">B71</f>
        <v>SPS1</v>
      </c>
      <c r="C72" s="5" t="str">
        <f t="shared" ref="C72:C73" si="82">C71</f>
        <v>CH</v>
      </c>
      <c r="D72" t="s">
        <v>228</v>
      </c>
      <c r="E72" t="str">
        <f>E126</f>
        <v>PJ/yr.</v>
      </c>
      <c r="F72" s="1">
        <f>'[1]Electricity and CHPs'!B28</f>
        <v>1.8031993001388538E-3</v>
      </c>
      <c r="G72" s="1">
        <f>'[1]Electricity and CHPs'!C28</f>
        <v>2.785602404618923E-5</v>
      </c>
      <c r="H72" s="1">
        <f>'[1]Electricity and CHPs'!D28</f>
        <v>1.1074486920138312E-3</v>
      </c>
      <c r="I72" s="1">
        <f>'[1]Electricity and CHPs'!E28</f>
        <v>7.3385182996396679E-4</v>
      </c>
      <c r="J72" s="1">
        <f>'[1]Electricity and CHPs'!F28</f>
        <v>1.039695722883242E-3</v>
      </c>
      <c r="K72" s="1">
        <f>'[1]Electricity and CHPs'!G28</f>
        <v>1.1532511660071511E-3</v>
      </c>
      <c r="L72" s="1">
        <f>'[1]Electricity and CHPs'!H28</f>
        <v>1.1752212724732314E-3</v>
      </c>
      <c r="M72" s="1">
        <f>'[1]Electricity and CHPs'!I28</f>
        <v>1.7609581090413556E-3</v>
      </c>
      <c r="N72" s="1">
        <f>'[1]Electricity and CHPs'!J28</f>
        <v>1.2777321484483859E-3</v>
      </c>
      <c r="O72" s="1">
        <f>'[1]Electricity and CHPs'!K28</f>
        <v>1.7670435525961102E-3</v>
      </c>
      <c r="P72" s="1">
        <f>'[1]Electricity and CHPs'!L28</f>
        <v>1.3507276872726174E-3</v>
      </c>
      <c r="Q72" s="1">
        <f>'[1]Electricity and CHPs'!M28</f>
        <v>1.7690756262803572E-3</v>
      </c>
      <c r="S72" s="3"/>
    </row>
    <row r="73" spans="1:19" x14ac:dyDescent="0.5">
      <c r="A73" s="5" t="str">
        <f t="shared" si="80"/>
        <v>STEM</v>
      </c>
      <c r="B73" s="5" t="str">
        <f t="shared" si="81"/>
        <v>SPS1</v>
      </c>
      <c r="C73" s="5" t="str">
        <f t="shared" si="82"/>
        <v>CH</v>
      </c>
      <c r="D73" t="s">
        <v>40</v>
      </c>
      <c r="E73" t="str">
        <f>E81</f>
        <v>PJ/yr.</v>
      </c>
      <c r="F73" s="1">
        <f>'[1]Electricity and CHPs'!B41</f>
        <v>7.0506911392989383E-2</v>
      </c>
      <c r="G73" s="1">
        <f>'[1]Electricity and CHPs'!C41</f>
        <v>0.17146542823888006</v>
      </c>
      <c r="H73" s="1">
        <f>'[1]Electricity and CHPs'!D41</f>
        <v>2.6880629506238138E-3</v>
      </c>
      <c r="I73" s="1">
        <f>'[1]Electricity and CHPs'!E41</f>
        <v>0.16903080360047118</v>
      </c>
      <c r="J73" s="1">
        <f>'[1]Electricity and CHPs'!F41</f>
        <v>0.16828810560129134</v>
      </c>
      <c r="K73" s="1">
        <f>'[1]Electricity and CHPs'!G41</f>
        <v>1.8879212181814875E-2</v>
      </c>
      <c r="L73" s="1">
        <f>'[1]Electricity and CHPs'!H41</f>
        <v>2.068245067641698E-2</v>
      </c>
      <c r="M73" s="1">
        <f>'[1]Electricity and CHPs'!I41</f>
        <v>2.5579829629367144E-2</v>
      </c>
      <c r="N73" s="1">
        <f>'[1]Electricity and CHPs'!J41</f>
        <v>2.7089087380025492E-2</v>
      </c>
      <c r="O73" s="1">
        <f>'[1]Electricity and CHPs'!K41</f>
        <v>2.7431322551345418E-2</v>
      </c>
      <c r="P73" s="1">
        <f>'[1]Electricity and CHPs'!L41</f>
        <v>2.7089419722349014E-2</v>
      </c>
      <c r="Q73" s="1">
        <f>'[1]Electricity and CHPs'!M41</f>
        <v>2.7576400747821701E-2</v>
      </c>
      <c r="S73" s="3"/>
    </row>
    <row r="74" spans="1:19" x14ac:dyDescent="0.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0.111913302858276</v>
      </c>
      <c r="G74" s="1">
        <f t="shared" ref="G74:K74" si="83">SUM(G75:G77)</f>
        <v>0.17153420600410391</v>
      </c>
      <c r="H74" s="1">
        <f t="shared" si="83"/>
        <v>7.4784397496768639E-3</v>
      </c>
      <c r="I74" s="1">
        <f t="shared" si="83"/>
        <v>0.17153401351947348</v>
      </c>
      <c r="J74" s="1">
        <f t="shared" si="83"/>
        <v>0.17155002256137178</v>
      </c>
      <c r="K74" s="1">
        <f t="shared" si="83"/>
        <v>2.2901567275601692E-2</v>
      </c>
      <c r="L74" s="1">
        <f t="shared" ref="L74:O74" si="84">SUM(L75:L77)</f>
        <v>3.1311405220426497E-2</v>
      </c>
      <c r="M74" s="1">
        <f t="shared" si="84"/>
        <v>4.6214061504488896E-2</v>
      </c>
      <c r="N74" s="1">
        <f t="shared" si="84"/>
        <v>3.8406106460182485E-2</v>
      </c>
      <c r="O74" s="1">
        <f t="shared" si="84"/>
        <v>4.1246175722314975E-2</v>
      </c>
      <c r="P74" s="1">
        <f>SUM(P75:P77)</f>
        <v>4.2759999980266993E-2</v>
      </c>
      <c r="Q74" s="1">
        <f>SUM(Q75:Q77)</f>
        <v>4.9737103833449418E-2</v>
      </c>
      <c r="S74" s="3"/>
    </row>
    <row r="75" spans="1:19" x14ac:dyDescent="0.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3.9603192165147752E-2</v>
      </c>
      <c r="G75" s="1">
        <f t="shared" ref="G75:K75" si="85">G71</f>
        <v>4.0921741177653021E-5</v>
      </c>
      <c r="H75" s="1">
        <f t="shared" si="85"/>
        <v>3.6829281070392184E-3</v>
      </c>
      <c r="I75" s="1">
        <f t="shared" si="85"/>
        <v>1.769358089038319E-3</v>
      </c>
      <c r="J75" s="1">
        <f t="shared" si="85"/>
        <v>2.2222212371971928E-3</v>
      </c>
      <c r="K75" s="1">
        <f t="shared" si="85"/>
        <v>2.8691039277796678E-3</v>
      </c>
      <c r="L75" s="1">
        <f t="shared" ref="L75:O75" si="86">L71</f>
        <v>9.4537332715362889E-3</v>
      </c>
      <c r="M75" s="1">
        <f t="shared" si="86"/>
        <v>1.88732737660804E-2</v>
      </c>
      <c r="N75" s="1">
        <f t="shared" si="86"/>
        <v>1.0039286931708606E-2</v>
      </c>
      <c r="O75" s="1">
        <f t="shared" si="86"/>
        <v>1.2047809618373444E-2</v>
      </c>
      <c r="P75" s="1">
        <f>P71</f>
        <v>1.431985257064536E-2</v>
      </c>
      <c r="Q75" s="1">
        <f>Q71</f>
        <v>2.0391627459347361E-2</v>
      </c>
      <c r="S75" s="3"/>
    </row>
    <row r="76" spans="1:19" x14ac:dyDescent="0.5">
      <c r="A76" s="5" t="str">
        <f t="shared" si="68"/>
        <v>STEM</v>
      </c>
      <c r="B76" s="5" t="str">
        <f t="shared" si="69"/>
        <v>SPS1</v>
      </c>
      <c r="C76" s="5" t="str">
        <f t="shared" si="70"/>
        <v>CH</v>
      </c>
      <c r="D76" t="s">
        <v>515</v>
      </c>
      <c r="E76" t="str">
        <f>E134</f>
        <v>PJ/yr.</v>
      </c>
      <c r="F76" s="1">
        <f>'[1]Electricity and CHPs'!B28</f>
        <v>1.8031993001388538E-3</v>
      </c>
      <c r="G76" s="1">
        <f>'[1]Electricity and CHPs'!C28</f>
        <v>2.785602404618923E-5</v>
      </c>
      <c r="H76" s="1">
        <f>'[1]Electricity and CHPs'!D28</f>
        <v>1.1074486920138312E-3</v>
      </c>
      <c r="I76" s="1">
        <f>'[1]Electricity and CHPs'!E28</f>
        <v>7.3385182996396679E-4</v>
      </c>
      <c r="J76" s="1">
        <f>'[1]Electricity and CHPs'!F28</f>
        <v>1.039695722883242E-3</v>
      </c>
      <c r="K76" s="1">
        <f>'[1]Electricity and CHPs'!G28</f>
        <v>1.1532511660071511E-3</v>
      </c>
      <c r="L76" s="1">
        <f>'[1]Electricity and CHPs'!H28</f>
        <v>1.1752212724732314E-3</v>
      </c>
      <c r="M76" s="1">
        <f>'[1]Electricity and CHPs'!I28</f>
        <v>1.7609581090413556E-3</v>
      </c>
      <c r="N76" s="1">
        <f>'[1]Electricity and CHPs'!J28</f>
        <v>1.2777321484483859E-3</v>
      </c>
      <c r="O76" s="1">
        <f>'[1]Electricity and CHPs'!K28</f>
        <v>1.7670435525961102E-3</v>
      </c>
      <c r="P76" s="1">
        <f>'[1]Electricity and CHPs'!L28</f>
        <v>1.3507276872726174E-3</v>
      </c>
      <c r="Q76" s="1">
        <f>'[1]Electricity and CHPs'!M28</f>
        <v>1.7690756262803572E-3</v>
      </c>
      <c r="S76" s="3"/>
    </row>
    <row r="77" spans="1:19" x14ac:dyDescent="0.5">
      <c r="A77" s="5" t="str">
        <f t="shared" si="68"/>
        <v>STEM</v>
      </c>
      <c r="B77" s="5" t="str">
        <f t="shared" si="69"/>
        <v>SPS1</v>
      </c>
      <c r="C77" s="5" t="str">
        <f t="shared" si="70"/>
        <v>CH</v>
      </c>
      <c r="D77" t="s">
        <v>516</v>
      </c>
      <c r="E77" t="str">
        <f>E89</f>
        <v>PJ/yr.</v>
      </c>
      <c r="F77" s="1">
        <f>'[1]Electricity and CHPs'!B41</f>
        <v>7.0506911392989383E-2</v>
      </c>
      <c r="G77" s="1">
        <f>'[1]Electricity and CHPs'!C41</f>
        <v>0.17146542823888006</v>
      </c>
      <c r="H77" s="1">
        <f>'[1]Electricity and CHPs'!D41</f>
        <v>2.6880629506238138E-3</v>
      </c>
      <c r="I77" s="1">
        <f>'[1]Electricity and CHPs'!E41</f>
        <v>0.16903080360047118</v>
      </c>
      <c r="J77" s="1">
        <f>'[1]Electricity and CHPs'!F41</f>
        <v>0.16828810560129134</v>
      </c>
      <c r="K77" s="1">
        <f>'[1]Electricity and CHPs'!G41</f>
        <v>1.8879212181814875E-2</v>
      </c>
      <c r="L77" s="1">
        <f>'[1]Electricity and CHPs'!H41</f>
        <v>2.068245067641698E-2</v>
      </c>
      <c r="M77" s="1">
        <f>'[1]Electricity and CHPs'!I41</f>
        <v>2.5579829629367144E-2</v>
      </c>
      <c r="N77" s="1">
        <f>'[1]Electricity and CHPs'!J41</f>
        <v>2.7089087380025492E-2</v>
      </c>
      <c r="O77" s="1">
        <f>'[1]Electricity and CHPs'!K41</f>
        <v>2.7431322551345418E-2</v>
      </c>
      <c r="P77" s="1">
        <f>'[1]Electricity and CHPs'!L41</f>
        <v>2.7089419722349014E-2</v>
      </c>
      <c r="Q77" s="1">
        <f>'[1]Electricity and CHPs'!M41</f>
        <v>2.7576400747821701E-2</v>
      </c>
      <c r="S77" s="3"/>
    </row>
    <row r="78" spans="1:19" x14ac:dyDescent="0.5">
      <c r="A78" s="5" t="str">
        <f t="shared" ref="A78:C79" si="87">A76</f>
        <v>STEM</v>
      </c>
      <c r="B78" s="5" t="str">
        <f t="shared" si="87"/>
        <v>SPS1</v>
      </c>
      <c r="C78" s="5" t="str">
        <f t="shared" si="87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8">SUM(G79:G81)</f>
        <v>0</v>
      </c>
      <c r="H78" s="1">
        <f t="shared" si="88"/>
        <v>0</v>
      </c>
      <c r="I78" s="1">
        <f t="shared" si="88"/>
        <v>0</v>
      </c>
      <c r="J78" s="1">
        <f t="shared" si="88"/>
        <v>0</v>
      </c>
      <c r="K78" s="1">
        <f t="shared" si="88"/>
        <v>0</v>
      </c>
      <c r="L78" s="1">
        <f t="shared" ref="L78:O78" si="89">SUM(L79:L81)</f>
        <v>0</v>
      </c>
      <c r="M78" s="1">
        <f t="shared" si="89"/>
        <v>0</v>
      </c>
      <c r="N78" s="1">
        <f t="shared" si="89"/>
        <v>0</v>
      </c>
      <c r="O78" s="1">
        <f t="shared" si="89"/>
        <v>0</v>
      </c>
      <c r="P78" s="1">
        <f>SUM(P79:P81)</f>
        <v>0</v>
      </c>
      <c r="Q78" s="1">
        <f>SUM(Q79:Q81)</f>
        <v>0</v>
      </c>
      <c r="S78" s="3"/>
    </row>
    <row r="79" spans="1:19" x14ac:dyDescent="0.5">
      <c r="A79" s="5" t="str">
        <f t="shared" si="87"/>
        <v>STEM</v>
      </c>
      <c r="B79" s="5" t="str">
        <f t="shared" si="87"/>
        <v>SPS1</v>
      </c>
      <c r="C79" s="5" t="str">
        <f t="shared" si="87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S79" s="3"/>
    </row>
    <row r="80" spans="1:19" x14ac:dyDescent="0.5">
      <c r="A80" s="5" t="str">
        <f t="shared" si="68"/>
        <v>STEM</v>
      </c>
      <c r="B80" s="5" t="str">
        <f t="shared" si="69"/>
        <v>SPS1</v>
      </c>
      <c r="C80" s="5" t="str">
        <f t="shared" si="70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S80" s="3"/>
    </row>
    <row r="81" spans="1:19" x14ac:dyDescent="0.5">
      <c r="A81" s="5" t="str">
        <f t="shared" si="68"/>
        <v>STEM</v>
      </c>
      <c r="B81" s="5" t="str">
        <f t="shared" si="69"/>
        <v>SPS1</v>
      </c>
      <c r="C81" s="5" t="str">
        <f t="shared" si="70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S81" s="3"/>
    </row>
    <row r="82" spans="1:19" x14ac:dyDescent="0.5">
      <c r="A82" s="5" t="str">
        <f t="shared" si="68"/>
        <v>STEM</v>
      </c>
      <c r="B82" s="5" t="str">
        <f t="shared" si="69"/>
        <v>SPS1</v>
      </c>
      <c r="C82" s="5" t="str">
        <f t="shared" si="70"/>
        <v>CH</v>
      </c>
      <c r="D82" t="s">
        <v>796</v>
      </c>
      <c r="E82" t="str">
        <f>E131</f>
        <v>PJ/yr.</v>
      </c>
      <c r="F82" s="1">
        <f>SUM(F83:F97)</f>
        <v>3.231758331374774</v>
      </c>
      <c r="G82" s="1">
        <f t="shared" ref="G82:K82" si="90">SUM(G83:G97)</f>
        <v>1.8490979136308958</v>
      </c>
      <c r="H82" s="1">
        <f t="shared" si="90"/>
        <v>1.8203015271876093</v>
      </c>
      <c r="I82" s="1">
        <f t="shared" si="90"/>
        <v>5.5331128364663158</v>
      </c>
      <c r="J82" s="1">
        <f t="shared" si="90"/>
        <v>6.7781501956123416</v>
      </c>
      <c r="K82" s="1">
        <f t="shared" si="90"/>
        <v>7.2206032214235112</v>
      </c>
      <c r="L82" s="1">
        <f t="shared" ref="L82:O82" si="91">SUM(L83:L97)</f>
        <v>11.411453436660359</v>
      </c>
      <c r="M82" s="1">
        <f t="shared" si="91"/>
        <v>14.582432180162565</v>
      </c>
      <c r="N82" s="1">
        <f t="shared" si="91"/>
        <v>15.650962818855023</v>
      </c>
      <c r="O82" s="1">
        <f t="shared" si="91"/>
        <v>16.941288148567192</v>
      </c>
      <c r="P82" s="1">
        <f>SUM(P83:P97)</f>
        <v>17.277011269245527</v>
      </c>
      <c r="Q82" s="1">
        <f>SUM(Q83:Q97)</f>
        <v>16.585380322347266</v>
      </c>
      <c r="S82" s="3"/>
    </row>
    <row r="83" spans="1:19" x14ac:dyDescent="0.5">
      <c r="A83" s="5" t="str">
        <f t="shared" si="68"/>
        <v>STEM</v>
      </c>
      <c r="B83" s="5" t="str">
        <f t="shared" si="69"/>
        <v>SPS1</v>
      </c>
      <c r="C83" s="5" t="str">
        <f t="shared" si="70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'[1]Electricity and CHPs'!F21</f>
        <v>0</v>
      </c>
      <c r="K83" s="1">
        <f>'[1]Electricity and CHPs'!G21</f>
        <v>2.0491289985745648E-2</v>
      </c>
      <c r="L83" s="1">
        <f>'[1]Electricity and CHPs'!H21</f>
        <v>3.6046094436879503</v>
      </c>
      <c r="M83" s="1">
        <f>'[1]Electricity and CHPs'!I21</f>
        <v>8.6596158644076695</v>
      </c>
      <c r="N83" s="1">
        <f>'[1]Electricity and CHPs'!J21</f>
        <v>9.7681290897298201</v>
      </c>
      <c r="O83" s="1">
        <f>'[1]Electricity and CHPs'!K21</f>
        <v>11.500126863775902</v>
      </c>
      <c r="P83" s="1">
        <f>'[1]Electricity and CHPs'!L21</f>
        <v>12.425254265757221</v>
      </c>
      <c r="Q83" s="1">
        <f>'[1]Electricity and CHPs'!M21</f>
        <v>11.386079094328183</v>
      </c>
      <c r="S83" s="3"/>
    </row>
    <row r="84" spans="1:19" x14ac:dyDescent="0.5">
      <c r="A84" s="5" t="str">
        <f t="shared" si="68"/>
        <v>STEM</v>
      </c>
      <c r="B84" s="5" t="str">
        <f t="shared" si="69"/>
        <v>SPS1</v>
      </c>
      <c r="C84" s="5" t="str">
        <f t="shared" si="70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'[1]Electricity and CHPs'!F22</f>
        <v>8.9638608466044833E-3</v>
      </c>
      <c r="K84" s="1">
        <f>'[1]Electricity and CHPs'!G22</f>
        <v>6.7422437719700481E-2</v>
      </c>
      <c r="L84" s="1">
        <f>'[1]Electricity and CHPs'!H22</f>
        <v>0.46220771207547667</v>
      </c>
      <c r="M84" s="1">
        <f>'[1]Electricity and CHPs'!I22</f>
        <v>0.26292475228066103</v>
      </c>
      <c r="N84" s="1">
        <f>'[1]Electricity and CHPs'!J22</f>
        <v>0.39910237685953914</v>
      </c>
      <c r="O84" s="1">
        <f>'[1]Electricity and CHPs'!K22</f>
        <v>0.3072387355080804</v>
      </c>
      <c r="P84" s="1">
        <f>'[1]Electricity and CHPs'!L22</f>
        <v>5.1781815175710517E-2</v>
      </c>
      <c r="Q84" s="1">
        <f>'[1]Electricity and CHPs'!M22</f>
        <v>0.1723784721168084</v>
      </c>
      <c r="S84" s="3"/>
    </row>
    <row r="85" spans="1:19" x14ac:dyDescent="0.5">
      <c r="A85" s="5" t="str">
        <f t="shared" si="68"/>
        <v>STEM</v>
      </c>
      <c r="B85" s="5" t="str">
        <f t="shared" si="69"/>
        <v>SPS1</v>
      </c>
      <c r="C85" s="5" t="str">
        <f t="shared" si="70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'[1]Electricity and CHPs'!F23</f>
        <v>0</v>
      </c>
      <c r="K85" s="1">
        <f>'[1]Electricity and CHPs'!G23</f>
        <v>0</v>
      </c>
      <c r="L85" s="1">
        <f>'[1]Electricity and CHPs'!H23</f>
        <v>0</v>
      </c>
      <c r="M85" s="1">
        <f>'[1]Electricity and CHPs'!I23</f>
        <v>0</v>
      </c>
      <c r="N85" s="1">
        <f>'[1]Electricity and CHPs'!J23</f>
        <v>0</v>
      </c>
      <c r="O85" s="1">
        <f>'[1]Electricity and CHPs'!K23</f>
        <v>0</v>
      </c>
      <c r="P85" s="1">
        <f>'[1]Electricity and CHPs'!L23</f>
        <v>0</v>
      </c>
      <c r="Q85" s="1">
        <f>'[1]Electricity and CHPs'!M23</f>
        <v>0</v>
      </c>
      <c r="S85" s="3"/>
    </row>
    <row r="86" spans="1:19" x14ac:dyDescent="0.5">
      <c r="A86" s="5" t="str">
        <f t="shared" si="68"/>
        <v>STEM</v>
      </c>
      <c r="B86" s="5" t="str">
        <f t="shared" si="69"/>
        <v>SPS1</v>
      </c>
      <c r="C86" s="5" t="str">
        <f t="shared" si="70"/>
        <v>CH</v>
      </c>
      <c r="D86" t="s">
        <v>38</v>
      </c>
      <c r="E86" t="str">
        <f>E85</f>
        <v>PJ/yr.</v>
      </c>
      <c r="F86" s="1">
        <f>'[1]Electricity and CHPs'!B24</f>
        <v>0.96588301732439241</v>
      </c>
      <c r="G86" s="1">
        <f>'[1]Electricity and CHPs'!C24</f>
        <v>1.6129721411806288E-4</v>
      </c>
      <c r="H86" s="1">
        <f>'[1]Electricity and CHPs'!D24</f>
        <v>1.6000437752145696E-2</v>
      </c>
      <c r="I86" s="1">
        <f>'[1]Electricity and CHPs'!E24</f>
        <v>0.89402526351358602</v>
      </c>
      <c r="J86" s="1">
        <f>'[1]Electricity and CHPs'!F24</f>
        <v>0.38984307859184086</v>
      </c>
      <c r="K86" s="1">
        <f>'[1]Electricity and CHPs'!G24</f>
        <v>0.87175234151642411</v>
      </c>
      <c r="L86" s="1">
        <f>'[1]Electricity and CHPs'!H24</f>
        <v>0.71046902973611759</v>
      </c>
      <c r="M86" s="1">
        <f>'[1]Electricity and CHPs'!I24</f>
        <v>0.11410852025251426</v>
      </c>
      <c r="N86" s="1">
        <f>'[1]Electricity and CHPs'!J24</f>
        <v>0.11952215299446435</v>
      </c>
      <c r="O86" s="1">
        <f>'[1]Electricity and CHPs'!K24</f>
        <v>1.5806241040524121E-2</v>
      </c>
      <c r="P86" s="1">
        <f>'[1]Electricity and CHPs'!L24</f>
        <v>5.0466428884738341E-3</v>
      </c>
      <c r="Q86" s="1">
        <f>'[1]Electricity and CHPs'!M24</f>
        <v>5.8451699989088887E-3</v>
      </c>
      <c r="S86" s="3"/>
    </row>
    <row r="87" spans="1:19" x14ac:dyDescent="0.5">
      <c r="A87" s="5" t="str">
        <f t="shared" si="68"/>
        <v>STEM</v>
      </c>
      <c r="B87" s="5" t="str">
        <f t="shared" si="69"/>
        <v>SPS1</v>
      </c>
      <c r="C87" s="5" t="str">
        <f t="shared" si="70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'[1]Electricity and CHPs'!F29</f>
        <v>0</v>
      </c>
      <c r="K87" s="1">
        <f>'[1]Electricity and CHPs'!G29</f>
        <v>0.46092946806281493</v>
      </c>
      <c r="L87" s="1">
        <f>'[1]Electricity and CHPs'!H29</f>
        <v>1.0145770157867637</v>
      </c>
      <c r="M87" s="1">
        <f>'[1]Electricity and CHPs'!I29</f>
        <v>1.014658111930925</v>
      </c>
      <c r="N87" s="1">
        <f>'[1]Electricity and CHPs'!J29</f>
        <v>0.88366793986063241</v>
      </c>
      <c r="O87" s="1">
        <f>'[1]Electricity and CHPs'!K29</f>
        <v>0.58872272819367022</v>
      </c>
      <c r="P87" s="1">
        <f>'[1]Electricity and CHPs'!L29</f>
        <v>2.920049207248979E-2</v>
      </c>
      <c r="Q87" s="1">
        <f>'[1]Electricity and CHPs'!M29</f>
        <v>1.9892139967809291E-2</v>
      </c>
      <c r="S87" s="3"/>
    </row>
    <row r="88" spans="1:19" x14ac:dyDescent="0.5">
      <c r="A88" s="5" t="str">
        <f t="shared" si="68"/>
        <v>STEM</v>
      </c>
      <c r="B88" s="5" t="str">
        <f t="shared" si="69"/>
        <v>SPS1</v>
      </c>
      <c r="C88" s="5" t="str">
        <f t="shared" si="70"/>
        <v>CH</v>
      </c>
      <c r="D88" t="s">
        <v>41</v>
      </c>
      <c r="E88" t="str">
        <f>E166</f>
        <v>PJ/yr.</v>
      </c>
      <c r="F88" s="1">
        <f>'[1]Electricity and CHPs'!B39</f>
        <v>0.66998042768838351</v>
      </c>
      <c r="G88" s="1">
        <f>'[1]Electricity and CHPs'!C39</f>
        <v>9.0359747289150819E-2</v>
      </c>
      <c r="H88" s="1">
        <f>'[1]Electricity and CHPs'!D39</f>
        <v>5.7496925907562023E-2</v>
      </c>
      <c r="I88" s="1">
        <f>'[1]Electricity and CHPs'!E39</f>
        <v>0.65347854089976964</v>
      </c>
      <c r="J88" s="1">
        <f>'[1]Electricity and CHPs'!F39</f>
        <v>0.64308664286903883</v>
      </c>
      <c r="K88" s="1">
        <f>'[1]Electricity and CHPs'!G39</f>
        <v>0.16106741141704128</v>
      </c>
      <c r="L88" s="1">
        <f>'[1]Electricity and CHPs'!H39</f>
        <v>0.10326008849920913</v>
      </c>
      <c r="M88" s="1">
        <f>'[1]Electricity and CHPs'!I39</f>
        <v>6.2150533857531706E-2</v>
      </c>
      <c r="N88" s="1">
        <f>'[1]Electricity and CHPs'!J39</f>
        <v>3.0880489442306848E-2</v>
      </c>
      <c r="O88" s="1">
        <f>'[1]Electricity and CHPs'!K39</f>
        <v>3.3654685471633659E-2</v>
      </c>
      <c r="P88" s="1">
        <f>'[1]Electricity and CHPs'!L39</f>
        <v>4.9195266556800198E-2</v>
      </c>
      <c r="Q88" s="1">
        <f>'[1]Electricity and CHPs'!M39</f>
        <v>8.3195978065244244E-2</v>
      </c>
      <c r="S88" s="3"/>
    </row>
    <row r="89" spans="1:19" x14ac:dyDescent="0.5">
      <c r="A89" s="5" t="str">
        <f t="shared" si="68"/>
        <v>STEM</v>
      </c>
      <c r="B89" s="5" t="str">
        <f t="shared" si="69"/>
        <v>SPS1</v>
      </c>
      <c r="C89" s="5" t="str">
        <f t="shared" si="70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'[1]Electricity and CHPs'!F40</f>
        <v>0</v>
      </c>
      <c r="K89" s="1">
        <f>'[1]Electricity and CHPs'!G40</f>
        <v>0</v>
      </c>
      <c r="L89" s="1">
        <f>'[1]Electricity and CHPs'!H40</f>
        <v>0</v>
      </c>
      <c r="M89" s="1">
        <f>'[1]Electricity and CHPs'!I40</f>
        <v>0</v>
      </c>
      <c r="N89" s="1">
        <f>'[1]Electricity and CHPs'!J40</f>
        <v>0</v>
      </c>
      <c r="O89" s="1">
        <f>'[1]Electricity and CHPs'!K40</f>
        <v>0</v>
      </c>
      <c r="P89" s="1">
        <f>'[1]Electricity and CHPs'!L40</f>
        <v>0</v>
      </c>
      <c r="Q89" s="1">
        <f>'[1]Electricity and CHPs'!M40</f>
        <v>0</v>
      </c>
      <c r="S89" s="3"/>
    </row>
    <row r="90" spans="1:19" x14ac:dyDescent="0.5">
      <c r="A90" s="5" t="str">
        <f t="shared" si="68"/>
        <v>STEM</v>
      </c>
      <c r="B90" s="5" t="str">
        <f t="shared" si="69"/>
        <v>SPS1</v>
      </c>
      <c r="C90" s="5" t="str">
        <f t="shared" si="70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1.4548904266495379E-3</v>
      </c>
      <c r="J90" s="1">
        <f>'[1]Electricity and CHPs'!F47</f>
        <v>2.0988607968315054E-3</v>
      </c>
      <c r="K90" s="1">
        <f>'[1]Electricity and CHPs'!G47</f>
        <v>3.6714416118286326E-3</v>
      </c>
      <c r="L90" s="1">
        <f>'[1]Electricity and CHPs'!H47</f>
        <v>4.8275675366552208E-3</v>
      </c>
      <c r="M90" s="1">
        <f>'[1]Electricity and CHPs'!I47</f>
        <v>9.5217780900371841E-3</v>
      </c>
      <c r="N90" s="1">
        <f>'[1]Electricity and CHPs'!J47</f>
        <v>7.6681833883452712E-3</v>
      </c>
      <c r="O90" s="1">
        <f>'[1]Electricity and CHPs'!K47</f>
        <v>1.1564967236619617E-2</v>
      </c>
      <c r="P90" s="1">
        <f>'[1]Electricity and CHPs'!L47</f>
        <v>1.2972675775143811E-2</v>
      </c>
      <c r="Q90" s="1">
        <f>'[1]Electricity and CHPs'!M47</f>
        <v>2.3478610850418608E-2</v>
      </c>
      <c r="S90" s="3"/>
    </row>
    <row r="91" spans="1:19" x14ac:dyDescent="0.5">
      <c r="A91" s="5" t="str">
        <f t="shared" si="68"/>
        <v>STEM</v>
      </c>
      <c r="B91" s="5" t="str">
        <f t="shared" si="69"/>
        <v>SPS1</v>
      </c>
      <c r="C91" s="5" t="str">
        <f t="shared" si="70"/>
        <v>CH</v>
      </c>
      <c r="D91" t="s">
        <v>44</v>
      </c>
      <c r="E91" t="str">
        <f>E90</f>
        <v>PJ/yr.</v>
      </c>
      <c r="F91" s="1">
        <f>'[1]Electricity and CHPs'!B48</f>
        <v>1.4261770251983092E-2</v>
      </c>
      <c r="G91" s="1">
        <f>'[1]Electricity and CHPs'!C48</f>
        <v>2.9960883658010397E-3</v>
      </c>
      <c r="H91" s="1">
        <f>'[1]Electricity and CHPs'!D48</f>
        <v>1.0365207988092984E-2</v>
      </c>
      <c r="I91" s="1">
        <f>'[1]Electricity and CHPs'!E48</f>
        <v>9.7865639597765324E-3</v>
      </c>
      <c r="J91" s="1">
        <f>'[1]Electricity and CHPs'!F48</f>
        <v>1.3329254260874942E-2</v>
      </c>
      <c r="K91" s="1">
        <f>'[1]Electricity and CHPs'!G48</f>
        <v>1.4602034564317443E-2</v>
      </c>
      <c r="L91" s="1">
        <f>'[1]Electricity and CHPs'!H48</f>
        <v>1.8715442463700036E-2</v>
      </c>
      <c r="M91" s="1">
        <f>'[1]Electricity and CHPs'!I48</f>
        <v>2.3439013171261795E-2</v>
      </c>
      <c r="N91" s="1">
        <f>'[1]Electricity and CHPs'!J48</f>
        <v>2.0371861252386429E-2</v>
      </c>
      <c r="O91" s="1">
        <f>'[1]Electricity and CHPs'!K48</f>
        <v>2.1394036324065491E-2</v>
      </c>
      <c r="P91" s="1">
        <f>'[1]Electricity and CHPs'!L48</f>
        <v>0.10017586408132352</v>
      </c>
      <c r="Q91" s="1">
        <f>'[1]Electricity and CHPs'!M48</f>
        <v>0.11195388980492472</v>
      </c>
      <c r="S91" s="3"/>
    </row>
    <row r="92" spans="1:19" x14ac:dyDescent="0.5">
      <c r="A92" s="5" t="str">
        <f t="shared" si="68"/>
        <v>STEM</v>
      </c>
      <c r="B92" s="5" t="str">
        <f t="shared" si="69"/>
        <v>SPS1</v>
      </c>
      <c r="C92" s="5" t="str">
        <f t="shared" si="70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2.6270848116428697E-4</v>
      </c>
      <c r="J92" s="1">
        <f>'[1]Electricity and CHPs'!F49</f>
        <v>9.3815503107092944E-4</v>
      </c>
      <c r="K92" s="1">
        <f>'[1]Electricity and CHPs'!G49</f>
        <v>9.5649294287727504E-4</v>
      </c>
      <c r="L92" s="1">
        <f>'[1]Electricity and CHPs'!H49</f>
        <v>1.0090153741818284E-3</v>
      </c>
      <c r="M92" s="1">
        <f>'[1]Electricity and CHPs'!I49</f>
        <v>2.410495677982215E-3</v>
      </c>
      <c r="N92" s="1">
        <f>'[1]Electricity and CHPs'!J49</f>
        <v>1.9522124646516553E-3</v>
      </c>
      <c r="O92" s="1">
        <f>'[1]Electricity and CHPs'!K49</f>
        <v>3.1346356935418691E-3</v>
      </c>
      <c r="P92" s="1">
        <f>'[1]Electricity and CHPs'!L49</f>
        <v>3.0171691951066271E-3</v>
      </c>
      <c r="Q92" s="1">
        <f>'[1]Electricity and CHPs'!M49</f>
        <v>5.5987157177324253E-3</v>
      </c>
      <c r="S92" s="3"/>
    </row>
    <row r="93" spans="1:19" x14ac:dyDescent="0.5">
      <c r="A93" s="5" t="str">
        <f t="shared" si="68"/>
        <v>STEM</v>
      </c>
      <c r="B93" s="5" t="str">
        <f t="shared" si="69"/>
        <v>SPS1</v>
      </c>
      <c r="C93" s="5" t="str">
        <f t="shared" si="70"/>
        <v>CH</v>
      </c>
      <c r="D93" t="s">
        <v>46</v>
      </c>
      <c r="E93" t="str">
        <f>E156</f>
        <v>PJ/yr.</v>
      </c>
      <c r="F93" s="1">
        <f>'[1]Electricity and CHPs'!B51</f>
        <v>2.7833687428223744E-2</v>
      </c>
      <c r="G93" s="1">
        <f>'[1]Electricity and CHPs'!C51</f>
        <v>2.3690469794095247E-2</v>
      </c>
      <c r="H93" s="1">
        <f>'[1]Electricity and CHPs'!D51</f>
        <v>0.10400113468331124</v>
      </c>
      <c r="I93" s="1">
        <f>'[1]Electricity and CHPs'!E51</f>
        <v>0.62832020547829548</v>
      </c>
      <c r="J93" s="1">
        <f>'[1]Electricity and CHPs'!F51</f>
        <v>0.65805732529300653</v>
      </c>
      <c r="K93" s="1">
        <f>'[1]Electricity and CHPs'!G51</f>
        <v>0.7407487136467108</v>
      </c>
      <c r="L93" s="1">
        <f>'[1]Electricity and CHPs'!H51</f>
        <v>0.67254754373628389</v>
      </c>
      <c r="M93" s="1">
        <f>'[1]Electricity and CHPs'!I51</f>
        <v>0.72811866115842372</v>
      </c>
      <c r="N93" s="1">
        <f>'[1]Electricity and CHPs'!J51</f>
        <v>0.71190457040986366</v>
      </c>
      <c r="O93" s="1">
        <f>'[1]Electricity and CHPs'!K51</f>
        <v>0.67503877163601167</v>
      </c>
      <c r="P93" s="1">
        <f>'[1]Electricity and CHPs'!L51</f>
        <v>0.6153562530525859</v>
      </c>
      <c r="Q93" s="1">
        <f>'[1]Electricity and CHPs'!M51</f>
        <v>0.54291223585891812</v>
      </c>
      <c r="S93" s="3"/>
    </row>
    <row r="94" spans="1:19" x14ac:dyDescent="0.5">
      <c r="A94" s="5" t="str">
        <f t="shared" si="68"/>
        <v>STEM</v>
      </c>
      <c r="B94" s="5" t="str">
        <f t="shared" si="69"/>
        <v>SPS1</v>
      </c>
      <c r="C94" s="5" t="str">
        <f t="shared" si="70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1.1539223720099271E-3</v>
      </c>
      <c r="J94" s="1">
        <f>'[1]Electricity and CHPs'!F52</f>
        <v>4.6087313504237833E-3</v>
      </c>
      <c r="K94" s="1">
        <f>'[1]Electricity and CHPs'!G52</f>
        <v>4.7250821372716439E-3</v>
      </c>
      <c r="L94" s="1">
        <f>'[1]Electricity and CHPs'!H52</f>
        <v>5.3302873407040843E-3</v>
      </c>
      <c r="M94" s="1">
        <f>'[1]Electricity and CHPs'!I52</f>
        <v>1.4655305742700051E-2</v>
      </c>
      <c r="N94" s="1">
        <f>'[1]Electricity and CHPs'!J52</f>
        <v>1.2627137591413963E-2</v>
      </c>
      <c r="O94" s="1">
        <f>'[1]Electricity and CHPs'!K52</f>
        <v>2.5812962924490541E-2</v>
      </c>
      <c r="P94" s="1">
        <f>'[1]Electricity and CHPs'!L52</f>
        <v>2.5077106208255737E-2</v>
      </c>
      <c r="Q94" s="1">
        <f>'[1]Electricity and CHPs'!M52</f>
        <v>4.4154881755204115E-2</v>
      </c>
      <c r="S94" s="3"/>
    </row>
    <row r="95" spans="1:19" x14ac:dyDescent="0.5">
      <c r="A95" s="5" t="str">
        <f t="shared" si="68"/>
        <v>STEM</v>
      </c>
      <c r="B95" s="5" t="str">
        <f t="shared" si="69"/>
        <v>SPS1</v>
      </c>
      <c r="C95" s="5" t="str">
        <f t="shared" si="70"/>
        <v>CH</v>
      </c>
      <c r="D95" t="s">
        <v>84</v>
      </c>
      <c r="E95" t="str">
        <f>E157</f>
        <v>PJ/yr.</v>
      </c>
      <c r="F95" s="1">
        <f>'[1]Electricity and CHPs'!B54</f>
        <v>0.95937154447778306</v>
      </c>
      <c r="G95" s="1">
        <f>'[1]Electricity and CHPs'!C54</f>
        <v>1.1060026264677421</v>
      </c>
      <c r="H95" s="1">
        <f>'[1]Electricity and CHPs'!D54</f>
        <v>1.1060020092072389</v>
      </c>
      <c r="I95" s="1">
        <f>'[1]Electricity and CHPs'!E54</f>
        <v>1.1059997394890209</v>
      </c>
      <c r="J95" s="1">
        <f>'[1]Electricity and CHPs'!F54</f>
        <v>1.1060000247927093</v>
      </c>
      <c r="K95" s="1">
        <f>'[1]Electricity and CHPs'!G54</f>
        <v>1.1060010550618784</v>
      </c>
      <c r="L95" s="1">
        <f>'[1]Electricity and CHPs'!H54</f>
        <v>1.1060026591657277</v>
      </c>
      <c r="M95" s="1">
        <f>'[1]Electricity and CHPs'!I54</f>
        <v>1.1060074028093589</v>
      </c>
      <c r="N95" s="1">
        <f>'[1]Electricity and CHPs'!J54</f>
        <v>1.1060089377793842</v>
      </c>
      <c r="O95" s="1">
        <f>'[1]Electricity and CHPs'!K54</f>
        <v>1.1060174126417279</v>
      </c>
      <c r="P95" s="1">
        <f>'[1]Electricity and CHPs'!L54</f>
        <v>1.1060272334802825</v>
      </c>
      <c r="Q95" s="1">
        <f>'[1]Electricity and CHPs'!M54</f>
        <v>1.155836960213853</v>
      </c>
      <c r="S95" s="3"/>
    </row>
    <row r="96" spans="1:19" x14ac:dyDescent="0.5">
      <c r="A96" s="5" t="str">
        <f t="shared" si="68"/>
        <v>STEM</v>
      </c>
      <c r="B96" s="5" t="str">
        <f t="shared" si="69"/>
        <v>SPS1</v>
      </c>
      <c r="C96" s="5" t="str">
        <f t="shared" si="70"/>
        <v>CH</v>
      </c>
      <c r="D96" t="s">
        <v>85</v>
      </c>
      <c r="E96" t="str">
        <f>E95</f>
        <v>PJ/yr.</v>
      </c>
      <c r="F96" s="1">
        <f>'[1]Electricity and CHPs'!B55</f>
        <v>0.59442788420400838</v>
      </c>
      <c r="G96" s="1">
        <f>'[1]Electricity and CHPs'!C55</f>
        <v>0.62588768449998855</v>
      </c>
      <c r="H96" s="1">
        <f>'[1]Electricity and CHPs'!D55</f>
        <v>0.52643581164925846</v>
      </c>
      <c r="I96" s="1">
        <f>'[1]Electricity and CHPs'!E55</f>
        <v>2.2370827320491253</v>
      </c>
      <c r="J96" s="1">
        <f>'[1]Electricity and CHPs'!F55</f>
        <v>3.9462082160892913</v>
      </c>
      <c r="K96" s="1">
        <f>'[1]Electricity and CHPs'!G55</f>
        <v>3.7633702379032594</v>
      </c>
      <c r="L96" s="1">
        <f>'[1]Electricity and CHPs'!H55</f>
        <v>3.7042040399423022</v>
      </c>
      <c r="M96" s="1">
        <f>'[1]Electricity and CHPs'!I55</f>
        <v>2.5767816055801904</v>
      </c>
      <c r="N96" s="1">
        <f>'[1]Electricity and CHPs'!J55</f>
        <v>2.5810695637114134</v>
      </c>
      <c r="O96" s="1">
        <f>'[1]Electricity and CHPs'!K55</f>
        <v>2.635674099873865</v>
      </c>
      <c r="P96" s="1">
        <f>'[1]Electricity and CHPs'!L55</f>
        <v>2.8407042742867064</v>
      </c>
      <c r="Q96" s="1">
        <f>'[1]Electricity and CHPs'!M55</f>
        <v>3.0037339162220227</v>
      </c>
      <c r="S96" s="3"/>
    </row>
    <row r="97" spans="1:19" x14ac:dyDescent="0.5">
      <c r="A97" s="5" t="str">
        <f t="shared" si="68"/>
        <v>STEM</v>
      </c>
      <c r="B97" s="5" t="str">
        <f t="shared" si="69"/>
        <v>SPS1</v>
      </c>
      <c r="C97" s="5" t="str">
        <f t="shared" si="70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1.5482697969182767E-3</v>
      </c>
      <c r="J97" s="1">
        <f>'[1]Electricity and CHPs'!F58</f>
        <v>5.0160456906486479E-3</v>
      </c>
      <c r="K97" s="1">
        <f>'[1]Electricity and CHPs'!G58</f>
        <v>4.8652148536410481E-3</v>
      </c>
      <c r="L97" s="1">
        <f>'[1]Electricity and CHPs'!H58</f>
        <v>3.6935913152874459E-3</v>
      </c>
      <c r="M97" s="1">
        <f>'[1]Electricity and CHPs'!I58</f>
        <v>8.0401352033081953E-3</v>
      </c>
      <c r="N97" s="1">
        <f>'[1]Electricity and CHPs'!J58</f>
        <v>8.0583033708022927E-3</v>
      </c>
      <c r="O97" s="1">
        <f>'[1]Electricity and CHPs'!K58</f>
        <v>1.7102008247060679E-2</v>
      </c>
      <c r="P97" s="1">
        <f>'[1]Electricity and CHPs'!L58</f>
        <v>1.3202210715426897E-2</v>
      </c>
      <c r="Q97" s="1">
        <f>'[1]Electricity and CHPs'!M58</f>
        <v>3.0320257447241102E-2</v>
      </c>
      <c r="S97" s="3"/>
    </row>
    <row r="98" spans="1:19" x14ac:dyDescent="0.5">
      <c r="A98" s="5" t="str">
        <f t="shared" ref="A98:A113" si="92">A97</f>
        <v>STEM</v>
      </c>
      <c r="B98" s="5" t="str">
        <f t="shared" ref="B98:B113" si="93">B97</f>
        <v>SPS1</v>
      </c>
      <c r="C98" s="5" t="str">
        <f t="shared" ref="C98:C113" si="94">C97</f>
        <v>CH</v>
      </c>
      <c r="D98" t="s">
        <v>797</v>
      </c>
      <c r="E98" t="str">
        <f t="shared" ref="E98:E108" si="95">E173</f>
        <v>PJ/yr.</v>
      </c>
      <c r="F98" s="1">
        <f>F82-F114</f>
        <v>2.2128616940695922</v>
      </c>
      <c r="G98" s="1">
        <f t="shared" ref="G98:K98" si="96">G82-G114</f>
        <v>0.71070582253662828</v>
      </c>
      <c r="H98" s="1">
        <f t="shared" si="96"/>
        <v>0.64921135111180694</v>
      </c>
      <c r="I98" s="1">
        <f>I82-I114</f>
        <v>4.2434343416037281</v>
      </c>
      <c r="J98" s="1">
        <f t="shared" si="96"/>
        <v>5.4833578325082186</v>
      </c>
      <c r="K98" s="1">
        <f t="shared" si="96"/>
        <v>5.9686091766275187</v>
      </c>
      <c r="L98" s="1">
        <f t="shared" ref="L98:O98" si="97">L82-L114</f>
        <v>10.121246191970567</v>
      </c>
      <c r="M98" s="1">
        <f t="shared" si="97"/>
        <v>13.258490330663717</v>
      </c>
      <c r="N98" s="1">
        <f t="shared" si="97"/>
        <v>14.32924833370182</v>
      </c>
      <c r="O98" s="1">
        <f t="shared" si="97"/>
        <v>15.609688864189334</v>
      </c>
      <c r="P98" s="1">
        <f t="shared" ref="P98:Q113" si="98">P82-P114</f>
        <v>15.935911068280593</v>
      </c>
      <c r="Q98" s="1">
        <f t="shared" si="98"/>
        <v>15.183340392302366</v>
      </c>
      <c r="S98" s="3"/>
    </row>
    <row r="99" spans="1:19" x14ac:dyDescent="0.5">
      <c r="A99" s="5" t="str">
        <f t="shared" si="92"/>
        <v>STEM</v>
      </c>
      <c r="B99" s="5" t="str">
        <f t="shared" si="93"/>
        <v>SPS1</v>
      </c>
      <c r="C99" s="5" t="str">
        <f t="shared" si="94"/>
        <v>CH</v>
      </c>
      <c r="D99" t="s">
        <v>552</v>
      </c>
      <c r="E99" t="str">
        <f t="shared" si="95"/>
        <v>PJ/yr.</v>
      </c>
      <c r="F99" s="1">
        <f t="shared" ref="F99:K99" si="99">F83-F115</f>
        <v>0</v>
      </c>
      <c r="G99" s="1">
        <f t="shared" si="99"/>
        <v>0</v>
      </c>
      <c r="H99" s="1">
        <f t="shared" si="99"/>
        <v>0</v>
      </c>
      <c r="I99" s="1">
        <f t="shared" si="99"/>
        <v>0</v>
      </c>
      <c r="J99" s="1">
        <f t="shared" si="99"/>
        <v>0</v>
      </c>
      <c r="K99" s="1">
        <f t="shared" si="99"/>
        <v>2.0002037437969869E-2</v>
      </c>
      <c r="L99" s="1">
        <f t="shared" ref="L99:O99" si="100">L83-L115</f>
        <v>3.5401789201827873</v>
      </c>
      <c r="M99" s="1">
        <f t="shared" si="100"/>
        <v>8.5195766015369525</v>
      </c>
      <c r="N99" s="1">
        <f t="shared" si="100"/>
        <v>9.6232651287062136</v>
      </c>
      <c r="O99" s="1">
        <f t="shared" si="100"/>
        <v>11.336301427103827</v>
      </c>
      <c r="P99" s="1">
        <f t="shared" si="98"/>
        <v>12.24463190007169</v>
      </c>
      <c r="Q99" s="1">
        <f t="shared" si="98"/>
        <v>11.204396045001232</v>
      </c>
      <c r="S99" s="3"/>
    </row>
    <row r="100" spans="1:19" x14ac:dyDescent="0.5">
      <c r="A100" s="5" t="str">
        <f t="shared" si="92"/>
        <v>STEM</v>
      </c>
      <c r="B100" s="5" t="str">
        <f t="shared" si="93"/>
        <v>SPS1</v>
      </c>
      <c r="C100" s="5" t="str">
        <f t="shared" si="94"/>
        <v>CH</v>
      </c>
      <c r="D100" t="s">
        <v>553</v>
      </c>
      <c r="E100" t="str">
        <f t="shared" si="95"/>
        <v>PJ/yr.</v>
      </c>
      <c r="F100" s="1">
        <f t="shared" ref="F100:K100" si="101">F84-F116</f>
        <v>0</v>
      </c>
      <c r="G100" s="1">
        <f t="shared" si="101"/>
        <v>0</v>
      </c>
      <c r="H100" s="1">
        <f t="shared" si="101"/>
        <v>0</v>
      </c>
      <c r="I100" s="1">
        <f t="shared" si="101"/>
        <v>0</v>
      </c>
      <c r="J100" s="1">
        <f t="shared" si="101"/>
        <v>8.6655069246235981E-3</v>
      </c>
      <c r="K100" s="1">
        <f t="shared" si="101"/>
        <v>6.5812651344388642E-2</v>
      </c>
      <c r="L100" s="1">
        <f t="shared" ref="L100:O100" si="102">L84-L116</f>
        <v>0.45394598904490119</v>
      </c>
      <c r="M100" s="1">
        <f t="shared" si="102"/>
        <v>0.25867285599838086</v>
      </c>
      <c r="N100" s="1">
        <f t="shared" si="102"/>
        <v>0.39318358211033833</v>
      </c>
      <c r="O100" s="1">
        <f t="shared" si="102"/>
        <v>0.30286195596439269</v>
      </c>
      <c r="P100" s="1">
        <f t="shared" si="98"/>
        <v>5.1029077746239673E-2</v>
      </c>
      <c r="Q100" s="1">
        <f t="shared" si="98"/>
        <v>0.16962789870228653</v>
      </c>
      <c r="S100" s="3"/>
    </row>
    <row r="101" spans="1:19" x14ac:dyDescent="0.5">
      <c r="A101" s="5" t="str">
        <f t="shared" si="92"/>
        <v>STEM</v>
      </c>
      <c r="B101" s="5" t="str">
        <f t="shared" si="93"/>
        <v>SPS1</v>
      </c>
      <c r="C101" s="5" t="str">
        <f t="shared" si="94"/>
        <v>CH</v>
      </c>
      <c r="D101" t="s">
        <v>554</v>
      </c>
      <c r="E101" t="str">
        <f t="shared" si="95"/>
        <v>PJ/yr.</v>
      </c>
      <c r="F101" s="1">
        <f t="shared" ref="F101:K101" si="103">F85-F117</f>
        <v>0</v>
      </c>
      <c r="G101" s="1">
        <f t="shared" si="103"/>
        <v>0</v>
      </c>
      <c r="H101" s="1">
        <f t="shared" si="103"/>
        <v>0</v>
      </c>
      <c r="I101" s="1">
        <f t="shared" si="103"/>
        <v>0</v>
      </c>
      <c r="J101" s="1">
        <f t="shared" si="103"/>
        <v>0</v>
      </c>
      <c r="K101" s="1">
        <f t="shared" si="103"/>
        <v>0</v>
      </c>
      <c r="L101" s="1">
        <f t="shared" ref="L101:O101" si="104">L85-L117</f>
        <v>0</v>
      </c>
      <c r="M101" s="1">
        <f t="shared" si="104"/>
        <v>0</v>
      </c>
      <c r="N101" s="1">
        <f t="shared" si="104"/>
        <v>0</v>
      </c>
      <c r="O101" s="1">
        <f t="shared" si="104"/>
        <v>0</v>
      </c>
      <c r="P101" s="1">
        <f t="shared" si="98"/>
        <v>0</v>
      </c>
      <c r="Q101" s="1">
        <f t="shared" si="98"/>
        <v>0</v>
      </c>
      <c r="S101" s="3"/>
    </row>
    <row r="102" spans="1:19" x14ac:dyDescent="0.5">
      <c r="A102" s="5" t="str">
        <f t="shared" si="92"/>
        <v>STEM</v>
      </c>
      <c r="B102" s="5" t="str">
        <f t="shared" si="93"/>
        <v>SPS1</v>
      </c>
      <c r="C102" s="5" t="str">
        <f t="shared" si="94"/>
        <v>CH</v>
      </c>
      <c r="D102" t="s">
        <v>555</v>
      </c>
      <c r="E102" t="str">
        <f t="shared" si="95"/>
        <v>PJ/yr.</v>
      </c>
      <c r="F102" s="1">
        <f t="shared" ref="F102:K102" si="105">F86-F118</f>
        <v>0.94058174528823846</v>
      </c>
      <c r="G102" s="1">
        <f t="shared" si="105"/>
        <v>1.5426671547100711E-4</v>
      </c>
      <c r="H102" s="1">
        <f t="shared" si="105"/>
        <v>1.4542451100654854E-2</v>
      </c>
      <c r="I102" s="1">
        <f t="shared" si="105"/>
        <v>0.85693259294530522</v>
      </c>
      <c r="J102" s="1">
        <f t="shared" si="105"/>
        <v>0.37686750774738298</v>
      </c>
      <c r="K102" s="1">
        <f t="shared" si="105"/>
        <v>0.85093827591034943</v>
      </c>
      <c r="L102" s="1">
        <f t="shared" ref="L102:O102" si="106">L86-L118</f>
        <v>0.69776976446612793</v>
      </c>
      <c r="M102" s="1">
        <f t="shared" si="106"/>
        <v>0.11226321056284208</v>
      </c>
      <c r="N102" s="1">
        <f t="shared" si="106"/>
        <v>0.11774960757109848</v>
      </c>
      <c r="O102" s="1">
        <f t="shared" si="106"/>
        <v>1.5581072712271634E-2</v>
      </c>
      <c r="P102" s="1">
        <f t="shared" si="98"/>
        <v>4.9732812849372122E-3</v>
      </c>
      <c r="Q102" s="1">
        <f t="shared" si="98"/>
        <v>5.7519009902854395E-3</v>
      </c>
      <c r="S102" s="3"/>
    </row>
    <row r="103" spans="1:19" x14ac:dyDescent="0.5">
      <c r="A103" s="5" t="str">
        <f t="shared" si="92"/>
        <v>STEM</v>
      </c>
      <c r="B103" s="5" t="str">
        <f t="shared" si="93"/>
        <v>SPS1</v>
      </c>
      <c r="C103" s="5" t="str">
        <f t="shared" si="94"/>
        <v>CH</v>
      </c>
      <c r="D103" t="s">
        <v>556</v>
      </c>
      <c r="E103" t="str">
        <f t="shared" si="95"/>
        <v>PJ/yr.</v>
      </c>
      <c r="F103" s="1">
        <f t="shared" ref="F103:K103" si="107">F87-F119</f>
        <v>0</v>
      </c>
      <c r="G103" s="1">
        <f t="shared" si="107"/>
        <v>0</v>
      </c>
      <c r="H103" s="1">
        <f t="shared" si="107"/>
        <v>0</v>
      </c>
      <c r="I103" s="1">
        <f t="shared" si="107"/>
        <v>0</v>
      </c>
      <c r="J103" s="1">
        <f t="shared" si="107"/>
        <v>0</v>
      </c>
      <c r="K103" s="1">
        <f t="shared" si="107"/>
        <v>0.44992425966687993</v>
      </c>
      <c r="L103" s="1">
        <f t="shared" ref="L103:O103" si="108">L87-L119</f>
        <v>0.99644197805669388</v>
      </c>
      <c r="M103" s="1">
        <f t="shared" si="108"/>
        <v>0.998249534889463</v>
      </c>
      <c r="N103" s="1">
        <f t="shared" si="108"/>
        <v>0.87056290850592066</v>
      </c>
      <c r="O103" s="1">
        <f t="shared" si="108"/>
        <v>0.58033605914492237</v>
      </c>
      <c r="P103" s="1">
        <f t="shared" si="98"/>
        <v>2.8776012875162616E-2</v>
      </c>
      <c r="Q103" s="1">
        <f t="shared" si="98"/>
        <v>1.9574729152633204E-2</v>
      </c>
      <c r="S103" s="3"/>
    </row>
    <row r="104" spans="1:19" x14ac:dyDescent="0.5">
      <c r="A104" s="5" t="str">
        <f t="shared" si="92"/>
        <v>STEM</v>
      </c>
      <c r="B104" s="5" t="str">
        <f t="shared" si="93"/>
        <v>SPS1</v>
      </c>
      <c r="C104" s="5" t="str">
        <f t="shared" si="94"/>
        <v>CH</v>
      </c>
      <c r="D104" t="s">
        <v>557</v>
      </c>
      <c r="E104" t="str">
        <f t="shared" si="95"/>
        <v>PJ/yr.</v>
      </c>
      <c r="F104" s="1">
        <f t="shared" ref="F104:K104" si="109">F88-F120</f>
        <v>0.65243031369341986</v>
      </c>
      <c r="G104" s="1">
        <f t="shared" si="109"/>
        <v>8.6421216270259921E-2</v>
      </c>
      <c r="H104" s="1">
        <f t="shared" si="109"/>
        <v>5.2257709845255129E-2</v>
      </c>
      <c r="I104" s="1">
        <f t="shared" si="109"/>
        <v>0.62636603610793207</v>
      </c>
      <c r="J104" s="1">
        <f t="shared" si="109"/>
        <v>0.6216820912637806</v>
      </c>
      <c r="K104" s="1">
        <f t="shared" si="109"/>
        <v>0.15722174618785101</v>
      </c>
      <c r="L104" s="1">
        <f t="shared" ref="L104:O104" si="110">L88-L120</f>
        <v>0.10141436799519064</v>
      </c>
      <c r="M104" s="1">
        <f t="shared" si="110"/>
        <v>6.1145464454372259E-2</v>
      </c>
      <c r="N104" s="1">
        <f t="shared" si="110"/>
        <v>3.042252354342621E-2</v>
      </c>
      <c r="O104" s="1">
        <f t="shared" si="110"/>
        <v>3.3175256539347824E-2</v>
      </c>
      <c r="P104" s="1">
        <f t="shared" si="98"/>
        <v>4.8480129044442981E-2</v>
      </c>
      <c r="Q104" s="1">
        <f t="shared" si="98"/>
        <v>8.1868453562611812E-2</v>
      </c>
      <c r="S104" s="3"/>
    </row>
    <row r="105" spans="1:19" x14ac:dyDescent="0.5">
      <c r="A105" s="5" t="str">
        <f t="shared" si="92"/>
        <v>STEM</v>
      </c>
      <c r="B105" s="5" t="str">
        <f t="shared" si="93"/>
        <v>SPS1</v>
      </c>
      <c r="C105" s="5" t="str">
        <f t="shared" si="94"/>
        <v>CH</v>
      </c>
      <c r="D105" t="s">
        <v>558</v>
      </c>
      <c r="E105" t="str">
        <f t="shared" si="95"/>
        <v>PJ/yr.</v>
      </c>
      <c r="F105" s="1">
        <f t="shared" ref="F105:K105" si="111">F89-F121</f>
        <v>0</v>
      </c>
      <c r="G105" s="1">
        <f t="shared" si="111"/>
        <v>0</v>
      </c>
      <c r="H105" s="1">
        <f t="shared" si="111"/>
        <v>0</v>
      </c>
      <c r="I105" s="1">
        <f t="shared" si="111"/>
        <v>0</v>
      </c>
      <c r="J105" s="1">
        <f t="shared" si="111"/>
        <v>0</v>
      </c>
      <c r="K105" s="1">
        <f t="shared" si="111"/>
        <v>0</v>
      </c>
      <c r="L105" s="1">
        <f t="shared" ref="L105:O105" si="112">L89-L121</f>
        <v>0</v>
      </c>
      <c r="M105" s="1">
        <f t="shared" si="112"/>
        <v>0</v>
      </c>
      <c r="N105" s="1">
        <f t="shared" si="112"/>
        <v>0</v>
      </c>
      <c r="O105" s="1">
        <f t="shared" si="112"/>
        <v>0</v>
      </c>
      <c r="P105" s="1">
        <f t="shared" si="98"/>
        <v>0</v>
      </c>
      <c r="Q105" s="1">
        <f t="shared" si="98"/>
        <v>0</v>
      </c>
      <c r="S105" s="3"/>
    </row>
    <row r="106" spans="1:19" x14ac:dyDescent="0.5">
      <c r="A106" s="5" t="str">
        <f t="shared" si="92"/>
        <v>STEM</v>
      </c>
      <c r="B106" s="5" t="str">
        <f t="shared" si="93"/>
        <v>SPS1</v>
      </c>
      <c r="C106" s="5" t="str">
        <f t="shared" si="94"/>
        <v>CH</v>
      </c>
      <c r="D106" t="s">
        <v>559</v>
      </c>
      <c r="E106" t="str">
        <f t="shared" si="95"/>
        <v>PJ/yr.</v>
      </c>
      <c r="F106" s="1">
        <f t="shared" ref="F106:K106" si="113">F90-F122</f>
        <v>0</v>
      </c>
      <c r="G106" s="1">
        <f t="shared" si="113"/>
        <v>0</v>
      </c>
      <c r="H106" s="1">
        <f t="shared" si="113"/>
        <v>0</v>
      </c>
      <c r="I106" s="1">
        <f t="shared" si="113"/>
        <v>1.3945277349996764E-3</v>
      </c>
      <c r="J106" s="1">
        <f t="shared" si="113"/>
        <v>2.029002132005867E-3</v>
      </c>
      <c r="K106" s="1">
        <f t="shared" si="113"/>
        <v>3.583781822530511E-3</v>
      </c>
      <c r="L106" s="1">
        <f t="shared" ref="L106:O106" si="114">L90-L122</f>
        <v>4.7412772717867497E-3</v>
      </c>
      <c r="M106" s="1">
        <f t="shared" si="114"/>
        <v>9.367796342367762E-3</v>
      </c>
      <c r="N106" s="1">
        <f t="shared" si="114"/>
        <v>7.554462182443206E-3</v>
      </c>
      <c r="O106" s="1">
        <f t="shared" si="114"/>
        <v>1.1400218114276859E-2</v>
      </c>
      <c r="P106" s="1">
        <f t="shared" si="98"/>
        <v>1.2784095699624926E-2</v>
      </c>
      <c r="Q106" s="1">
        <f t="shared" si="98"/>
        <v>2.310397217296644E-2</v>
      </c>
      <c r="S106" s="3"/>
    </row>
    <row r="107" spans="1:19" x14ac:dyDescent="0.5">
      <c r="A107" s="5" t="str">
        <f t="shared" si="92"/>
        <v>STEM</v>
      </c>
      <c r="B107" s="5" t="str">
        <f t="shared" si="93"/>
        <v>SPS1</v>
      </c>
      <c r="C107" s="5" t="str">
        <f t="shared" si="94"/>
        <v>CH</v>
      </c>
      <c r="D107" t="s">
        <v>560</v>
      </c>
      <c r="E107" t="str">
        <f t="shared" si="95"/>
        <v>PJ/yr.</v>
      </c>
      <c r="F107" s="1">
        <f t="shared" ref="F107:K107" si="115">F91-F123</f>
        <v>1.3888183676393303E-2</v>
      </c>
      <c r="G107" s="1">
        <f t="shared" si="115"/>
        <v>2.8654971753865185E-3</v>
      </c>
      <c r="H107" s="1">
        <f t="shared" si="115"/>
        <v>9.4207128986046225E-3</v>
      </c>
      <c r="I107" s="1">
        <f t="shared" si="115"/>
        <v>9.3805242114938653E-3</v>
      </c>
      <c r="J107" s="1">
        <f t="shared" si="115"/>
        <v>1.288560220582113E-2</v>
      </c>
      <c r="K107" s="1">
        <f t="shared" si="115"/>
        <v>1.4253394599811942E-2</v>
      </c>
      <c r="L107" s="1">
        <f t="shared" ref="L107:O107" si="116">L91-L123</f>
        <v>1.8380913640423907E-2</v>
      </c>
      <c r="M107" s="1">
        <f t="shared" si="116"/>
        <v>2.3059968398570246E-2</v>
      </c>
      <c r="N107" s="1">
        <f t="shared" si="116"/>
        <v>2.0069741113787232E-2</v>
      </c>
      <c r="O107" s="1">
        <f t="shared" si="116"/>
        <v>2.1089266873738098E-2</v>
      </c>
      <c r="P107" s="1">
        <f t="shared" si="98"/>
        <v>9.8719636211216585E-2</v>
      </c>
      <c r="Q107" s="1">
        <f t="shared" si="98"/>
        <v>0.11016748696025239</v>
      </c>
      <c r="S107" s="3"/>
    </row>
    <row r="108" spans="1:19" x14ac:dyDescent="0.5">
      <c r="A108" s="5" t="str">
        <f t="shared" si="92"/>
        <v>STEM</v>
      </c>
      <c r="B108" s="5" t="str">
        <f t="shared" si="93"/>
        <v>SPS1</v>
      </c>
      <c r="C108" s="5" t="str">
        <f t="shared" si="94"/>
        <v>CH</v>
      </c>
      <c r="D108" t="s">
        <v>561</v>
      </c>
      <c r="E108" t="str">
        <f t="shared" si="95"/>
        <v>PJ/yr.</v>
      </c>
      <c r="F108" s="1">
        <f t="shared" ref="F108:K108" si="117">F92-F124</f>
        <v>0</v>
      </c>
      <c r="G108" s="1">
        <f t="shared" si="117"/>
        <v>0</v>
      </c>
      <c r="H108" s="1">
        <f t="shared" si="117"/>
        <v>0</v>
      </c>
      <c r="I108" s="1">
        <f t="shared" si="117"/>
        <v>2.5180883487350601E-4</v>
      </c>
      <c r="J108" s="1">
        <f t="shared" si="117"/>
        <v>9.0692939763730254E-4</v>
      </c>
      <c r="K108" s="1">
        <f t="shared" si="117"/>
        <v>9.3365560030109792E-4</v>
      </c>
      <c r="L108" s="1">
        <f t="shared" ref="L108:O108" si="118">L92-L124</f>
        <v>9.9097974790971302E-4</v>
      </c>
      <c r="M108" s="1">
        <f t="shared" si="118"/>
        <v>2.3715142678153831E-3</v>
      </c>
      <c r="N108" s="1">
        <f t="shared" si="118"/>
        <v>1.9232606328534417E-3</v>
      </c>
      <c r="O108" s="1">
        <f t="shared" si="118"/>
        <v>3.0899811373456291E-3</v>
      </c>
      <c r="P108" s="1">
        <f t="shared" si="98"/>
        <v>2.9733094699020053E-3</v>
      </c>
      <c r="Q108" s="1">
        <f t="shared" si="98"/>
        <v>5.5093792801857149E-3</v>
      </c>
      <c r="S108" s="3"/>
    </row>
    <row r="109" spans="1:19" x14ac:dyDescent="0.5">
      <c r="A109" s="5" t="str">
        <f t="shared" si="92"/>
        <v>STEM</v>
      </c>
      <c r="B109" s="5" t="str">
        <f t="shared" si="93"/>
        <v>SPS1</v>
      </c>
      <c r="C109" s="5" t="str">
        <f t="shared" si="94"/>
        <v>CH</v>
      </c>
      <c r="D109" t="s">
        <v>562</v>
      </c>
      <c r="E109" t="str">
        <f>E185</f>
        <v>PJ/yr.</v>
      </c>
      <c r="F109" s="1">
        <f t="shared" ref="F109:K109" si="119">F93-F125</f>
        <v>2.7104584954363544E-2</v>
      </c>
      <c r="G109" s="1">
        <f t="shared" si="119"/>
        <v>2.2657867856447456E-2</v>
      </c>
      <c r="H109" s="1">
        <f t="shared" si="119"/>
        <v>9.452437733097975E-2</v>
      </c>
      <c r="I109" s="1">
        <f t="shared" si="119"/>
        <v>0.6022515077083842</v>
      </c>
      <c r="J109" s="1">
        <f t="shared" si="119"/>
        <v>0.63615448819532983</v>
      </c>
      <c r="K109" s="1">
        <f t="shared" si="119"/>
        <v>0.72306250669412797</v>
      </c>
      <c r="L109" s="1">
        <f t="shared" ref="L109:O109" si="120">L93-L125</f>
        <v>0.66052610535246115</v>
      </c>
      <c r="M109" s="1">
        <f t="shared" si="120"/>
        <v>0.71634386627287561</v>
      </c>
      <c r="N109" s="1">
        <f t="shared" si="120"/>
        <v>0.70134683565912093</v>
      </c>
      <c r="O109" s="1">
        <f t="shared" si="120"/>
        <v>0.66542248454250208</v>
      </c>
      <c r="P109" s="1">
        <f t="shared" si="98"/>
        <v>0.60641099529057352</v>
      </c>
      <c r="Q109" s="1">
        <f t="shared" si="98"/>
        <v>0.53424920535380804</v>
      </c>
      <c r="S109" s="3"/>
    </row>
    <row r="110" spans="1:19" x14ac:dyDescent="0.5">
      <c r="A110" s="5" t="str">
        <f t="shared" si="92"/>
        <v>STEM</v>
      </c>
      <c r="B110" s="5" t="str">
        <f t="shared" si="93"/>
        <v>SPS1</v>
      </c>
      <c r="C110" s="5" t="str">
        <f t="shared" si="94"/>
        <v>CH</v>
      </c>
      <c r="D110" t="s">
        <v>563</v>
      </c>
      <c r="E110" t="str">
        <f>E187</f>
        <v>PJ/yr.</v>
      </c>
      <c r="F110" s="1">
        <f t="shared" ref="F110:K110" si="121">F94-F126</f>
        <v>0</v>
      </c>
      <c r="G110" s="1">
        <f t="shared" si="121"/>
        <v>0</v>
      </c>
      <c r="H110" s="1">
        <f t="shared" si="121"/>
        <v>0</v>
      </c>
      <c r="I110" s="1">
        <f t="shared" si="121"/>
        <v>1.1060466976267245E-3</v>
      </c>
      <c r="J110" s="1">
        <f t="shared" si="121"/>
        <v>4.4553339363757882E-3</v>
      </c>
      <c r="K110" s="1">
        <f t="shared" si="121"/>
        <v>4.6122654978254154E-3</v>
      </c>
      <c r="L110" s="1">
        <f t="shared" ref="L110:O110" si="122">L94-L126</f>
        <v>5.2350112201812642E-3</v>
      </c>
      <c r="M110" s="1">
        <f t="shared" si="122"/>
        <v>1.4418306983691809E-2</v>
      </c>
      <c r="N110" s="1">
        <f t="shared" si="122"/>
        <v>1.2439873771384646E-2</v>
      </c>
      <c r="O110" s="1">
        <f t="shared" si="122"/>
        <v>2.5445243509479125E-2</v>
      </c>
      <c r="P110" s="1">
        <f t="shared" si="98"/>
        <v>2.4712567491300443E-2</v>
      </c>
      <c r="Q110" s="1">
        <f t="shared" si="98"/>
        <v>4.3450320203023036E-2</v>
      </c>
      <c r="S110" s="3"/>
    </row>
    <row r="111" spans="1:19" x14ac:dyDescent="0.5">
      <c r="A111" s="5" t="str">
        <f t="shared" si="92"/>
        <v>STEM</v>
      </c>
      <c r="B111" s="5" t="str">
        <f t="shared" si="93"/>
        <v>SPS1</v>
      </c>
      <c r="C111" s="5" t="str">
        <f t="shared" si="94"/>
        <v>CH</v>
      </c>
      <c r="D111" t="s">
        <v>564</v>
      </c>
      <c r="E111" t="str">
        <f>E189</f>
        <v>PJ/yr.</v>
      </c>
      <c r="F111" s="1">
        <f t="shared" ref="F111:K111" si="123">F95-F127</f>
        <v>0</v>
      </c>
      <c r="G111" s="1">
        <f t="shared" si="123"/>
        <v>0</v>
      </c>
      <c r="H111" s="1">
        <f t="shared" si="123"/>
        <v>0</v>
      </c>
      <c r="I111" s="1">
        <f t="shared" si="123"/>
        <v>0</v>
      </c>
      <c r="J111" s="1">
        <f t="shared" si="123"/>
        <v>0</v>
      </c>
      <c r="K111" s="1">
        <f t="shared" si="123"/>
        <v>0</v>
      </c>
      <c r="L111" s="1">
        <f t="shared" ref="L111:O111" si="124">L95-L127</f>
        <v>0</v>
      </c>
      <c r="M111" s="1">
        <f t="shared" si="124"/>
        <v>0</v>
      </c>
      <c r="N111" s="1">
        <f t="shared" si="124"/>
        <v>0</v>
      </c>
      <c r="O111" s="1">
        <f t="shared" si="124"/>
        <v>0</v>
      </c>
      <c r="P111" s="1">
        <f t="shared" si="98"/>
        <v>0</v>
      </c>
      <c r="Q111" s="1">
        <f t="shared" si="98"/>
        <v>0</v>
      </c>
      <c r="S111" s="3"/>
    </row>
    <row r="112" spans="1:19" x14ac:dyDescent="0.5">
      <c r="A112" s="5" t="str">
        <f t="shared" si="92"/>
        <v>STEM</v>
      </c>
      <c r="B112" s="5" t="str">
        <f t="shared" si="93"/>
        <v>SPS1</v>
      </c>
      <c r="C112" s="5" t="str">
        <f t="shared" si="94"/>
        <v>CH</v>
      </c>
      <c r="D112" t="s">
        <v>565</v>
      </c>
      <c r="E112" t="str">
        <f>E190</f>
        <v>PJ/yr.</v>
      </c>
      <c r="F112" s="1">
        <f t="shared" ref="F112:K112" si="125">F96-F128</f>
        <v>0.57885686645717715</v>
      </c>
      <c r="G112" s="1">
        <f t="shared" si="125"/>
        <v>0.59860697451906353</v>
      </c>
      <c r="H112" s="1">
        <f t="shared" si="125"/>
        <v>0.47846609993631251</v>
      </c>
      <c r="I112" s="1">
        <f t="shared" si="125"/>
        <v>2.1442672645222092</v>
      </c>
      <c r="J112" s="1">
        <f t="shared" si="125"/>
        <v>3.8148622795144922</v>
      </c>
      <c r="K112" s="1">
        <f t="shared" si="125"/>
        <v>3.6735155494771754</v>
      </c>
      <c r="L112" s="1">
        <f t="shared" ref="L112:O112" si="126">L96-L128</f>
        <v>3.6379933147051071</v>
      </c>
      <c r="M112" s="1">
        <f t="shared" si="126"/>
        <v>2.5351110970640538</v>
      </c>
      <c r="N112" s="1">
        <f t="shared" si="126"/>
        <v>2.5427916133237769</v>
      </c>
      <c r="O112" s="1">
        <f t="shared" si="126"/>
        <v>2.5981275175229168</v>
      </c>
      <c r="P112" s="1">
        <f t="shared" si="98"/>
        <v>2.7994097691393387</v>
      </c>
      <c r="Q112" s="1">
        <f t="shared" si="98"/>
        <v>2.9558045515351177</v>
      </c>
      <c r="S112" s="3"/>
    </row>
    <row r="113" spans="1:19" x14ac:dyDescent="0.5">
      <c r="A113" s="5" t="str">
        <f t="shared" si="92"/>
        <v>STEM</v>
      </c>
      <c r="B113" s="5" t="str">
        <f t="shared" si="93"/>
        <v>SPS1</v>
      </c>
      <c r="C113" s="5" t="str">
        <f t="shared" si="94"/>
        <v>CH</v>
      </c>
      <c r="D113" t="s">
        <v>566</v>
      </c>
      <c r="E113" t="str">
        <f>E195</f>
        <v>PJ/yr.</v>
      </c>
      <c r="F113" s="1">
        <f t="shared" ref="F113:K113" si="127">F97-F129</f>
        <v>0</v>
      </c>
      <c r="G113" s="1">
        <f t="shared" si="127"/>
        <v>0</v>
      </c>
      <c r="H113" s="1">
        <f>H97-H129</f>
        <v>0</v>
      </c>
      <c r="I113" s="1">
        <f t="shared" si="127"/>
        <v>1.4840328409040735E-3</v>
      </c>
      <c r="J113" s="1">
        <f t="shared" si="127"/>
        <v>4.8490911907684712E-3</v>
      </c>
      <c r="K113" s="1">
        <f t="shared" si="127"/>
        <v>4.7490523883069345E-3</v>
      </c>
      <c r="L113" s="1">
        <f t="shared" ref="L113:O113" si="128">L97-L129</f>
        <v>3.6275702869968994E-3</v>
      </c>
      <c r="M113" s="1">
        <f t="shared" si="128"/>
        <v>7.9101138923306554E-3</v>
      </c>
      <c r="N113" s="1">
        <f t="shared" si="128"/>
        <v>7.9387965814569656E-3</v>
      </c>
      <c r="O113" s="1">
        <f t="shared" si="128"/>
        <v>1.6858381024315049E-2</v>
      </c>
      <c r="P113" s="1">
        <f t="shared" si="98"/>
        <v>1.3010293956164189E-2</v>
      </c>
      <c r="Q113" s="1">
        <f t="shared" si="98"/>
        <v>2.9836449387964838E-2</v>
      </c>
      <c r="S113" s="3"/>
    </row>
    <row r="114" spans="1:19" x14ac:dyDescent="0.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1.018896637305182</v>
      </c>
      <c r="G114" s="1">
        <f t="shared" ref="G114:Q114" si="129">SUM(G115:G129)</f>
        <v>1.1383920910942675</v>
      </c>
      <c r="H114" s="1">
        <f t="shared" si="129"/>
        <v>1.1710901760758023</v>
      </c>
      <c r="I114" s="1">
        <f t="shared" si="129"/>
        <v>1.2896784948625875</v>
      </c>
      <c r="J114" s="1">
        <f t="shared" si="129"/>
        <v>1.2947923631041229</v>
      </c>
      <c r="K114" s="1">
        <f t="shared" si="129"/>
        <v>1.251994044795993</v>
      </c>
      <c r="L114" s="1">
        <f t="shared" si="129"/>
        <v>1.2902072446897923</v>
      </c>
      <c r="M114" s="1">
        <f t="shared" si="129"/>
        <v>1.3239418494988482</v>
      </c>
      <c r="N114" s="1">
        <f t="shared" si="129"/>
        <v>1.3217144851532028</v>
      </c>
      <c r="O114" s="1">
        <f t="shared" si="129"/>
        <v>1.3315992843778583</v>
      </c>
      <c r="P114" s="1">
        <f t="shared" si="129"/>
        <v>1.3411002009649335</v>
      </c>
      <c r="Q114" s="1">
        <f t="shared" si="129"/>
        <v>1.4020399300449002</v>
      </c>
      <c r="S114" s="3"/>
    </row>
    <row r="115" spans="1:19" x14ac:dyDescent="0.5">
      <c r="A115" s="5" t="str">
        <f t="shared" si="68"/>
        <v>STEM</v>
      </c>
      <c r="B115" s="5" t="str">
        <f t="shared" si="69"/>
        <v>SPS1</v>
      </c>
      <c r="C115" s="5" t="str">
        <f t="shared" si="70"/>
        <v>CH</v>
      </c>
      <c r="D115" t="s">
        <v>613</v>
      </c>
      <c r="E115" t="str">
        <f t="shared" ref="E115:E130" si="130">E114</f>
        <v>PJ/yr.</v>
      </c>
      <c r="F115" s="1">
        <f>'[1]Electricity and CHPs_IN'!P$23/SUM('[1]Electricity and CHPs_IN'!P$22:P$23)*F83</f>
        <v>0</v>
      </c>
      <c r="G115" s="1">
        <f>'[1]Electricity and CHPs_IN'!Q$23/SUM('[1]Electricity and CHPs_IN'!Q$22:Q$23)*G83</f>
        <v>0</v>
      </c>
      <c r="H115" s="1">
        <f>'[1]Electricity and CHPs_IN'!R$23/SUM('[1]Electricity and CHPs_IN'!R$22:R$23)*H83</f>
        <v>0</v>
      </c>
      <c r="I115" s="1">
        <f>'[1]Electricity and CHPs_IN'!S$23/SUM('[1]Electricity and CHPs_IN'!S$22:S$23)*I83</f>
        <v>0</v>
      </c>
      <c r="J115" s="1">
        <f>'[1]Electricity and CHPs_IN'!T$23/SUM('[1]Electricity and CHPs_IN'!T$22:T$23)*J83</f>
        <v>0</v>
      </c>
      <c r="K115" s="1">
        <f>'[1]Electricity and CHPs_IN'!U$23/SUM('[1]Electricity and CHPs_IN'!U$22:U$23)*K83</f>
        <v>4.8925254777577962E-4</v>
      </c>
      <c r="L115" s="1">
        <f>'[1]Electricity and CHPs_IN'!V$23/SUM('[1]Electricity and CHPs_IN'!V$22:V$23)*L83</f>
        <v>6.4430523505162984E-2</v>
      </c>
      <c r="M115" s="1">
        <f>'[1]Electricity and CHPs_IN'!W$23/SUM('[1]Electricity and CHPs_IN'!W$22:W$23)*M83</f>
        <v>0.14003926287071702</v>
      </c>
      <c r="N115" s="1">
        <f>'[1]Electricity and CHPs_IN'!X$23/SUM('[1]Electricity and CHPs_IN'!X$22:X$23)*N83</f>
        <v>0.14486396102360613</v>
      </c>
      <c r="O115" s="1">
        <f>'[1]Electricity and CHPs_IN'!Y$23/SUM('[1]Electricity and CHPs_IN'!Y$22:Y$23)*O83</f>
        <v>0.16382543667207522</v>
      </c>
      <c r="P115" s="1">
        <f>'[1]Electricity and CHPs_IN'!Z$23/SUM('[1]Electricity and CHPs_IN'!Z$22:Z$23)*P83</f>
        <v>0.18062236568553058</v>
      </c>
      <c r="Q115" s="1">
        <f>'[1]Electricity and CHPs_IN'!AA$23/SUM('[1]Electricity and CHPs_IN'!AA$22:AA$23)*Q83</f>
        <v>0.18168304932695015</v>
      </c>
      <c r="S115" s="3"/>
    </row>
    <row r="116" spans="1:19" x14ac:dyDescent="0.5">
      <c r="A116" s="5" t="str">
        <f t="shared" si="68"/>
        <v>STEM</v>
      </c>
      <c r="B116" s="5" t="str">
        <f t="shared" si="69"/>
        <v>SPS1</v>
      </c>
      <c r="C116" s="5" t="str">
        <f t="shared" si="70"/>
        <v>CH</v>
      </c>
      <c r="D116" t="s">
        <v>614</v>
      </c>
      <c r="E116" t="str">
        <f t="shared" si="130"/>
        <v>PJ/yr.</v>
      </c>
      <c r="F116" s="1">
        <f>'[1]Electricity and CHPs_IN'!P$23/SUM('[1]Electricity and CHPs_IN'!P$22:P$23)*F84</f>
        <v>0</v>
      </c>
      <c r="G116" s="1">
        <f>'[1]Electricity and CHPs_IN'!Q$23/SUM('[1]Electricity and CHPs_IN'!Q$22:Q$23)*G84</f>
        <v>0</v>
      </c>
      <c r="H116" s="1">
        <f>'[1]Electricity and CHPs_IN'!R$23/SUM('[1]Electricity and CHPs_IN'!R$22:R$23)*H84</f>
        <v>0</v>
      </c>
      <c r="I116" s="1">
        <f>'[1]Electricity and CHPs_IN'!S$23/SUM('[1]Electricity and CHPs_IN'!S$22:S$23)*I84</f>
        <v>0</v>
      </c>
      <c r="J116" s="1">
        <f>'[1]Electricity and CHPs_IN'!T$23/SUM('[1]Electricity and CHPs_IN'!T$22:T$23)*J84</f>
        <v>2.9835392198088596E-4</v>
      </c>
      <c r="K116" s="1">
        <f>'[1]Electricity and CHPs_IN'!U$23/SUM('[1]Electricity and CHPs_IN'!U$22:U$23)*K84</f>
        <v>1.6097863753118398E-3</v>
      </c>
      <c r="L116" s="1">
        <f>'[1]Electricity and CHPs_IN'!V$23/SUM('[1]Electricity and CHPs_IN'!V$22:V$23)*L84</f>
        <v>8.2617230305754782E-3</v>
      </c>
      <c r="M116" s="1">
        <f>'[1]Electricity and CHPs_IN'!W$23/SUM('[1]Electricity and CHPs_IN'!W$22:W$23)*M84</f>
        <v>4.2518962822802042E-3</v>
      </c>
      <c r="N116" s="1">
        <f>'[1]Electricity and CHPs_IN'!X$23/SUM('[1]Electricity and CHPs_IN'!X$22:X$23)*N84</f>
        <v>5.9187947492008409E-3</v>
      </c>
      <c r="O116" s="1">
        <f>'[1]Electricity and CHPs_IN'!Y$23/SUM('[1]Electricity and CHPs_IN'!Y$22:Y$23)*O84</f>
        <v>4.3767795436876773E-3</v>
      </c>
      <c r="P116" s="1">
        <f>'[1]Electricity and CHPs_IN'!Z$23/SUM('[1]Electricity and CHPs_IN'!Z$22:Z$23)*P84</f>
        <v>7.5273742947084502E-4</v>
      </c>
      <c r="Q116" s="1">
        <f>'[1]Electricity and CHPs_IN'!AA$23/SUM('[1]Electricity and CHPs_IN'!AA$22:AA$23)*Q84</f>
        <v>2.7505734145218744E-3</v>
      </c>
      <c r="S116" s="3"/>
    </row>
    <row r="117" spans="1:19" x14ac:dyDescent="0.5">
      <c r="A117" s="5" t="str">
        <f t="shared" si="68"/>
        <v>STEM</v>
      </c>
      <c r="B117" s="5" t="str">
        <f t="shared" si="69"/>
        <v>SPS1</v>
      </c>
      <c r="C117" s="5" t="str">
        <f t="shared" si="70"/>
        <v>CH</v>
      </c>
      <c r="D117" t="s">
        <v>615</v>
      </c>
      <c r="E117" t="str">
        <f t="shared" si="130"/>
        <v>PJ/yr.</v>
      </c>
      <c r="F117" s="1">
        <f>'[1]Electricity and CHPs_IN'!P$23/SUM('[1]Electricity and CHPs_IN'!P$22:P$23)*F85</f>
        <v>0</v>
      </c>
      <c r="G117" s="1">
        <f>'[1]Electricity and CHPs_IN'!Q$23/SUM('[1]Electricity and CHPs_IN'!Q$22:Q$23)*G85</f>
        <v>0</v>
      </c>
      <c r="H117" s="1">
        <f>'[1]Electricity and CHPs_IN'!R$23/SUM('[1]Electricity and CHPs_IN'!R$22:R$23)*H85</f>
        <v>0</v>
      </c>
      <c r="I117" s="1">
        <f>'[1]Electricity and CHPs_IN'!S$23/SUM('[1]Electricity and CHPs_IN'!S$22:S$23)*I85</f>
        <v>0</v>
      </c>
      <c r="J117" s="1">
        <f>'[1]Electricity and CHPs_IN'!T$23/SUM('[1]Electricity and CHPs_IN'!T$22:T$23)*J85</f>
        <v>0</v>
      </c>
      <c r="K117" s="1">
        <f>'[1]Electricity and CHPs_IN'!U$23/SUM('[1]Electricity and CHPs_IN'!U$22:U$23)*K85</f>
        <v>0</v>
      </c>
      <c r="L117" s="1">
        <f>'[1]Electricity and CHPs_IN'!V$23/SUM('[1]Electricity and CHPs_IN'!V$22:V$23)*L85</f>
        <v>0</v>
      </c>
      <c r="M117" s="1">
        <f>'[1]Electricity and CHPs_IN'!W$23/SUM('[1]Electricity and CHPs_IN'!W$22:W$23)*M85</f>
        <v>0</v>
      </c>
      <c r="N117" s="1">
        <f>'[1]Electricity and CHPs_IN'!X$23/SUM('[1]Electricity and CHPs_IN'!X$22:X$23)*N85</f>
        <v>0</v>
      </c>
      <c r="O117" s="1">
        <f>'[1]Electricity and CHPs_IN'!Y$23/SUM('[1]Electricity and CHPs_IN'!Y$22:Y$23)*O85</f>
        <v>0</v>
      </c>
      <c r="P117" s="1">
        <f>'[1]Electricity and CHPs_IN'!Z$23/SUM('[1]Electricity and CHPs_IN'!Z$22:Z$23)*P85</f>
        <v>0</v>
      </c>
      <c r="Q117" s="1">
        <f>'[1]Electricity and CHPs_IN'!AA$23/SUM('[1]Electricity and CHPs_IN'!AA$22:AA$23)*Q85</f>
        <v>0</v>
      </c>
      <c r="S117" s="3"/>
    </row>
    <row r="118" spans="1:19" x14ac:dyDescent="0.5">
      <c r="A118" s="5" t="str">
        <f t="shared" si="68"/>
        <v>STEM</v>
      </c>
      <c r="B118" s="5" t="str">
        <f t="shared" si="69"/>
        <v>SPS1</v>
      </c>
      <c r="C118" s="5" t="str">
        <f t="shared" si="70"/>
        <v>CH</v>
      </c>
      <c r="D118" t="s">
        <v>616</v>
      </c>
      <c r="E118" t="str">
        <f t="shared" si="130"/>
        <v>PJ/yr.</v>
      </c>
      <c r="F118" s="1">
        <f>'[1]Electricity and CHPs_IN'!P$23/SUM('[1]Electricity and CHPs_IN'!P$22:P$23)*F86</f>
        <v>2.5301272036153986E-2</v>
      </c>
      <c r="G118" s="1">
        <f>'[1]Electricity and CHPs_IN'!Q$23/SUM('[1]Electricity and CHPs_IN'!Q$22:Q$23)*G86</f>
        <v>7.0304986470557777E-6</v>
      </c>
      <c r="H118" s="1">
        <f>'[1]Electricity and CHPs_IN'!R$23/SUM('[1]Electricity and CHPs_IN'!R$22:R$23)*H86</f>
        <v>1.4579866514908412E-3</v>
      </c>
      <c r="I118" s="1">
        <f>'[1]Electricity and CHPs_IN'!S$23/SUM('[1]Electricity and CHPs_IN'!S$22:S$23)*I86</f>
        <v>3.7092670568280833E-2</v>
      </c>
      <c r="J118" s="1">
        <f>'[1]Electricity and CHPs_IN'!T$23/SUM('[1]Electricity and CHPs_IN'!T$22:T$23)*J86</f>
        <v>1.297557084445786E-2</v>
      </c>
      <c r="K118" s="1">
        <f>'[1]Electricity and CHPs_IN'!U$23/SUM('[1]Electricity and CHPs_IN'!U$22:U$23)*K86</f>
        <v>2.0814065606074732E-2</v>
      </c>
      <c r="L118" s="1">
        <f>'[1]Electricity and CHPs_IN'!V$23/SUM('[1]Electricity and CHPs_IN'!V$22:V$23)*L86</f>
        <v>1.2699265269989695E-2</v>
      </c>
      <c r="M118" s="1">
        <f>'[1]Electricity and CHPs_IN'!W$23/SUM('[1]Electricity and CHPs_IN'!W$22:W$23)*M86</f>
        <v>1.8453096896721775E-3</v>
      </c>
      <c r="N118" s="1">
        <f>'[1]Electricity and CHPs_IN'!X$23/SUM('[1]Electricity and CHPs_IN'!X$22:X$23)*N86</f>
        <v>1.7725454233658657E-3</v>
      </c>
      <c r="O118" s="1">
        <f>'[1]Electricity and CHPs_IN'!Y$23/SUM('[1]Electricity and CHPs_IN'!Y$22:Y$23)*O86</f>
        <v>2.251683282524874E-4</v>
      </c>
      <c r="P118" s="1">
        <f>'[1]Electricity and CHPs_IN'!Z$23/SUM('[1]Electricity and CHPs_IN'!Z$22:Z$23)*P86</f>
        <v>7.3361603536622051E-5</v>
      </c>
      <c r="Q118" s="1">
        <f>'[1]Electricity and CHPs_IN'!AA$23/SUM('[1]Electricity and CHPs_IN'!AA$22:AA$23)*Q86</f>
        <v>9.3269008623449452E-5</v>
      </c>
      <c r="S118" s="3"/>
    </row>
    <row r="119" spans="1:19" x14ac:dyDescent="0.5">
      <c r="A119" s="5" t="str">
        <f t="shared" si="68"/>
        <v>STEM</v>
      </c>
      <c r="B119" s="5" t="str">
        <f t="shared" si="69"/>
        <v>SPS1</v>
      </c>
      <c r="C119" s="5" t="str">
        <f t="shared" si="70"/>
        <v>CH</v>
      </c>
      <c r="D119" t="s">
        <v>617</v>
      </c>
      <c r="E119" t="str">
        <f t="shared" si="130"/>
        <v>PJ/yr.</v>
      </c>
      <c r="F119" s="1">
        <f>'[1]Electricity and CHPs_IN'!P$23/SUM('[1]Electricity and CHPs_IN'!P$22:P$23)*F87</f>
        <v>0</v>
      </c>
      <c r="G119" s="1">
        <f>'[1]Electricity and CHPs_IN'!Q$23/SUM('[1]Electricity and CHPs_IN'!Q$22:Q$23)*G87</f>
        <v>0</v>
      </c>
      <c r="H119" s="1">
        <f>'[1]Electricity and CHPs_IN'!R$23/SUM('[1]Electricity and CHPs_IN'!R$22:R$23)*H87</f>
        <v>0</v>
      </c>
      <c r="I119" s="1">
        <f>'[1]Electricity and CHPs_IN'!S$23/SUM('[1]Electricity and CHPs_IN'!S$22:S$23)*I87</f>
        <v>0</v>
      </c>
      <c r="J119" s="1">
        <f>'[1]Electricity and CHPs_IN'!T$23/SUM('[1]Electricity and CHPs_IN'!T$22:T$23)*J87</f>
        <v>0</v>
      </c>
      <c r="K119" s="1">
        <f>'[1]Electricity and CHPs_IN'!U$23/SUM('[1]Electricity and CHPs_IN'!U$22:U$23)*K87</f>
        <v>1.1005208395935013E-2</v>
      </c>
      <c r="L119" s="1">
        <f>'[1]Electricity and CHPs_IN'!V$23/SUM('[1]Electricity and CHPs_IN'!V$22:V$23)*L87</f>
        <v>1.8135037730069883E-2</v>
      </c>
      <c r="M119" s="1">
        <f>'[1]Electricity and CHPs_IN'!W$23/SUM('[1]Electricity and CHPs_IN'!W$22:W$23)*M87</f>
        <v>1.640857704146205E-2</v>
      </c>
      <c r="N119" s="1">
        <f>'[1]Electricity and CHPs_IN'!X$23/SUM('[1]Electricity and CHPs_IN'!X$22:X$23)*N87</f>
        <v>1.3105031354711725E-2</v>
      </c>
      <c r="O119" s="1">
        <f>'[1]Electricity and CHPs_IN'!Y$23/SUM('[1]Electricity and CHPs_IN'!Y$22:Y$23)*O87</f>
        <v>8.3866690487478888E-3</v>
      </c>
      <c r="P119" s="1">
        <f>'[1]Electricity and CHPs_IN'!Z$23/SUM('[1]Electricity and CHPs_IN'!Z$22:Z$23)*P87</f>
        <v>4.2447919732717545E-4</v>
      </c>
      <c r="Q119" s="1">
        <f>'[1]Electricity and CHPs_IN'!AA$23/SUM('[1]Electricity and CHPs_IN'!AA$22:AA$23)*Q87</f>
        <v>3.1741081517608534E-4</v>
      </c>
      <c r="S119" s="3"/>
    </row>
    <row r="120" spans="1:19" x14ac:dyDescent="0.5">
      <c r="A120" s="5" t="str">
        <f t="shared" si="68"/>
        <v>STEM</v>
      </c>
      <c r="B120" s="5" t="str">
        <f t="shared" si="69"/>
        <v>SPS1</v>
      </c>
      <c r="C120" s="5" t="str">
        <f t="shared" si="70"/>
        <v>CH</v>
      </c>
      <c r="D120" t="s">
        <v>618</v>
      </c>
      <c r="E120" t="str">
        <f t="shared" si="130"/>
        <v>PJ/yr.</v>
      </c>
      <c r="F120" s="1">
        <f>'[1]Electricity and CHPs_IN'!P$23/SUM('[1]Electricity and CHPs_IN'!P$22:P$23)*F88</f>
        <v>1.7550113994963697E-2</v>
      </c>
      <c r="G120" s="1">
        <f>'[1]Electricity and CHPs_IN'!Q$23/SUM('[1]Electricity and CHPs_IN'!Q$22:Q$23)*G88</f>
        <v>3.9385310188908935E-3</v>
      </c>
      <c r="H120" s="1">
        <f>'[1]Electricity and CHPs_IN'!R$23/SUM('[1]Electricity and CHPs_IN'!R$22:R$23)*H88</f>
        <v>5.2392160623068946E-3</v>
      </c>
      <c r="I120" s="1">
        <f>'[1]Electricity and CHPs_IN'!S$23/SUM('[1]Electricity and CHPs_IN'!S$22:S$23)*I88</f>
        <v>2.7112504791837615E-2</v>
      </c>
      <c r="J120" s="1">
        <f>'[1]Electricity and CHPs_IN'!T$23/SUM('[1]Electricity and CHPs_IN'!T$22:T$23)*J88</f>
        <v>2.1404551605258195E-2</v>
      </c>
      <c r="K120" s="1">
        <f>'[1]Electricity and CHPs_IN'!U$23/SUM('[1]Electricity and CHPs_IN'!U$22:U$23)*K88</f>
        <v>3.845665229190286E-3</v>
      </c>
      <c r="L120" s="1">
        <f>'[1]Electricity and CHPs_IN'!V$23/SUM('[1]Electricity and CHPs_IN'!V$22:V$23)*L88</f>
        <v>1.845720504018482E-3</v>
      </c>
      <c r="M120" s="1">
        <f>'[1]Electricity and CHPs_IN'!W$23/SUM('[1]Electricity and CHPs_IN'!W$22:W$23)*M88</f>
        <v>1.0050694031594454E-3</v>
      </c>
      <c r="N120" s="1">
        <f>'[1]Electricity and CHPs_IN'!X$23/SUM('[1]Electricity and CHPs_IN'!X$22:X$23)*N88</f>
        <v>4.5796589888063747E-4</v>
      </c>
      <c r="O120" s="1">
        <f>'[1]Electricity and CHPs_IN'!Y$23/SUM('[1]Electricity and CHPs_IN'!Y$22:Y$23)*O88</f>
        <v>4.7942893228583512E-4</v>
      </c>
      <c r="P120" s="1">
        <f>'[1]Electricity and CHPs_IN'!Z$23/SUM('[1]Electricity and CHPs_IN'!Z$22:Z$23)*P88</f>
        <v>7.15137512357217E-4</v>
      </c>
      <c r="Q120" s="1">
        <f>'[1]Electricity and CHPs_IN'!AA$23/SUM('[1]Electricity and CHPs_IN'!AA$22:AA$23)*Q88</f>
        <v>1.327524502632439E-3</v>
      </c>
      <c r="S120" s="3"/>
    </row>
    <row r="121" spans="1:19" x14ac:dyDescent="0.5">
      <c r="A121" s="5" t="str">
        <f t="shared" si="68"/>
        <v>STEM</v>
      </c>
      <c r="B121" s="5" t="str">
        <f t="shared" si="69"/>
        <v>SPS1</v>
      </c>
      <c r="C121" s="5" t="str">
        <f t="shared" si="70"/>
        <v>CH</v>
      </c>
      <c r="D121" t="s">
        <v>619</v>
      </c>
      <c r="E121" t="str">
        <f t="shared" si="130"/>
        <v>PJ/yr.</v>
      </c>
      <c r="F121" s="1">
        <f>'[1]Electricity and CHPs_IN'!P$23/SUM('[1]Electricity and CHPs_IN'!P$22:P$23)*F89</f>
        <v>0</v>
      </c>
      <c r="G121" s="1">
        <f>'[1]Electricity and CHPs_IN'!Q$23/SUM('[1]Electricity and CHPs_IN'!Q$22:Q$23)*G89</f>
        <v>0</v>
      </c>
      <c r="H121" s="1">
        <f>'[1]Electricity and CHPs_IN'!R$23/SUM('[1]Electricity and CHPs_IN'!R$22:R$23)*H89</f>
        <v>0</v>
      </c>
      <c r="I121" s="1">
        <f>'[1]Electricity and CHPs_IN'!S$23/SUM('[1]Electricity and CHPs_IN'!S$22:S$23)*I89</f>
        <v>0</v>
      </c>
      <c r="J121" s="1">
        <f>'[1]Electricity and CHPs_IN'!T$23/SUM('[1]Electricity and CHPs_IN'!T$22:T$23)*J89</f>
        <v>0</v>
      </c>
      <c r="K121" s="1">
        <f>'[1]Electricity and CHPs_IN'!U$23/SUM('[1]Electricity and CHPs_IN'!U$22:U$23)*K89</f>
        <v>0</v>
      </c>
      <c r="L121" s="1">
        <f>'[1]Electricity and CHPs_IN'!V$23/SUM('[1]Electricity and CHPs_IN'!V$22:V$23)*L89</f>
        <v>0</v>
      </c>
      <c r="M121" s="1">
        <f>'[1]Electricity and CHPs_IN'!W$23/SUM('[1]Electricity and CHPs_IN'!W$22:W$23)*M89</f>
        <v>0</v>
      </c>
      <c r="N121" s="1">
        <f>'[1]Electricity and CHPs_IN'!X$23/SUM('[1]Electricity and CHPs_IN'!X$22:X$23)*N89</f>
        <v>0</v>
      </c>
      <c r="O121" s="1">
        <f>'[1]Electricity and CHPs_IN'!Y$23/SUM('[1]Electricity and CHPs_IN'!Y$22:Y$23)*O89</f>
        <v>0</v>
      </c>
      <c r="P121" s="1">
        <f>'[1]Electricity and CHPs_IN'!Z$23/SUM('[1]Electricity and CHPs_IN'!Z$22:Z$23)*P89</f>
        <v>0</v>
      </c>
      <c r="Q121" s="1">
        <f>'[1]Electricity and CHPs_IN'!AA$23/SUM('[1]Electricity and CHPs_IN'!AA$22:AA$23)*Q89</f>
        <v>0</v>
      </c>
      <c r="S121" s="3"/>
    </row>
    <row r="122" spans="1:19" x14ac:dyDescent="0.5">
      <c r="A122" s="5" t="str">
        <f t="shared" si="68"/>
        <v>STEM</v>
      </c>
      <c r="B122" s="5" t="str">
        <f t="shared" si="69"/>
        <v>SPS1</v>
      </c>
      <c r="C122" s="5" t="str">
        <f t="shared" si="70"/>
        <v>CH</v>
      </c>
      <c r="D122" t="s">
        <v>620</v>
      </c>
      <c r="E122" t="str">
        <f t="shared" si="130"/>
        <v>PJ/yr.</v>
      </c>
      <c r="F122" s="1">
        <f>'[1]Electricity and CHPs_IN'!P$23/SUM('[1]Electricity and CHPs_IN'!P$22:P$23)*F90</f>
        <v>0</v>
      </c>
      <c r="G122" s="1">
        <f>'[1]Electricity and CHPs_IN'!Q$23/SUM('[1]Electricity and CHPs_IN'!Q$22:Q$23)*G90</f>
        <v>0</v>
      </c>
      <c r="H122" s="1">
        <f>'[1]Electricity and CHPs_IN'!R$23/SUM('[1]Electricity and CHPs_IN'!R$22:R$23)*H90</f>
        <v>0</v>
      </c>
      <c r="I122" s="1">
        <f>'[1]Electricity and CHPs_IN'!S$23/SUM('[1]Electricity and CHPs_IN'!S$22:S$23)*I90</f>
        <v>6.0362691649861606E-5</v>
      </c>
      <c r="J122" s="1">
        <f>'[1]Electricity and CHPs_IN'!T$23/SUM('[1]Electricity and CHPs_IN'!T$22:T$23)*J90</f>
        <v>6.9858664825638532E-5</v>
      </c>
      <c r="K122" s="1">
        <f>'[1]Electricity and CHPs_IN'!U$23/SUM('[1]Electricity and CHPs_IN'!U$22:U$23)*K90</f>
        <v>8.7659789298121649E-5</v>
      </c>
      <c r="L122" s="1">
        <f>'[1]Electricity and CHPs_IN'!V$23/SUM('[1]Electricity and CHPs_IN'!V$22:V$23)*L90</f>
        <v>8.629026486847122E-5</v>
      </c>
      <c r="M122" s="1">
        <f>'[1]Electricity and CHPs_IN'!W$23/SUM('[1]Electricity and CHPs_IN'!W$22:W$23)*M90</f>
        <v>1.5398174766942263E-4</v>
      </c>
      <c r="N122" s="1">
        <f>'[1]Electricity and CHPs_IN'!X$23/SUM('[1]Electricity and CHPs_IN'!X$22:X$23)*N90</f>
        <v>1.1372120590206477E-4</v>
      </c>
      <c r="O122" s="1">
        <f>'[1]Electricity and CHPs_IN'!Y$23/SUM('[1]Electricity and CHPs_IN'!Y$22:Y$23)*O90</f>
        <v>1.6474912234275781E-4</v>
      </c>
      <c r="P122" s="1">
        <f>'[1]Electricity and CHPs_IN'!Z$23/SUM('[1]Electricity and CHPs_IN'!Z$22:Z$23)*P90</f>
        <v>1.8858007551888538E-4</v>
      </c>
      <c r="Q122" s="1">
        <f>'[1]Electricity and CHPs_IN'!AA$23/SUM('[1]Electricity and CHPs_IN'!AA$22:AA$23)*Q90</f>
        <v>3.7463867745216641E-4</v>
      </c>
      <c r="S122" s="3"/>
    </row>
    <row r="123" spans="1:19" x14ac:dyDescent="0.5">
      <c r="A123" s="5" t="str">
        <f t="shared" si="68"/>
        <v>STEM</v>
      </c>
      <c r="B123" s="5" t="str">
        <f t="shared" si="69"/>
        <v>SPS1</v>
      </c>
      <c r="C123" s="5" t="str">
        <f t="shared" si="70"/>
        <v>CH</v>
      </c>
      <c r="D123" t="s">
        <v>621</v>
      </c>
      <c r="E123" t="str">
        <f t="shared" si="130"/>
        <v>PJ/yr.</v>
      </c>
      <c r="F123" s="1">
        <f>'[1]Electricity and CHPs_IN'!P$23/SUM('[1]Electricity and CHPs_IN'!P$22:P$23)*F91</f>
        <v>3.7358657558978896E-4</v>
      </c>
      <c r="G123" s="1">
        <f>'[1]Electricity and CHPs_IN'!Q$23/SUM('[1]Electricity and CHPs_IN'!Q$22:Q$23)*G91</f>
        <v>1.3059119041452131E-4</v>
      </c>
      <c r="H123" s="1">
        <f>'[1]Electricity and CHPs_IN'!R$23/SUM('[1]Electricity and CHPs_IN'!R$22:R$23)*H91</f>
        <v>9.4449508948836166E-4</v>
      </c>
      <c r="I123" s="1">
        <f>'[1]Electricity and CHPs_IN'!S$23/SUM('[1]Electricity and CHPs_IN'!S$22:S$23)*I91</f>
        <v>4.0603974828266637E-4</v>
      </c>
      <c r="J123" s="1">
        <f>'[1]Electricity and CHPs_IN'!T$23/SUM('[1]Electricity and CHPs_IN'!T$22:T$23)*J91</f>
        <v>4.4365205505381112E-4</v>
      </c>
      <c r="K123" s="1">
        <f>'[1]Electricity and CHPs_IN'!U$23/SUM('[1]Electricity and CHPs_IN'!U$22:U$23)*K91</f>
        <v>3.4863996450550176E-4</v>
      </c>
      <c r="L123" s="1">
        <f>'[1]Electricity and CHPs_IN'!V$23/SUM('[1]Electricity and CHPs_IN'!V$22:V$23)*L91</f>
        <v>3.3452882327612859E-4</v>
      </c>
      <c r="M123" s="1">
        <f>'[1]Electricity and CHPs_IN'!W$23/SUM('[1]Electricity and CHPs_IN'!W$22:W$23)*M91</f>
        <v>3.790447726915481E-4</v>
      </c>
      <c r="N123" s="1">
        <f>'[1]Electricity and CHPs_IN'!X$23/SUM('[1]Electricity and CHPs_IN'!X$22:X$23)*N91</f>
        <v>3.0212013859919686E-4</v>
      </c>
      <c r="O123" s="1">
        <f>'[1]Electricity and CHPs_IN'!Y$23/SUM('[1]Electricity and CHPs_IN'!Y$22:Y$23)*O91</f>
        <v>3.0476945032739303E-4</v>
      </c>
      <c r="P123" s="1">
        <f>'[1]Electricity and CHPs_IN'!Z$23/SUM('[1]Electricity and CHPs_IN'!Z$22:Z$23)*P91</f>
        <v>1.4562278701069414E-3</v>
      </c>
      <c r="Q123" s="1">
        <f>'[1]Electricity and CHPs_IN'!AA$23/SUM('[1]Electricity and CHPs_IN'!AA$22:AA$23)*Q91</f>
        <v>1.7864028446723359E-3</v>
      </c>
      <c r="S123" s="3"/>
    </row>
    <row r="124" spans="1:19" x14ac:dyDescent="0.5">
      <c r="A124" s="5" t="str">
        <f t="shared" si="68"/>
        <v>STEM</v>
      </c>
      <c r="B124" s="5" t="str">
        <f t="shared" si="69"/>
        <v>SPS1</v>
      </c>
      <c r="C124" s="5" t="str">
        <f t="shared" si="70"/>
        <v>CH</v>
      </c>
      <c r="D124" t="s">
        <v>622</v>
      </c>
      <c r="E124" t="str">
        <f t="shared" si="130"/>
        <v>PJ/yr.</v>
      </c>
      <c r="F124" s="1">
        <f>'[1]Electricity and CHPs_IN'!P$23/SUM('[1]Electricity and CHPs_IN'!P$22:P$23)*F92</f>
        <v>0</v>
      </c>
      <c r="G124" s="1">
        <f>'[1]Electricity and CHPs_IN'!Q$23/SUM('[1]Electricity and CHPs_IN'!Q$22:Q$23)*G92</f>
        <v>0</v>
      </c>
      <c r="H124" s="1">
        <f>'[1]Electricity and CHPs_IN'!R$23/SUM('[1]Electricity and CHPs_IN'!R$22:R$23)*H92</f>
        <v>0</v>
      </c>
      <c r="I124" s="1">
        <f>'[1]Electricity and CHPs_IN'!S$23/SUM('[1]Electricity and CHPs_IN'!S$22:S$23)*I92</f>
        <v>1.0899646290780936E-5</v>
      </c>
      <c r="J124" s="1">
        <f>'[1]Electricity and CHPs_IN'!T$23/SUM('[1]Electricity and CHPs_IN'!T$22:T$23)*J92</f>
        <v>3.122563343362686E-5</v>
      </c>
      <c r="K124" s="1">
        <f>'[1]Electricity and CHPs_IN'!U$23/SUM('[1]Electricity and CHPs_IN'!U$22:U$23)*K92</f>
        <v>2.283734257617708E-5</v>
      </c>
      <c r="L124" s="1">
        <f>'[1]Electricity and CHPs_IN'!V$23/SUM('[1]Electricity and CHPs_IN'!V$22:V$23)*L92</f>
        <v>1.8035626272115245E-5</v>
      </c>
      <c r="M124" s="1">
        <f>'[1]Electricity and CHPs_IN'!W$23/SUM('[1]Electricity and CHPs_IN'!W$22:W$23)*M92</f>
        <v>3.8981410166831751E-5</v>
      </c>
      <c r="N124" s="1">
        <f>'[1]Electricity and CHPs_IN'!X$23/SUM('[1]Electricity and CHPs_IN'!X$22:X$23)*N92</f>
        <v>2.8951831798213639E-5</v>
      </c>
      <c r="O124" s="1">
        <f>'[1]Electricity and CHPs_IN'!Y$23/SUM('[1]Electricity and CHPs_IN'!Y$22:Y$23)*O92</f>
        <v>4.4654556196239981E-5</v>
      </c>
      <c r="P124" s="1">
        <f>'[1]Electricity and CHPs_IN'!Z$23/SUM('[1]Electricity and CHPs_IN'!Z$22:Z$23)*P92</f>
        <v>4.3859725204621853E-5</v>
      </c>
      <c r="Q124" s="1">
        <f>'[1]Electricity and CHPs_IN'!AA$23/SUM('[1]Electricity and CHPs_IN'!AA$22:AA$23)*Q92</f>
        <v>8.9336437546710113E-5</v>
      </c>
      <c r="S124" s="3"/>
    </row>
    <row r="125" spans="1:19" x14ac:dyDescent="0.5">
      <c r="A125" s="5" t="str">
        <f t="shared" si="68"/>
        <v>STEM</v>
      </c>
      <c r="B125" s="5" t="str">
        <f t="shared" si="69"/>
        <v>SPS1</v>
      </c>
      <c r="C125" s="5" t="str">
        <f t="shared" si="70"/>
        <v>CH</v>
      </c>
      <c r="D125" t="s">
        <v>623</v>
      </c>
      <c r="E125" t="str">
        <f t="shared" si="130"/>
        <v>PJ/yr.</v>
      </c>
      <c r="F125" s="1">
        <f>'[1]Electricity and CHPs_IN'!P$23/SUM('[1]Electricity and CHPs_IN'!P$22:P$23)*F93</f>
        <v>7.2910247386019915E-4</v>
      </c>
      <c r="G125" s="1">
        <f>'[1]Electricity and CHPs_IN'!Q$23/SUM('[1]Electricity and CHPs_IN'!Q$22:Q$23)*G93</f>
        <v>1.0326019376477912E-3</v>
      </c>
      <c r="H125" s="1">
        <f>'[1]Electricity and CHPs_IN'!R$23/SUM('[1]Electricity and CHPs_IN'!R$22:R$23)*H93</f>
        <v>9.4767573523314823E-3</v>
      </c>
      <c r="I125" s="1">
        <f>'[1]Electricity and CHPs_IN'!S$23/SUM('[1]Electricity and CHPs_IN'!S$22:S$23)*I93</f>
        <v>2.6068697769911248E-2</v>
      </c>
      <c r="J125" s="1">
        <f>'[1]Electricity and CHPs_IN'!T$23/SUM('[1]Electricity and CHPs_IN'!T$22:T$23)*J93</f>
        <v>2.1902837097676677E-2</v>
      </c>
      <c r="K125" s="1">
        <f>'[1]Electricity and CHPs_IN'!U$23/SUM('[1]Electricity and CHPs_IN'!U$22:U$23)*K93</f>
        <v>1.7686206952582786E-2</v>
      </c>
      <c r="L125" s="1">
        <f>'[1]Electricity and CHPs_IN'!V$23/SUM('[1]Electricity and CHPs_IN'!V$22:V$23)*L93</f>
        <v>1.2021438383822742E-2</v>
      </c>
      <c r="M125" s="1">
        <f>'[1]Electricity and CHPs_IN'!W$23/SUM('[1]Electricity and CHPs_IN'!W$22:W$23)*M93</f>
        <v>1.1774794885548149E-2</v>
      </c>
      <c r="N125" s="1">
        <f>'[1]Electricity and CHPs_IN'!X$23/SUM('[1]Electricity and CHPs_IN'!X$22:X$23)*N93</f>
        <v>1.0557734750742738E-2</v>
      </c>
      <c r="O125" s="1">
        <f>'[1]Electricity and CHPs_IN'!Y$23/SUM('[1]Electricity and CHPs_IN'!Y$22:Y$23)*O93</f>
        <v>9.6162870935095693E-3</v>
      </c>
      <c r="P125" s="1">
        <f>'[1]Electricity and CHPs_IN'!Z$23/SUM('[1]Electricity and CHPs_IN'!Z$22:Z$23)*P93</f>
        <v>8.945257762012368E-3</v>
      </c>
      <c r="Q125" s="1">
        <f>'[1]Electricity and CHPs_IN'!AA$23/SUM('[1]Electricity and CHPs_IN'!AA$22:AA$23)*Q93</f>
        <v>8.6630305051100288E-3</v>
      </c>
      <c r="S125" s="3"/>
    </row>
    <row r="126" spans="1:19" x14ac:dyDescent="0.5">
      <c r="A126" s="5" t="str">
        <f t="shared" si="68"/>
        <v>STEM</v>
      </c>
      <c r="B126" s="5" t="str">
        <f t="shared" si="69"/>
        <v>SPS1</v>
      </c>
      <c r="C126" s="5" t="str">
        <f t="shared" si="70"/>
        <v>CH</v>
      </c>
      <c r="D126" t="s">
        <v>624</v>
      </c>
      <c r="E126" t="str">
        <f t="shared" si="130"/>
        <v>PJ/yr.</v>
      </c>
      <c r="F126" s="1">
        <f>'[1]Electricity and CHPs_IN'!P$23/SUM('[1]Electricity and CHPs_IN'!P$22:P$23)*F94</f>
        <v>0</v>
      </c>
      <c r="G126" s="1">
        <f>'[1]Electricity and CHPs_IN'!Q$23/SUM('[1]Electricity and CHPs_IN'!Q$22:Q$23)*G94</f>
        <v>0</v>
      </c>
      <c r="H126" s="1">
        <f>'[1]Electricity and CHPs_IN'!R$23/SUM('[1]Electricity and CHPs_IN'!R$22:R$23)*H94</f>
        <v>0</v>
      </c>
      <c r="I126" s="1">
        <f>'[1]Electricity and CHPs_IN'!S$23/SUM('[1]Electricity and CHPs_IN'!S$22:S$23)*I94</f>
        <v>4.7875674383202695E-5</v>
      </c>
      <c r="J126" s="1">
        <f>'[1]Electricity and CHPs_IN'!T$23/SUM('[1]Electricity and CHPs_IN'!T$22:T$23)*J94</f>
        <v>1.5339741404799519E-4</v>
      </c>
      <c r="K126" s="1">
        <f>'[1]Electricity and CHPs_IN'!U$23/SUM('[1]Electricity and CHPs_IN'!U$22:U$23)*K94</f>
        <v>1.1281663944622843E-4</v>
      </c>
      <c r="L126" s="1">
        <f>'[1]Electricity and CHPs_IN'!V$23/SUM('[1]Electricity and CHPs_IN'!V$22:V$23)*L94</f>
        <v>9.5276120522819684E-5</v>
      </c>
      <c r="M126" s="1">
        <f>'[1]Electricity and CHPs_IN'!W$23/SUM('[1]Electricity and CHPs_IN'!W$22:W$23)*M94</f>
        <v>2.3699875900824185E-4</v>
      </c>
      <c r="N126" s="1">
        <f>'[1]Electricity and CHPs_IN'!X$23/SUM('[1]Electricity and CHPs_IN'!X$22:X$23)*N94</f>
        <v>1.872638200293173E-4</v>
      </c>
      <c r="O126" s="1">
        <f>'[1]Electricity and CHPs_IN'!Y$23/SUM('[1]Electricity and CHPs_IN'!Y$22:Y$23)*O94</f>
        <v>3.6771941501141653E-4</v>
      </c>
      <c r="P126" s="1">
        <f>'[1]Electricity and CHPs_IN'!Z$23/SUM('[1]Electricity and CHPs_IN'!Z$22:Z$23)*P94</f>
        <v>3.645387169552961E-4</v>
      </c>
      <c r="Q126" s="1">
        <f>'[1]Electricity and CHPs_IN'!AA$23/SUM('[1]Electricity and CHPs_IN'!AA$22:AA$23)*Q94</f>
        <v>7.0456155218107911E-4</v>
      </c>
      <c r="S126" s="3"/>
    </row>
    <row r="127" spans="1:19" x14ac:dyDescent="0.5">
      <c r="A127" s="5" t="str">
        <f t="shared" si="68"/>
        <v>STEM</v>
      </c>
      <c r="B127" s="5" t="str">
        <f t="shared" si="69"/>
        <v>SPS1</v>
      </c>
      <c r="C127" s="5" t="str">
        <f t="shared" si="70"/>
        <v>CH</v>
      </c>
      <c r="D127" t="s">
        <v>625</v>
      </c>
      <c r="E127" t="str">
        <f t="shared" si="130"/>
        <v>PJ/yr.</v>
      </c>
      <c r="F127" s="1">
        <f t="shared" ref="F127" si="131">F95</f>
        <v>0.95937154447778306</v>
      </c>
      <c r="G127" s="1">
        <f t="shared" ref="G127:Q127" si="132">G95</f>
        <v>1.1060026264677421</v>
      </c>
      <c r="H127" s="1">
        <f t="shared" si="132"/>
        <v>1.1060020092072389</v>
      </c>
      <c r="I127" s="1">
        <f t="shared" si="132"/>
        <v>1.1059997394890209</v>
      </c>
      <c r="J127" s="1">
        <f t="shared" si="132"/>
        <v>1.1060000247927093</v>
      </c>
      <c r="K127" s="1">
        <f t="shared" si="132"/>
        <v>1.1060010550618784</v>
      </c>
      <c r="L127" s="1">
        <f t="shared" si="132"/>
        <v>1.1060026591657277</v>
      </c>
      <c r="M127" s="1">
        <f t="shared" si="132"/>
        <v>1.1060074028093589</v>
      </c>
      <c r="N127" s="1">
        <f t="shared" si="132"/>
        <v>1.1060089377793842</v>
      </c>
      <c r="O127" s="1">
        <f t="shared" si="132"/>
        <v>1.1060174126417279</v>
      </c>
      <c r="P127" s="1">
        <f t="shared" si="132"/>
        <v>1.1060272334802825</v>
      </c>
      <c r="Q127" s="1">
        <f t="shared" si="132"/>
        <v>1.155836960213853</v>
      </c>
      <c r="S127" s="3"/>
    </row>
    <row r="128" spans="1:19" x14ac:dyDescent="0.5">
      <c r="A128" s="5" t="str">
        <f t="shared" si="68"/>
        <v>STEM</v>
      </c>
      <c r="B128" s="5" t="str">
        <f t="shared" si="69"/>
        <v>SPS1</v>
      </c>
      <c r="C128" s="5" t="str">
        <f t="shared" si="70"/>
        <v>CH</v>
      </c>
      <c r="D128" t="s">
        <v>626</v>
      </c>
      <c r="E128" t="str">
        <f t="shared" si="130"/>
        <v>PJ/yr.</v>
      </c>
      <c r="F128" s="1">
        <f>'[1]Electricity and CHPs_IN'!P$23/SUM('[1]Electricity and CHPs_IN'!P$22:P$23)*F96</f>
        <v>1.5571017746831277E-2</v>
      </c>
      <c r="G128" s="1">
        <f>'[1]Electricity and CHPs_IN'!Q$23/SUM('[1]Electricity and CHPs_IN'!Q$22:Q$23)*G96</f>
        <v>2.728070998092505E-2</v>
      </c>
      <c r="H128" s="1">
        <f>'[1]Electricity and CHPs_IN'!R$23/SUM('[1]Electricity and CHPs_IN'!R$22:R$23)*H96</f>
        <v>4.7969711712945923E-2</v>
      </c>
      <c r="I128" s="1">
        <f>'[1]Electricity and CHPs_IN'!S$23/SUM('[1]Electricity and CHPs_IN'!S$22:S$23)*I96</f>
        <v>9.2815467526916121E-2</v>
      </c>
      <c r="J128" s="1">
        <f>'[1]Electricity and CHPs_IN'!T$23/SUM('[1]Electricity and CHPs_IN'!T$22:T$23)*J96</f>
        <v>0.1313459365747989</v>
      </c>
      <c r="K128" s="1">
        <f>'[1]Electricity and CHPs_IN'!U$23/SUM('[1]Electricity and CHPs_IN'!U$22:U$23)*K96</f>
        <v>8.9854688426084059E-2</v>
      </c>
      <c r="L128" s="1">
        <f>'[1]Electricity and CHPs_IN'!V$23/SUM('[1]Electricity and CHPs_IN'!V$22:V$23)*L96</f>
        <v>6.6210725237195275E-2</v>
      </c>
      <c r="M128" s="1">
        <f>'[1]Electricity and CHPs_IN'!W$23/SUM('[1]Electricity and CHPs_IN'!W$22:W$23)*M96</f>
        <v>4.1670508516136733E-2</v>
      </c>
      <c r="N128" s="1">
        <f>'[1]Electricity and CHPs_IN'!X$23/SUM('[1]Electricity and CHPs_IN'!X$22:X$23)*N96</f>
        <v>3.8277950387636435E-2</v>
      </c>
      <c r="O128" s="1">
        <f>'[1]Electricity and CHPs_IN'!Y$23/SUM('[1]Electricity and CHPs_IN'!Y$22:Y$23)*O96</f>
        <v>3.75465823509483E-2</v>
      </c>
      <c r="P128" s="1">
        <f>'[1]Electricity and CHPs_IN'!Z$23/SUM('[1]Electricity and CHPs_IN'!Z$22:Z$23)*P96</f>
        <v>4.1294505147367634E-2</v>
      </c>
      <c r="Q128" s="1">
        <f>'[1]Electricity and CHPs_IN'!AA$23/SUM('[1]Electricity and CHPs_IN'!AA$22:AA$23)*Q96</f>
        <v>4.7929364686904861E-2</v>
      </c>
      <c r="S128" s="3"/>
    </row>
    <row r="129" spans="1:19" x14ac:dyDescent="0.5">
      <c r="A129" s="5" t="str">
        <f t="shared" si="68"/>
        <v>STEM</v>
      </c>
      <c r="B129" s="5" t="str">
        <f t="shared" si="69"/>
        <v>SPS1</v>
      </c>
      <c r="C129" s="5" t="str">
        <f t="shared" si="70"/>
        <v>CH</v>
      </c>
      <c r="D129" t="s">
        <v>627</v>
      </c>
      <c r="E129" t="str">
        <f t="shared" si="130"/>
        <v>PJ/yr.</v>
      </c>
      <c r="F129" s="1">
        <f>'[1]Electricity and CHPs_IN'!P$23/SUM('[1]Electricity and CHPs_IN'!P$22:P$23)*F97</f>
        <v>0</v>
      </c>
      <c r="G129" s="1">
        <f>'[1]Electricity and CHPs_IN'!Q$23/SUM('[1]Electricity and CHPs_IN'!Q$22:Q$23)*G97</f>
        <v>0</v>
      </c>
      <c r="H129" s="1">
        <f>'[1]Electricity and CHPs_IN'!R$23/SUM('[1]Electricity and CHPs_IN'!R$22:R$23)*H97</f>
        <v>0</v>
      </c>
      <c r="I129" s="1">
        <f>'[1]Electricity and CHPs_IN'!S$23/SUM('[1]Electricity and CHPs_IN'!S$22:S$23)*I97</f>
        <v>6.4236956014203267E-5</v>
      </c>
      <c r="J129" s="1">
        <f>'[1]Electricity and CHPs_IN'!T$23/SUM('[1]Electricity and CHPs_IN'!T$22:T$23)*J97</f>
        <v>1.6695449988017637E-4</v>
      </c>
      <c r="K129" s="1">
        <f>'[1]Electricity and CHPs_IN'!U$23/SUM('[1]Electricity and CHPs_IN'!U$22:U$23)*K97</f>
        <v>1.1616246533411368E-4</v>
      </c>
      <c r="L129" s="1">
        <f>'[1]Electricity and CHPs_IN'!V$23/SUM('[1]Electricity and CHPs_IN'!V$22:V$23)*L97</f>
        <v>6.6021028290546606E-5</v>
      </c>
      <c r="M129" s="1">
        <f>'[1]Electricity and CHPs_IN'!W$23/SUM('[1]Electricity and CHPs_IN'!W$22:W$23)*M97</f>
        <v>1.3002131097753926E-4</v>
      </c>
      <c r="N129" s="1">
        <f>'[1]Electricity and CHPs_IN'!X$23/SUM('[1]Electricity and CHPs_IN'!X$22:X$23)*N97</f>
        <v>1.1950678934532648E-4</v>
      </c>
      <c r="O129" s="1">
        <f>'[1]Electricity and CHPs_IN'!Y$23/SUM('[1]Electricity and CHPs_IN'!Y$22:Y$23)*O97</f>
        <v>2.4362722274563108E-4</v>
      </c>
      <c r="P129" s="1">
        <f>'[1]Electricity and CHPs_IN'!Z$23/SUM('[1]Electricity and CHPs_IN'!Z$22:Z$23)*P97</f>
        <v>1.9191675926270824E-4</v>
      </c>
      <c r="Q129" s="1">
        <f>'[1]Electricity and CHPs_IN'!AA$23/SUM('[1]Electricity and CHPs_IN'!AA$22:AA$23)*Q97</f>
        <v>4.8380805927626159E-4</v>
      </c>
      <c r="S129" s="3"/>
    </row>
    <row r="130" spans="1:19" x14ac:dyDescent="0.5">
      <c r="A130" s="5" t="str">
        <f t="shared" si="68"/>
        <v>STEM</v>
      </c>
      <c r="B130" s="5" t="str">
        <f t="shared" si="69"/>
        <v>SPS1</v>
      </c>
      <c r="C130" s="5" t="str">
        <f t="shared" si="70"/>
        <v>CH</v>
      </c>
      <c r="D130" t="s">
        <v>799</v>
      </c>
      <c r="E130" t="str">
        <f t="shared" si="130"/>
        <v>PJ/yr.</v>
      </c>
      <c r="F130" s="1">
        <f>SUM(F131:F136)</f>
        <v>8.2771267026439315</v>
      </c>
      <c r="G130" s="1">
        <f t="shared" ref="G130:Q130" si="133">SUM(G131:G136)</f>
        <v>8.9479952701685974</v>
      </c>
      <c r="H130" s="1">
        <f t="shared" si="133"/>
        <v>9.4322625540728051</v>
      </c>
      <c r="I130" s="1">
        <f t="shared" si="133"/>
        <v>9.1364066178238588</v>
      </c>
      <c r="J130" s="1">
        <f t="shared" si="133"/>
        <v>9.2158052787816054</v>
      </c>
      <c r="K130" s="1">
        <f t="shared" si="133"/>
        <v>9.3898890344038257</v>
      </c>
      <c r="L130" s="1">
        <f t="shared" si="133"/>
        <v>9.5676808971060527</v>
      </c>
      <c r="M130" s="1">
        <f t="shared" si="133"/>
        <v>9.7493207141566121</v>
      </c>
      <c r="N130" s="1">
        <f t="shared" si="133"/>
        <v>9.7493055892622671</v>
      </c>
      <c r="O130" s="1">
        <f t="shared" si="133"/>
        <v>9.7493112764727865</v>
      </c>
      <c r="P130" s="1">
        <f t="shared" si="133"/>
        <v>9.7493090354513008</v>
      </c>
      <c r="Q130" s="1">
        <f t="shared" si="133"/>
        <v>9.7493366922826254</v>
      </c>
      <c r="S130" s="3"/>
    </row>
    <row r="131" spans="1:19" x14ac:dyDescent="0.5">
      <c r="A131" s="5" t="str">
        <f t="shared" si="68"/>
        <v>STEM</v>
      </c>
      <c r="B131" s="5" t="str">
        <f t="shared" si="69"/>
        <v>SPS1</v>
      </c>
      <c r="C131" s="5" t="str">
        <f t="shared" si="70"/>
        <v>CH</v>
      </c>
      <c r="D131" t="s">
        <v>53</v>
      </c>
      <c r="E131" t="str">
        <f>E75</f>
        <v>PJ/yr.</v>
      </c>
      <c r="F131" s="1">
        <f>'[1]Electricity and CHPs'!B19</f>
        <v>6.5070003715803306</v>
      </c>
      <c r="G131" s="1">
        <f>'[1]Electricity and CHPs'!C19</f>
        <v>7.3027685645083071</v>
      </c>
      <c r="H131" s="1">
        <f>'[1]Electricity and CHPs'!D19</f>
        <v>7.7034798059781844</v>
      </c>
      <c r="I131" s="1">
        <f>'[1]Electricity and CHPs'!E19</f>
        <v>7.3981415056795852</v>
      </c>
      <c r="J131" s="1">
        <f>'[1]Electricity and CHPs'!F19</f>
        <v>7.4918623048020727</v>
      </c>
      <c r="K131" s="1">
        <f>'[1]Electricity and CHPs'!G19</f>
        <v>7.6680287472978952</v>
      </c>
      <c r="L131" s="1">
        <f>'[1]Electricity and CHPs'!H19</f>
        <v>7.848450706343705</v>
      </c>
      <c r="M131" s="1">
        <f>'[1]Electricity and CHPs'!I19</f>
        <v>8.0332949330900973</v>
      </c>
      <c r="N131" s="1">
        <f>'[1]Electricity and CHPs'!J19</f>
        <v>8.0332833298814244</v>
      </c>
      <c r="O131" s="1">
        <f>'[1]Electricity and CHPs'!K19</f>
        <v>8.0332884049366609</v>
      </c>
      <c r="P131" s="1">
        <f>'[1]Electricity and CHPs'!L19</f>
        <v>8.0332900645404344</v>
      </c>
      <c r="Q131" s="1">
        <f>'[1]Electricity and CHPs'!M19</f>
        <v>8.0333263418927388</v>
      </c>
      <c r="S131" s="3"/>
    </row>
    <row r="132" spans="1:19" x14ac:dyDescent="0.5">
      <c r="A132" s="5" t="str">
        <f t="shared" si="68"/>
        <v>STEM</v>
      </c>
      <c r="B132" s="5" t="str">
        <f t="shared" si="69"/>
        <v>SPS1</v>
      </c>
      <c r="C132" s="5" t="str">
        <f t="shared" si="70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'[1]Electricity and CHPs'!F20</f>
        <v>0</v>
      </c>
      <c r="K132" s="1">
        <f>'[1]Electricity and CHPs'!G20</f>
        <v>0</v>
      </c>
      <c r="L132" s="1">
        <f>'[1]Electricity and CHPs'!H20</f>
        <v>0</v>
      </c>
      <c r="M132" s="1">
        <f>'[1]Electricity and CHPs'!I20</f>
        <v>0</v>
      </c>
      <c r="N132" s="1">
        <f>'[1]Electricity and CHPs'!J20</f>
        <v>0</v>
      </c>
      <c r="O132" s="1">
        <f>'[1]Electricity and CHPs'!K20</f>
        <v>0</v>
      </c>
      <c r="P132" s="1">
        <f>'[1]Electricity and CHPs'!L20</f>
        <v>0</v>
      </c>
      <c r="Q132" s="1">
        <f>'[1]Electricity and CHPs'!M20</f>
        <v>0</v>
      </c>
      <c r="S132" s="3"/>
    </row>
    <row r="133" spans="1:19" x14ac:dyDescent="0.5">
      <c r="A133" s="5" t="str">
        <f t="shared" si="68"/>
        <v>STEM</v>
      </c>
      <c r="B133" s="5" t="str">
        <f t="shared" si="69"/>
        <v>SPS1</v>
      </c>
      <c r="C133" s="5" t="str">
        <f t="shared" si="70"/>
        <v>CH</v>
      </c>
      <c r="D133" t="s">
        <v>51</v>
      </c>
      <c r="E133" t="str">
        <f>E152</f>
        <v>PJ/yr.</v>
      </c>
      <c r="F133" s="1">
        <f>'[1]Electricity and CHPs'!B26</f>
        <v>1.5400751403773376</v>
      </c>
      <c r="G133" s="1">
        <f>'[1]Electricity and CHPs'!C26</f>
        <v>1.4150674170042303</v>
      </c>
      <c r="H133" s="1">
        <f>'[1]Electricity and CHPs'!D26</f>
        <v>1.3920730723965333</v>
      </c>
      <c r="I133" s="1">
        <f>'[1]Electricity and CHPs'!E26</f>
        <v>1.4053185951147162</v>
      </c>
      <c r="J133" s="1">
        <f>'[1]Electricity and CHPs'!F26</f>
        <v>1.3947558053921054</v>
      </c>
      <c r="K133" s="1">
        <f>'[1]Electricity and CHPs'!G26</f>
        <v>1.3943348579012891</v>
      </c>
      <c r="L133" s="1">
        <f>'[1]Electricity and CHPs'!H26</f>
        <v>1.3933663818247979</v>
      </c>
      <c r="M133" s="1">
        <f>'[1]Electricity and CHPs'!I26</f>
        <v>1.3918209847030794</v>
      </c>
      <c r="N133" s="1">
        <f>'[1]Electricity and CHPs'!J26</f>
        <v>1.3918200571977546</v>
      </c>
      <c r="O133" s="1">
        <f>'[1]Electricity and CHPs'!K26</f>
        <v>1.3918182598250455</v>
      </c>
      <c r="P133" s="1">
        <f>'[1]Electricity and CHPs'!L26</f>
        <v>1.391816238825095</v>
      </c>
      <c r="Q133" s="1">
        <f>'[1]Electricity and CHPs'!M26</f>
        <v>1.3918004134190416</v>
      </c>
      <c r="S133" s="3"/>
    </row>
    <row r="134" spans="1:19" x14ac:dyDescent="0.5">
      <c r="A134" s="5" t="str">
        <f t="shared" si="68"/>
        <v>STEM</v>
      </c>
      <c r="B134" s="5" t="str">
        <f t="shared" si="69"/>
        <v>SPS1</v>
      </c>
      <c r="C134" s="5" t="str">
        <f t="shared" si="70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'[1]Electricity and CHPs'!F27</f>
        <v>0</v>
      </c>
      <c r="K134" s="1">
        <f>'[1]Electricity and CHPs'!G27</f>
        <v>0</v>
      </c>
      <c r="L134" s="1">
        <f>'[1]Electricity and CHPs'!H27</f>
        <v>0</v>
      </c>
      <c r="M134" s="1">
        <f>'[1]Electricity and CHPs'!I27</f>
        <v>0</v>
      </c>
      <c r="N134" s="1">
        <f>'[1]Electricity and CHPs'!J27</f>
        <v>0</v>
      </c>
      <c r="O134" s="1">
        <f>'[1]Electricity and CHPs'!K27</f>
        <v>0</v>
      </c>
      <c r="P134" s="1">
        <f>'[1]Electricity and CHPs'!L27</f>
        <v>0</v>
      </c>
      <c r="Q134" s="1">
        <f>'[1]Electricity and CHPs'!M27</f>
        <v>0</v>
      </c>
      <c r="S134" s="3"/>
    </row>
    <row r="135" spans="1:19" x14ac:dyDescent="0.5">
      <c r="A135" s="5" t="str">
        <f t="shared" si="68"/>
        <v>STEM</v>
      </c>
      <c r="B135" s="5" t="str">
        <f t="shared" si="69"/>
        <v>SPS1</v>
      </c>
      <c r="C135" s="5" t="str">
        <f t="shared" si="70"/>
        <v>CH</v>
      </c>
      <c r="D135" t="s">
        <v>48</v>
      </c>
      <c r="E135" t="str">
        <f>E155</f>
        <v>PJ/yr.</v>
      </c>
      <c r="F135" s="1">
        <f>'[1]Electricity and CHPs'!B44</f>
        <v>0.23005119068626309</v>
      </c>
      <c r="G135" s="1">
        <f>'[1]Electricity and CHPs'!C44</f>
        <v>0.2301592886560587</v>
      </c>
      <c r="H135" s="1">
        <f>'[1]Electricity and CHPs'!D44</f>
        <v>0.33670967569808757</v>
      </c>
      <c r="I135" s="1">
        <f>'[1]Electricity and CHPs'!E44</f>
        <v>0.3329465170295568</v>
      </c>
      <c r="J135" s="1">
        <f>'[1]Electricity and CHPs'!F44</f>
        <v>0.32918716858742697</v>
      </c>
      <c r="K135" s="1">
        <f>'[1]Electricity and CHPs'!G44</f>
        <v>0.32752542920464189</v>
      </c>
      <c r="L135" s="1">
        <f>'[1]Electricity and CHPs'!H44</f>
        <v>0.32586380893754929</v>
      </c>
      <c r="M135" s="1">
        <f>'[1]Electricity and CHPs'!I44</f>
        <v>0.32420479636343547</v>
      </c>
      <c r="N135" s="1">
        <f>'[1]Electricity and CHPs'!J44</f>
        <v>0.32420220218308737</v>
      </c>
      <c r="O135" s="1">
        <f>'[1]Electricity and CHPs'!K44</f>
        <v>0.32420461171108023</v>
      </c>
      <c r="P135" s="1">
        <f>'[1]Electricity and CHPs'!L44</f>
        <v>0.32420273208577077</v>
      </c>
      <c r="Q135" s="1">
        <f>'[1]Electricity and CHPs'!M44</f>
        <v>0.32420993697084527</v>
      </c>
      <c r="S135" s="3"/>
    </row>
    <row r="136" spans="1:19" x14ac:dyDescent="0.5">
      <c r="A136" s="5" t="str">
        <f t="shared" si="68"/>
        <v>STEM</v>
      </c>
      <c r="B136" s="5" t="str">
        <f t="shared" si="69"/>
        <v>SPS1</v>
      </c>
      <c r="C136" s="5" t="str">
        <f t="shared" si="70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'[1]Electricity and CHPs'!F45</f>
        <v>0</v>
      </c>
      <c r="K136" s="1">
        <f>'[1]Electricity and CHPs'!G45</f>
        <v>0</v>
      </c>
      <c r="L136" s="1">
        <f>'[1]Electricity and CHPs'!H45</f>
        <v>0</v>
      </c>
      <c r="M136" s="1">
        <f>'[1]Electricity and CHPs'!I45</f>
        <v>0</v>
      </c>
      <c r="N136" s="1">
        <f>'[1]Electricity and CHPs'!J45</f>
        <v>0</v>
      </c>
      <c r="O136" s="1">
        <f>'[1]Electricity and CHPs'!K45</f>
        <v>0</v>
      </c>
      <c r="P136" s="1">
        <f>'[1]Electricity and CHPs'!L45</f>
        <v>0</v>
      </c>
      <c r="Q136" s="1">
        <f>'[1]Electricity and CHPs'!M45</f>
        <v>0</v>
      </c>
      <c r="S136" s="3"/>
    </row>
    <row r="137" spans="1:19" x14ac:dyDescent="0.5">
      <c r="A137" s="5" t="str">
        <f t="shared" si="68"/>
        <v>STEM</v>
      </c>
      <c r="B137" s="5" t="str">
        <f t="shared" si="69"/>
        <v>SPS1</v>
      </c>
      <c r="C137" s="5" t="str">
        <f t="shared" si="70"/>
        <v>CH</v>
      </c>
      <c r="D137" t="s">
        <v>89</v>
      </c>
      <c r="E137" t="str">
        <f t="shared" ref="E137:E151" si="134">E136</f>
        <v>PJ/yr.</v>
      </c>
      <c r="F137" s="1">
        <f>SUM(F138:F141)</f>
        <v>4.0235377559788343</v>
      </c>
      <c r="G137" s="1">
        <f t="shared" ref="G137:K137" si="135">SUM(G138:G141)</f>
        <v>4.3589179907562681</v>
      </c>
      <c r="H137" s="1">
        <f t="shared" si="135"/>
        <v>4.5477764391873583</v>
      </c>
      <c r="I137" s="1">
        <f t="shared" si="135"/>
        <v>4.4017300503971502</v>
      </c>
      <c r="J137" s="1">
        <f t="shared" si="135"/>
        <v>4.4433090550970888</v>
      </c>
      <c r="K137" s="1">
        <f t="shared" si="135"/>
        <v>4.5311818025995922</v>
      </c>
      <c r="L137" s="1">
        <f t="shared" ref="L137:O137" si="136">SUM(L138:L141)</f>
        <v>4.6209085440842514</v>
      </c>
      <c r="M137" s="1">
        <f t="shared" si="136"/>
        <v>4.7125579588965882</v>
      </c>
      <c r="N137" s="1">
        <f t="shared" si="136"/>
        <v>4.7125516935395897</v>
      </c>
      <c r="O137" s="1">
        <f t="shared" si="136"/>
        <v>4.7125533323808533</v>
      </c>
      <c r="P137" s="1">
        <f>SUM(P138:P141)</f>
        <v>4.7125531516827648</v>
      </c>
      <c r="Q137" s="1">
        <f>SUM(Q138:Q141)</f>
        <v>4.71256337765589</v>
      </c>
      <c r="S137" s="3"/>
    </row>
    <row r="138" spans="1:19" x14ac:dyDescent="0.5">
      <c r="A138" s="5" t="str">
        <f t="shared" si="68"/>
        <v>STEM</v>
      </c>
      <c r="B138" s="5" t="str">
        <f t="shared" si="69"/>
        <v>SPS1</v>
      </c>
      <c r="C138" s="5" t="str">
        <f t="shared" si="70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3.2535001857901653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3.6513842822541531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3.8517399029890917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3.6990707528397926</v>
      </c>
      <c r="J138" s="1" cm="1">
        <f t="array" ref="J138">J131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3.7459311524010359</v>
      </c>
      <c r="K138" s="1" cm="1">
        <f t="array" ref="K138">K131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3.8340143736489476</v>
      </c>
      <c r="L138" s="1" cm="1">
        <f t="array" ref="L138">L131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3.9242253531718525</v>
      </c>
      <c r="M138" s="1" cm="1">
        <f t="array" ref="M138">M131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4.0166474665450487</v>
      </c>
      <c r="N138" s="1" cm="1">
        <f t="array" ref="N138">N131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4.0166416649407122</v>
      </c>
      <c r="O138" s="1" cm="1">
        <f t="array" ref="O138">O131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4.0166442024683304</v>
      </c>
      <c r="P138" s="1" cm="1">
        <f t="array" ref="P138">P131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4.0166450322702172</v>
      </c>
      <c r="Q138" s="1" cm="1">
        <f t="array" ref="Q138">Q131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4.0166631709463694</v>
      </c>
      <c r="S138" s="3"/>
    </row>
    <row r="139" spans="1:19" x14ac:dyDescent="0.5">
      <c r="A139" s="5" t="str">
        <f t="shared" si="68"/>
        <v>STEM</v>
      </c>
      <c r="B139" s="5" t="str">
        <f t="shared" si="69"/>
        <v>SPS1</v>
      </c>
      <c r="C139" s="5" t="str">
        <f t="shared" si="70"/>
        <v>CH</v>
      </c>
      <c r="D139" t="s">
        <v>61</v>
      </c>
      <c r="E139" t="str">
        <f t="shared" si="134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39" s="1" cm="1">
        <f t="array" ref="K139">K132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39" s="1" cm="1">
        <f t="array" ref="L139">L132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39" s="1" cm="1">
        <f t="array" ref="M139">M132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39" s="1" cm="1">
        <f t="array" ref="N139">N132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39" s="1" cm="1">
        <f t="array" ref="O139">O132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39" s="1" cm="1">
        <f t="array" ref="P139">P132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39" s="1" cm="1">
        <f t="array" ref="Q139">Q132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39" s="3"/>
    </row>
    <row r="140" spans="1:19" x14ac:dyDescent="0.5">
      <c r="A140" s="5" t="str">
        <f t="shared" si="68"/>
        <v>STEM</v>
      </c>
      <c r="B140" s="5" t="str">
        <f t="shared" si="69"/>
        <v>SPS1</v>
      </c>
      <c r="C140" s="5" t="str">
        <f t="shared" si="70"/>
        <v>CH</v>
      </c>
      <c r="D140" t="s">
        <v>62</v>
      </c>
      <c r="E140" t="str">
        <f t="shared" si="134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0.77003757018866881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0.70753370850211517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0.69603653619826666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0.70265929755735801</v>
      </c>
      <c r="J140" s="1" cm="1">
        <f t="array" ref="J140">J133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0.69737790269605271</v>
      </c>
      <c r="K140" s="1" cm="1">
        <f t="array" ref="K140">K133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0.69716742895064454</v>
      </c>
      <c r="L140" s="1" cm="1">
        <f t="array" ref="L140">L133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0.69668319091239894</v>
      </c>
      <c r="M140" s="1" cm="1">
        <f t="array" ref="M140">M133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0.69591049235153968</v>
      </c>
      <c r="N140" s="1" cm="1">
        <f t="array" ref="N140">N133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0.69591002859887729</v>
      </c>
      <c r="O140" s="1" cm="1">
        <f t="array" ref="O140">O133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0.69590912991252274</v>
      </c>
      <c r="P140" s="1" cm="1">
        <f t="array" ref="P140">P133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0.69590811941254749</v>
      </c>
      <c r="Q140" s="1" cm="1">
        <f t="array" ref="Q140">Q133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0.6959002067095208</v>
      </c>
      <c r="S140" s="3"/>
    </row>
    <row r="141" spans="1:19" x14ac:dyDescent="0.5">
      <c r="A141" s="5" t="str">
        <f t="shared" si="68"/>
        <v>STEM</v>
      </c>
      <c r="B141" s="5" t="str">
        <f t="shared" si="69"/>
        <v>SPS1</v>
      </c>
      <c r="C141" s="5" t="str">
        <f t="shared" si="70"/>
        <v>CH</v>
      </c>
      <c r="D141" t="s">
        <v>63</v>
      </c>
      <c r="E141" t="str">
        <f t="shared" si="134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[1]OUT_Electricity_CHP!$B$1:$B$1000)*1,("WSTREN"=[1]OUT_Electricity_CHP!$D$1:$D$1000)*1,[1]OUT_Electricity_CHP!I$1:I$1000)/SUMPRODUCT(("D-EWST"=[1]OUT_Electricity_CHP!$B$1:$B$1000)*1,("WSTREN"=[1]OUT_Electricity_CHP!$D$1:$D$1000)*1+("WSTNREN"=[1]OUT_Electricity_CHP!$D$1:$D$1000)*1,[1]OUT_Electricity_CHP!I$1:I$1000)</f>
        <v>0</v>
      </c>
      <c r="K141" s="1" cm="1">
        <f t="array" ref="K141">K134*SUMPRODUCT(("D-EWST"=[1]OUT_Electricity_CHP!$B$1:$B$1000)*1,("WSTREN"=[1]OUT_Electricity_CHP!$D$1:$D$1000)*1,[1]OUT_Electricity_CHP!J$1:J$1000)/SUMPRODUCT(("D-EWST"=[1]OUT_Electricity_CHP!$B$1:$B$1000)*1,("WSTREN"=[1]OUT_Electricity_CHP!$D$1:$D$1000)*1+("WSTNREN"=[1]OUT_Electricity_CHP!$D$1:$D$1000)*1,[1]OUT_Electricity_CHP!J$1:J$1000)</f>
        <v>0</v>
      </c>
      <c r="L141" s="1" cm="1">
        <f t="array" ref="L141">L134*SUMPRODUCT(("D-EWST"=[1]OUT_Electricity_CHP!$B$1:$B$1000)*1,("WSTREN"=[1]OUT_Electricity_CHP!$D$1:$D$1000)*1,[1]OUT_Electricity_CHP!K$1:K$1000)/SUMPRODUCT(("D-EWST"=[1]OUT_Electricity_CHP!$B$1:$B$1000)*1,("WSTREN"=[1]OUT_Electricity_CHP!$D$1:$D$1000)*1+("WSTNREN"=[1]OUT_Electricity_CHP!$D$1:$D$1000)*1,[1]OUT_Electricity_CHP!K$1:K$1000)</f>
        <v>0</v>
      </c>
      <c r="M141" s="1" cm="1">
        <f t="array" ref="M141">M134*SUMPRODUCT(("D-EWST"=[1]OUT_Electricity_CHP!$B$1:$B$1000)*1,("WSTREN"=[1]OUT_Electricity_CHP!$D$1:$D$1000)*1,[1]OUT_Electricity_CHP!L$1:L$1000)/SUMPRODUCT(("D-EWST"=[1]OUT_Electricity_CHP!$B$1:$B$1000)*1,("WSTREN"=[1]OUT_Electricity_CHP!$D$1:$D$1000)*1+("WSTNREN"=[1]OUT_Electricity_CHP!$D$1:$D$1000)*1,[1]OUT_Electricity_CHP!L$1:L$1000)</f>
        <v>0</v>
      </c>
      <c r="N141" s="1" cm="1">
        <f t="array" ref="N141">N134*SUMPRODUCT(("D-EWST"=[1]OUT_Electricity_CHP!$B$1:$B$1000)*1,("WSTREN"=[1]OUT_Electricity_CHP!$D$1:$D$1000)*1,[1]OUT_Electricity_CHP!M$1:M$1000)/SUMPRODUCT(("D-EWST"=[1]OUT_Electricity_CHP!$B$1:$B$1000)*1,("WSTREN"=[1]OUT_Electricity_CHP!$D$1:$D$1000)*1+("WSTNREN"=[1]OUT_Electricity_CHP!$D$1:$D$1000)*1,[1]OUT_Electricity_CHP!M$1:M$1000)</f>
        <v>0</v>
      </c>
      <c r="O141" s="1" cm="1">
        <f t="array" ref="O141">O134*SUMPRODUCT(("D-EWST"=[1]OUT_Electricity_CHP!$B$1:$B$1000)*1,("WSTREN"=[1]OUT_Electricity_CHP!$D$1:$D$1000)*1,[1]OUT_Electricity_CHP!N$1:N$1000)/SUMPRODUCT(("D-EWST"=[1]OUT_Electricity_CHP!$B$1:$B$1000)*1,("WSTREN"=[1]OUT_Electricity_CHP!$D$1:$D$1000)*1+("WSTNREN"=[1]OUT_Electricity_CHP!$D$1:$D$1000)*1,[1]OUT_Electricity_CHP!N$1:N$1000)</f>
        <v>0</v>
      </c>
      <c r="P141" s="1" cm="1">
        <f t="array" ref="P141">P134*SUMPRODUCT(("D-EWST"=[1]OUT_Electricity_CHP!$B$1:$B$1000)*1,("WSTREN"=[1]OUT_Electricity_CHP!$D$1:$D$1000)*1,[1]OUT_Electricity_CHP!O$1:O$1000)/SUMPRODUCT(("D-EWST"=[1]OUT_Electricity_CHP!$B$1:$B$1000)*1,("WSTREN"=[1]OUT_Electricity_CHP!$D$1:$D$1000)*1+("WSTNREN"=[1]OUT_Electricity_CHP!$D$1:$D$1000)*1,[1]OUT_Electricity_CHP!O$1:O$1000)</f>
        <v>0</v>
      </c>
      <c r="Q141" s="1" cm="1">
        <f t="array" ref="Q141">Q134*SUMPRODUCT(("D-EWST"=[1]OUT_Electricity_CHP!$B$1:$B$1000)*1,("WSTREN"=[1]OUT_Electricity_CHP!$D$1:$D$1000)*1,[1]OUT_Electricity_CHP!P$1:P$1000)/SUMPRODUCT(("D-EWST"=[1]OUT_Electricity_CHP!$B$1:$B$1000)*1,("WSTREN"=[1]OUT_Electricity_CHP!$D$1:$D$1000)*1+("WSTNREN"=[1]OUT_Electricity_CHP!$D$1:$D$1000)*1,[1]OUT_Electricity_CHP!P$1:P$1000)</f>
        <v>0</v>
      </c>
      <c r="S141" s="3"/>
    </row>
    <row r="142" spans="1:19" x14ac:dyDescent="0.5">
      <c r="A142" s="5" t="str">
        <f t="shared" si="68"/>
        <v>STEM</v>
      </c>
      <c r="B142" s="5" t="str">
        <f t="shared" si="69"/>
        <v>SPS1</v>
      </c>
      <c r="C142" s="5" t="str">
        <f t="shared" si="70"/>
        <v>CH</v>
      </c>
      <c r="D142" t="s">
        <v>64</v>
      </c>
      <c r="E142" t="str">
        <f t="shared" si="134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S142" s="3"/>
    </row>
    <row r="143" spans="1:19" x14ac:dyDescent="0.5">
      <c r="A143" s="5" t="str">
        <f t="shared" si="68"/>
        <v>STEM</v>
      </c>
      <c r="B143" s="5" t="str">
        <f t="shared" si="69"/>
        <v>SPS1</v>
      </c>
      <c r="C143" s="5" t="str">
        <f t="shared" si="70"/>
        <v>CH</v>
      </c>
      <c r="D143" t="s">
        <v>65</v>
      </c>
      <c r="E143" t="str">
        <f t="shared" si="134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S143" s="3"/>
    </row>
    <row r="144" spans="1:19" x14ac:dyDescent="0.5">
      <c r="A144" s="5" t="str">
        <f t="shared" si="68"/>
        <v>STEM</v>
      </c>
      <c r="B144" s="5" t="str">
        <f t="shared" si="69"/>
        <v>SPS1</v>
      </c>
      <c r="C144" s="5" t="str">
        <f t="shared" si="70"/>
        <v>CH</v>
      </c>
      <c r="D144" t="s">
        <v>800</v>
      </c>
      <c r="E144" t="str">
        <f>E143</f>
        <v>PJ/yr.</v>
      </c>
      <c r="F144" s="1">
        <f>SUM(F145:F150)</f>
        <v>4.2535889466650971</v>
      </c>
      <c r="G144" s="1">
        <f t="shared" ref="G144:K144" si="137">SUM(G145:G150)</f>
        <v>4.5890772794123276</v>
      </c>
      <c r="H144" s="1">
        <f t="shared" si="137"/>
        <v>4.8844861148854468</v>
      </c>
      <c r="I144" s="1">
        <f t="shared" si="137"/>
        <v>4.7346765674267077</v>
      </c>
      <c r="J144" s="1">
        <f t="shared" si="137"/>
        <v>4.7724962236845165</v>
      </c>
      <c r="K144" s="1">
        <f t="shared" si="137"/>
        <v>4.8587072318042344</v>
      </c>
      <c r="L144" s="1">
        <f t="shared" ref="L144:O144" si="138">SUM(L145:L150)</f>
        <v>4.9467723530218004</v>
      </c>
      <c r="M144" s="1">
        <f t="shared" si="138"/>
        <v>5.0367627552600238</v>
      </c>
      <c r="N144" s="1">
        <f t="shared" si="138"/>
        <v>5.0367538957226774</v>
      </c>
      <c r="O144" s="1">
        <f t="shared" si="138"/>
        <v>5.0367579440919332</v>
      </c>
      <c r="P144" s="1">
        <f>SUM(P145:P150)</f>
        <v>5.0367558837685351</v>
      </c>
      <c r="Q144" s="1">
        <f>SUM(Q145:Q150)</f>
        <v>5.0367733146267355</v>
      </c>
      <c r="S144" s="3"/>
    </row>
    <row r="145" spans="1:19" x14ac:dyDescent="0.5">
      <c r="A145" s="5" t="str">
        <f t="shared" si="68"/>
        <v>STEM</v>
      </c>
      <c r="B145" s="5" t="str">
        <f t="shared" si="69"/>
        <v>SPS1</v>
      </c>
      <c r="C145" s="5" t="str">
        <f t="shared" si="70"/>
        <v>CH</v>
      </c>
      <c r="D145" t="s">
        <v>56</v>
      </c>
      <c r="E145" t="str">
        <f>E144</f>
        <v>PJ/yr.</v>
      </c>
      <c r="F145" s="1">
        <f>F131-F138</f>
        <v>3.2535001857901653</v>
      </c>
      <c r="G145" s="1">
        <f t="shared" ref="G145:K145" si="139">G131-G138</f>
        <v>3.651384282254154</v>
      </c>
      <c r="H145" s="1">
        <f t="shared" si="139"/>
        <v>3.8517399029890926</v>
      </c>
      <c r="I145" s="1">
        <f t="shared" si="139"/>
        <v>3.6990707528397926</v>
      </c>
      <c r="J145" s="1">
        <f t="shared" si="139"/>
        <v>3.7459311524010368</v>
      </c>
      <c r="K145" s="1">
        <f t="shared" si="139"/>
        <v>3.8340143736489476</v>
      </c>
      <c r="L145" s="1">
        <f t="shared" ref="L145:O145" si="140">L131-L138</f>
        <v>3.9242253531718525</v>
      </c>
      <c r="M145" s="1">
        <f t="shared" si="140"/>
        <v>4.0166474665450487</v>
      </c>
      <c r="N145" s="1">
        <f t="shared" si="140"/>
        <v>4.0166416649407122</v>
      </c>
      <c r="O145" s="1">
        <f t="shared" si="140"/>
        <v>4.0166442024683304</v>
      </c>
      <c r="P145" s="1">
        <f t="shared" ref="P145:Q150" si="141">P131-P138</f>
        <v>4.0166450322702172</v>
      </c>
      <c r="Q145" s="1">
        <f t="shared" si="141"/>
        <v>4.0166631709463694</v>
      </c>
      <c r="S145" s="3"/>
    </row>
    <row r="146" spans="1:19" x14ac:dyDescent="0.5">
      <c r="A146" s="5" t="str">
        <f t="shared" si="68"/>
        <v>STEM</v>
      </c>
      <c r="B146" s="5" t="str">
        <f t="shared" si="69"/>
        <v>SPS1</v>
      </c>
      <c r="C146" s="5" t="str">
        <f t="shared" si="70"/>
        <v>CH</v>
      </c>
      <c r="D146" t="s">
        <v>57</v>
      </c>
      <c r="E146" t="str">
        <f t="shared" si="134"/>
        <v>PJ/yr.</v>
      </c>
      <c r="F146" s="1">
        <f t="shared" ref="F146:K146" si="142">F132-F139</f>
        <v>0</v>
      </c>
      <c r="G146" s="1">
        <f t="shared" si="142"/>
        <v>0</v>
      </c>
      <c r="H146" s="1">
        <f t="shared" si="142"/>
        <v>0</v>
      </c>
      <c r="I146" s="1">
        <f t="shared" si="142"/>
        <v>0</v>
      </c>
      <c r="J146" s="1">
        <f t="shared" si="142"/>
        <v>0</v>
      </c>
      <c r="K146" s="1">
        <f t="shared" si="142"/>
        <v>0</v>
      </c>
      <c r="L146" s="1">
        <f t="shared" ref="L146:O146" si="143">L132-L139</f>
        <v>0</v>
      </c>
      <c r="M146" s="1">
        <f t="shared" si="143"/>
        <v>0</v>
      </c>
      <c r="N146" s="1">
        <f t="shared" si="143"/>
        <v>0</v>
      </c>
      <c r="O146" s="1">
        <f t="shared" si="143"/>
        <v>0</v>
      </c>
      <c r="P146" s="1">
        <f t="shared" si="141"/>
        <v>0</v>
      </c>
      <c r="Q146" s="1">
        <f t="shared" si="141"/>
        <v>0</v>
      </c>
      <c r="S146" s="3"/>
    </row>
    <row r="147" spans="1:19" x14ac:dyDescent="0.5">
      <c r="A147" s="5" t="str">
        <f t="shared" si="68"/>
        <v>STEM</v>
      </c>
      <c r="B147" s="5" t="str">
        <f t="shared" si="69"/>
        <v>SPS1</v>
      </c>
      <c r="C147" s="5" t="str">
        <f t="shared" si="70"/>
        <v>CH</v>
      </c>
      <c r="D147" t="s">
        <v>58</v>
      </c>
      <c r="E147" t="str">
        <f t="shared" si="134"/>
        <v>PJ/yr.</v>
      </c>
      <c r="F147" s="1">
        <f t="shared" ref="F147:K147" si="144">F133-F140</f>
        <v>0.77003757018866881</v>
      </c>
      <c r="G147" s="1">
        <f t="shared" si="144"/>
        <v>0.70753370850211517</v>
      </c>
      <c r="H147" s="1">
        <f t="shared" si="144"/>
        <v>0.69603653619826666</v>
      </c>
      <c r="I147" s="1">
        <f t="shared" si="144"/>
        <v>0.70265929755735823</v>
      </c>
      <c r="J147" s="1">
        <f t="shared" si="144"/>
        <v>0.69737790269605271</v>
      </c>
      <c r="K147" s="1">
        <f t="shared" si="144"/>
        <v>0.69716742895064454</v>
      </c>
      <c r="L147" s="1">
        <f t="shared" ref="L147:O147" si="145">L133-L140</f>
        <v>0.69668319091239894</v>
      </c>
      <c r="M147" s="1">
        <f t="shared" si="145"/>
        <v>0.69591049235153968</v>
      </c>
      <c r="N147" s="1">
        <f t="shared" si="145"/>
        <v>0.69591002859887729</v>
      </c>
      <c r="O147" s="1">
        <f t="shared" si="145"/>
        <v>0.69590912991252274</v>
      </c>
      <c r="P147" s="1">
        <f t="shared" si="141"/>
        <v>0.69590811941254749</v>
      </c>
      <c r="Q147" s="1">
        <f t="shared" si="141"/>
        <v>0.6959002067095208</v>
      </c>
      <c r="S147" s="3"/>
    </row>
    <row r="148" spans="1:19" x14ac:dyDescent="0.5">
      <c r="A148" s="5" t="str">
        <f t="shared" si="68"/>
        <v>STEM</v>
      </c>
      <c r="B148" s="5" t="str">
        <f t="shared" si="69"/>
        <v>SPS1</v>
      </c>
      <c r="C148" s="5" t="str">
        <f t="shared" si="70"/>
        <v>CH</v>
      </c>
      <c r="D148" t="s">
        <v>59</v>
      </c>
      <c r="E148" t="str">
        <f t="shared" si="134"/>
        <v>PJ/yr.</v>
      </c>
      <c r="F148" s="1">
        <f t="shared" ref="F148:K148" si="146">F134-F141</f>
        <v>0</v>
      </c>
      <c r="G148" s="1">
        <f t="shared" si="146"/>
        <v>0</v>
      </c>
      <c r="H148" s="1">
        <f t="shared" si="146"/>
        <v>0</v>
      </c>
      <c r="I148" s="1">
        <f t="shared" si="146"/>
        <v>0</v>
      </c>
      <c r="J148" s="1">
        <f t="shared" si="146"/>
        <v>0</v>
      </c>
      <c r="K148" s="1">
        <f t="shared" si="146"/>
        <v>0</v>
      </c>
      <c r="L148" s="1">
        <f t="shared" ref="L148:O148" si="147">L134-L141</f>
        <v>0</v>
      </c>
      <c r="M148" s="1">
        <f t="shared" si="147"/>
        <v>0</v>
      </c>
      <c r="N148" s="1">
        <f t="shared" si="147"/>
        <v>0</v>
      </c>
      <c r="O148" s="1">
        <f t="shared" si="147"/>
        <v>0</v>
      </c>
      <c r="P148" s="1">
        <f t="shared" si="141"/>
        <v>0</v>
      </c>
      <c r="Q148" s="1">
        <f t="shared" si="141"/>
        <v>0</v>
      </c>
      <c r="S148" s="3"/>
    </row>
    <row r="149" spans="1:19" x14ac:dyDescent="0.5">
      <c r="A149" s="5" t="str">
        <f t="shared" si="68"/>
        <v>STEM</v>
      </c>
      <c r="B149" s="5" t="str">
        <f t="shared" si="69"/>
        <v>SPS1</v>
      </c>
      <c r="C149" s="5" t="str">
        <f t="shared" si="70"/>
        <v>CH</v>
      </c>
      <c r="D149" t="s">
        <v>54</v>
      </c>
      <c r="E149" t="str">
        <f t="shared" si="134"/>
        <v>PJ/yr.</v>
      </c>
      <c r="F149" s="1">
        <f t="shared" ref="F149:K149" si="148">F135-F142</f>
        <v>0.23005119068626309</v>
      </c>
      <c r="G149" s="1">
        <f t="shared" si="148"/>
        <v>0.2301592886560587</v>
      </c>
      <c r="H149" s="1">
        <f t="shared" si="148"/>
        <v>0.33670967569808757</v>
      </c>
      <c r="I149" s="1">
        <f t="shared" si="148"/>
        <v>0.3329465170295568</v>
      </c>
      <c r="J149" s="1">
        <f t="shared" si="148"/>
        <v>0.32918716858742697</v>
      </c>
      <c r="K149" s="1">
        <f t="shared" si="148"/>
        <v>0.32752542920464189</v>
      </c>
      <c r="L149" s="1">
        <f t="shared" ref="L149:O149" si="149">L135-L142</f>
        <v>0.32586380893754929</v>
      </c>
      <c r="M149" s="1">
        <f t="shared" si="149"/>
        <v>0.32420479636343547</v>
      </c>
      <c r="N149" s="1">
        <f t="shared" si="149"/>
        <v>0.32420220218308737</v>
      </c>
      <c r="O149" s="1">
        <f t="shared" si="149"/>
        <v>0.32420461171108023</v>
      </c>
      <c r="P149" s="1">
        <f t="shared" si="141"/>
        <v>0.32420273208577077</v>
      </c>
      <c r="Q149" s="1">
        <f t="shared" si="141"/>
        <v>0.32420993697084527</v>
      </c>
      <c r="S149" s="3"/>
    </row>
    <row r="150" spans="1:19" x14ac:dyDescent="0.5">
      <c r="A150" s="5" t="str">
        <f t="shared" ref="A150:A181" si="150">A149</f>
        <v>STEM</v>
      </c>
      <c r="B150" s="5" t="str">
        <f t="shared" ref="B150:B181" si="151">B149</f>
        <v>SPS1</v>
      </c>
      <c r="C150" s="5" t="str">
        <f t="shared" ref="C150:C181" si="152">C149</f>
        <v>CH</v>
      </c>
      <c r="D150" t="s">
        <v>55</v>
      </c>
      <c r="E150" t="str">
        <f t="shared" si="134"/>
        <v>PJ/yr.</v>
      </c>
      <c r="F150" s="1">
        <f t="shared" ref="F150:K150" si="153">F136-F143</f>
        <v>0</v>
      </c>
      <c r="G150" s="1">
        <f t="shared" si="153"/>
        <v>0</v>
      </c>
      <c r="H150" s="1">
        <f t="shared" si="153"/>
        <v>0</v>
      </c>
      <c r="I150" s="1">
        <f t="shared" si="153"/>
        <v>0</v>
      </c>
      <c r="J150" s="1">
        <f t="shared" si="153"/>
        <v>0</v>
      </c>
      <c r="K150" s="1">
        <f t="shared" si="153"/>
        <v>0</v>
      </c>
      <c r="L150" s="1">
        <f t="shared" ref="L150:O150" si="154">L136-L143</f>
        <v>0</v>
      </c>
      <c r="M150" s="1">
        <f t="shared" si="154"/>
        <v>0</v>
      </c>
      <c r="N150" s="1">
        <f t="shared" si="154"/>
        <v>0</v>
      </c>
      <c r="O150" s="1">
        <f t="shared" si="154"/>
        <v>0</v>
      </c>
      <c r="P150" s="1">
        <f t="shared" si="141"/>
        <v>0</v>
      </c>
      <c r="Q150" s="1">
        <f t="shared" si="141"/>
        <v>0</v>
      </c>
      <c r="S150" s="3"/>
    </row>
    <row r="151" spans="1:19" x14ac:dyDescent="0.5">
      <c r="A151" s="5" t="str">
        <f t="shared" si="150"/>
        <v>STEM</v>
      </c>
      <c r="B151" s="5" t="str">
        <f t="shared" si="151"/>
        <v>SPS1</v>
      </c>
      <c r="C151" s="5" t="str">
        <f t="shared" si="152"/>
        <v>CH</v>
      </c>
      <c r="D151" t="s">
        <v>801</v>
      </c>
      <c r="E151" t="str">
        <f t="shared" si="134"/>
        <v>PJ/yr.</v>
      </c>
      <c r="F151" s="1">
        <f>SUM(F152:F158)</f>
        <v>0.58038036987345898</v>
      </c>
      <c r="G151" s="1">
        <f t="shared" ref="G151:K151" si="155">SUM(G152:G158)</f>
        <v>0.5803677043941502</v>
      </c>
      <c r="H151" s="1">
        <f t="shared" si="155"/>
        <v>1.451315570520938</v>
      </c>
      <c r="I151" s="1">
        <f t="shared" si="155"/>
        <v>3.1446075559854414</v>
      </c>
      <c r="J151" s="1">
        <f t="shared" si="155"/>
        <v>3.8700186358063511</v>
      </c>
      <c r="K151" s="1">
        <f t="shared" si="155"/>
        <v>4.5422607024791191</v>
      </c>
      <c r="L151" s="1">
        <f t="shared" ref="L151:O151" si="156">SUM(L152:L158)</f>
        <v>5.2144980994145866</v>
      </c>
      <c r="M151" s="1">
        <f t="shared" si="156"/>
        <v>5.7084513680123505</v>
      </c>
      <c r="N151" s="1">
        <f t="shared" si="156"/>
        <v>5.8866897035591457</v>
      </c>
      <c r="O151" s="1">
        <f t="shared" si="156"/>
        <v>5.8867252510085875</v>
      </c>
      <c r="P151" s="1">
        <f>SUM(P152:P158)</f>
        <v>5.8867302528830372</v>
      </c>
      <c r="Q151" s="1">
        <f>SUM(Q152:Q158)</f>
        <v>5.8867797007426805</v>
      </c>
      <c r="S151" s="3"/>
    </row>
    <row r="152" spans="1:19" x14ac:dyDescent="0.5">
      <c r="A152" s="5" t="str">
        <f t="shared" si="150"/>
        <v>STEM</v>
      </c>
      <c r="B152" s="5" t="str">
        <f t="shared" si="151"/>
        <v>SPS1</v>
      </c>
      <c r="C152" s="5" t="str">
        <f t="shared" si="152"/>
        <v>CH</v>
      </c>
      <c r="D152" t="s">
        <v>66</v>
      </c>
      <c r="E152" t="str">
        <f>E86</f>
        <v>PJ/yr.</v>
      </c>
      <c r="F152" s="1">
        <f>'[1]Electricity and CHPs'!B25</f>
        <v>0.40783598442070862</v>
      </c>
      <c r="G152" s="1">
        <f>'[1]Electricity and CHPs'!C25</f>
        <v>5.8751433942015353E-2</v>
      </c>
      <c r="H152" s="1">
        <f>'[1]Electricity and CHPs'!D25</f>
        <v>0.29524639736852087</v>
      </c>
      <c r="I152" s="1">
        <f>'[1]Electricity and CHPs'!E25</f>
        <v>1.0867003810923705</v>
      </c>
      <c r="J152" s="1">
        <f>'[1]Electricity and CHPs'!F25</f>
        <v>1.3231282385461958</v>
      </c>
      <c r="K152" s="1">
        <f>'[1]Electricity and CHPs'!G25</f>
        <v>1.5473699983872027</v>
      </c>
      <c r="L152" s="1">
        <f>'[1]Electricity and CHPs'!H25</f>
        <v>1.2563584668852941</v>
      </c>
      <c r="M152" s="1">
        <f>'[1]Electricity and CHPs'!I25</f>
        <v>0.63870931492514915</v>
      </c>
      <c r="N152" s="1">
        <f>'[1]Electricity and CHPs'!J25</f>
        <v>0.36679983119620013</v>
      </c>
      <c r="O152" s="1">
        <f>'[1]Electricity and CHPs'!K25</f>
        <v>0.37453211166878581</v>
      </c>
      <c r="P152" s="1">
        <f>'[1]Electricity and CHPs'!L25</f>
        <v>0.4053210855238068</v>
      </c>
      <c r="Q152" s="1">
        <f>'[1]Electricity and CHPs'!M25</f>
        <v>0.34672459871046152</v>
      </c>
      <c r="S152" s="3"/>
    </row>
    <row r="153" spans="1:19" x14ac:dyDescent="0.5">
      <c r="A153" s="5" t="str">
        <f t="shared" si="150"/>
        <v>STEM</v>
      </c>
      <c r="B153" s="5" t="str">
        <f t="shared" si="151"/>
        <v>SPS1</v>
      </c>
      <c r="C153" s="5" t="str">
        <f t="shared" si="152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'[1]Electricity and CHPs'!F31</f>
        <v>0</v>
      </c>
      <c r="K153" s="1">
        <f>'[1]Electricity and CHPs'!G31</f>
        <v>0</v>
      </c>
      <c r="L153" s="1">
        <f>'[1]Electricity and CHPs'!H31</f>
        <v>0</v>
      </c>
      <c r="M153" s="1">
        <f>'[1]Electricity and CHPs'!I31</f>
        <v>0</v>
      </c>
      <c r="N153" s="1">
        <f>'[1]Electricity and CHPs'!J31</f>
        <v>0</v>
      </c>
      <c r="O153" s="1">
        <f>'[1]Electricity and CHPs'!K31</f>
        <v>0</v>
      </c>
      <c r="P153" s="1">
        <f>'[1]Electricity and CHPs'!L31</f>
        <v>0</v>
      </c>
      <c r="Q153" s="1">
        <f>'[1]Electricity and CHPs'!M31</f>
        <v>0</v>
      </c>
      <c r="S153" s="3"/>
    </row>
    <row r="154" spans="1:19" x14ac:dyDescent="0.5">
      <c r="A154" s="5" t="str">
        <f t="shared" si="150"/>
        <v>STEM</v>
      </c>
      <c r="B154" s="5" t="str">
        <f t="shared" si="151"/>
        <v>SPS1</v>
      </c>
      <c r="C154" s="5" t="str">
        <f t="shared" si="152"/>
        <v>CH</v>
      </c>
      <c r="D154" t="s">
        <v>68</v>
      </c>
      <c r="E154" t="str">
        <f>E77</f>
        <v>PJ/yr.</v>
      </c>
      <c r="F154" s="1">
        <f>'[1]Electricity and CHPs'!B42</f>
        <v>0.17254438545275039</v>
      </c>
      <c r="G154" s="1">
        <f>'[1]Electricity and CHPs'!C42</f>
        <v>0.52161627045213488</v>
      </c>
      <c r="H154" s="1">
        <f>'[1]Electricity and CHPs'!D42</f>
        <v>1.1560691731524171</v>
      </c>
      <c r="I154" s="1">
        <f>'[1]Electricity and CHPs'!E42</f>
        <v>2.0488281379616402</v>
      </c>
      <c r="J154" s="1">
        <f>'[1]Electricity and CHPs'!F42</f>
        <v>2.5361680206798507</v>
      </c>
      <c r="K154" s="1">
        <f>'[1]Electricity and CHPs'!G42</f>
        <v>2.9852741414882238</v>
      </c>
      <c r="L154" s="1">
        <f>'[1]Electricity and CHPs'!H42</f>
        <v>3.9471916285114048</v>
      </c>
      <c r="M154" s="1">
        <f>'[1]Electricity and CHPs'!I42</f>
        <v>5.0448527941818462</v>
      </c>
      <c r="N154" s="1">
        <f>'[1]Electricity and CHPs'!J42</f>
        <v>5.496527794429662</v>
      </c>
      <c r="O154" s="1">
        <f>'[1]Electricity and CHPs'!K42</f>
        <v>5.4870733076743186</v>
      </c>
      <c r="P154" s="1">
        <f>'[1]Electricity and CHPs'!L42</f>
        <v>5.4595940399466318</v>
      </c>
      <c r="Q154" s="1">
        <f>'[1]Electricity and CHPs'!M42</f>
        <v>5.4966423208098583</v>
      </c>
      <c r="S154" s="3"/>
    </row>
    <row r="155" spans="1:19" x14ac:dyDescent="0.5">
      <c r="A155" s="5" t="str">
        <f t="shared" si="150"/>
        <v>STEM</v>
      </c>
      <c r="B155" s="5" t="str">
        <f t="shared" si="151"/>
        <v>SPS1</v>
      </c>
      <c r="C155" s="5" t="str">
        <f t="shared" si="152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'[1]Electricity and CHPs'!F43</f>
        <v>0</v>
      </c>
      <c r="K155" s="1">
        <f>'[1]Electricity and CHPs'!G43</f>
        <v>0</v>
      </c>
      <c r="L155" s="1">
        <f>'[1]Electricity and CHPs'!H43</f>
        <v>0</v>
      </c>
      <c r="M155" s="1">
        <f>'[1]Electricity and CHPs'!I43</f>
        <v>0</v>
      </c>
      <c r="N155" s="1">
        <f>'[1]Electricity and CHPs'!J43</f>
        <v>0</v>
      </c>
      <c r="O155" s="1">
        <f>'[1]Electricity and CHPs'!K43</f>
        <v>0</v>
      </c>
      <c r="P155" s="1">
        <f>'[1]Electricity and CHPs'!L43</f>
        <v>0</v>
      </c>
      <c r="Q155" s="1">
        <f>'[1]Electricity and CHPs'!M43</f>
        <v>0</v>
      </c>
      <c r="S155" s="3"/>
    </row>
    <row r="156" spans="1:19" x14ac:dyDescent="0.5">
      <c r="A156" s="5" t="str">
        <f t="shared" si="150"/>
        <v>STEM</v>
      </c>
      <c r="B156" s="5" t="str">
        <f t="shared" si="151"/>
        <v>SPS1</v>
      </c>
      <c r="C156" s="5" t="str">
        <f t="shared" si="152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1.3502875588474522E-3</v>
      </c>
      <c r="J156" s="1">
        <f>'[1]Electricity and CHPs'!F50</f>
        <v>2.7437170629366616E-3</v>
      </c>
      <c r="K156" s="1">
        <f>'[1]Electricity and CHPs'!G50</f>
        <v>2.790717796755977E-3</v>
      </c>
      <c r="L156" s="1">
        <f>'[1]Electricity and CHPs'!H50</f>
        <v>2.7587801009270191E-3</v>
      </c>
      <c r="M156" s="1">
        <f>'[1]Electricity and CHPs'!I50</f>
        <v>6.4529395176878409E-3</v>
      </c>
      <c r="N156" s="1">
        <f>'[1]Electricity and CHPs'!J50</f>
        <v>6.073009892462634E-3</v>
      </c>
      <c r="O156" s="1">
        <f>'[1]Electricity and CHPs'!K50</f>
        <v>7.7203641331343503E-3</v>
      </c>
      <c r="P156" s="1">
        <f>'[1]Electricity and CHPs'!L50</f>
        <v>4.9774771948146593E-3</v>
      </c>
      <c r="Q156" s="1">
        <f>'[1]Electricity and CHPs'!M50</f>
        <v>9.2668836642865737E-3</v>
      </c>
      <c r="S156" s="3"/>
    </row>
    <row r="157" spans="1:19" x14ac:dyDescent="0.5">
      <c r="A157" s="5" t="str">
        <f t="shared" si="150"/>
        <v>STEM</v>
      </c>
      <c r="B157" s="5" t="str">
        <f t="shared" si="151"/>
        <v>SPS1</v>
      </c>
      <c r="C157" s="5" t="str">
        <f t="shared" si="152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3.7538235446236759E-3</v>
      </c>
      <c r="J157" s="1">
        <f>'[1]Electricity and CHPs'!F53</f>
        <v>4.8793409182426462E-3</v>
      </c>
      <c r="K157" s="1">
        <f>'[1]Electricity and CHPs'!G53</f>
        <v>4.3905465514295985E-3</v>
      </c>
      <c r="L157" s="1">
        <f>'[1]Electricity and CHPs'!H53</f>
        <v>4.5423321527178796E-3</v>
      </c>
      <c r="M157" s="1">
        <f>'[1]Electricity and CHPs'!I53</f>
        <v>1.2503696732069578E-2</v>
      </c>
      <c r="N157" s="1">
        <f>'[1]Electricity and CHPs'!J53</f>
        <v>1.1935268901118887E-2</v>
      </c>
      <c r="O157" s="1">
        <f>'[1]Electricity and CHPs'!K53</f>
        <v>1.037396647185641E-2</v>
      </c>
      <c r="P157" s="1">
        <f>'[1]Electricity and CHPs'!L53</f>
        <v>9.8084472959613089E-3</v>
      </c>
      <c r="Q157" s="1">
        <f>'[1]Electricity and CHPs'!M53</f>
        <v>1.8760061464410206E-2</v>
      </c>
      <c r="S157" s="3"/>
    </row>
    <row r="158" spans="1:19" x14ac:dyDescent="0.5">
      <c r="A158" s="5" t="str">
        <f t="shared" si="150"/>
        <v>STEM</v>
      </c>
      <c r="B158" s="5" t="str">
        <f t="shared" si="151"/>
        <v>SPS1</v>
      </c>
      <c r="C158" s="5" t="str">
        <f t="shared" si="152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3.9749258279597396E-3</v>
      </c>
      <c r="J158" s="1">
        <f>'[1]Electricity and CHPs'!F56</f>
        <v>3.0993185991248836E-3</v>
      </c>
      <c r="K158" s="1">
        <f>'[1]Electricity and CHPs'!G56</f>
        <v>2.4352982555070333E-3</v>
      </c>
      <c r="L158" s="1">
        <f>'[1]Electricity and CHPs'!H56</f>
        <v>3.646891764244025E-3</v>
      </c>
      <c r="M158" s="1">
        <f>'[1]Electricity and CHPs'!I56</f>
        <v>5.9326226555966597E-3</v>
      </c>
      <c r="N158" s="1">
        <f>'[1]Electricity and CHPs'!J56</f>
        <v>5.353799139702041E-3</v>
      </c>
      <c r="O158" s="1">
        <f>'[1]Electricity and CHPs'!K56</f>
        <v>7.025501060492126E-3</v>
      </c>
      <c r="P158" s="1">
        <f>'[1]Electricity and CHPs'!L56</f>
        <v>7.0292029218229904E-3</v>
      </c>
      <c r="Q158" s="1">
        <f>'[1]Electricity and CHPs'!M56</f>
        <v>1.5385836093663754E-2</v>
      </c>
      <c r="S158" s="3"/>
    </row>
    <row r="159" spans="1:19" x14ac:dyDescent="0.5">
      <c r="A159" s="5" t="str">
        <f t="shared" si="150"/>
        <v>STEM</v>
      </c>
      <c r="B159" s="5" t="str">
        <f t="shared" si="151"/>
        <v>SPS1</v>
      </c>
      <c r="C159" s="5" t="str">
        <f t="shared" si="152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O159" si="157">G160</f>
        <v>0.54529230746486002</v>
      </c>
      <c r="H159" s="1">
        <f t="shared" si="157"/>
        <v>0.503164905798409</v>
      </c>
      <c r="I159" s="1">
        <f t="shared" si="157"/>
        <v>0.54657696956086987</v>
      </c>
      <c r="J159" s="1">
        <f t="shared" si="157"/>
        <v>0.5470761562361417</v>
      </c>
      <c r="K159" s="1">
        <f t="shared" si="157"/>
        <v>0.54724784812225757</v>
      </c>
      <c r="L159" s="1">
        <f t="shared" si="157"/>
        <v>0.55273988564425414</v>
      </c>
      <c r="M159" s="1">
        <f t="shared" si="157"/>
        <v>0.55281225691644442</v>
      </c>
      <c r="N159" s="1">
        <f t="shared" si="157"/>
        <v>0.55282019454418119</v>
      </c>
      <c r="O159" s="1">
        <f t="shared" si="157"/>
        <v>0.55283772132341857</v>
      </c>
      <c r="P159" s="1">
        <f>P160</f>
        <v>0.55342834497210747</v>
      </c>
      <c r="Q159" s="1">
        <f>Q160</f>
        <v>0.55653054330829999</v>
      </c>
      <c r="S159" s="3"/>
    </row>
    <row r="160" spans="1:19" x14ac:dyDescent="0.5">
      <c r="A160" s="5" t="str">
        <f t="shared" si="150"/>
        <v>STEM</v>
      </c>
      <c r="B160" s="5" t="str">
        <f t="shared" si="151"/>
        <v>SPS1</v>
      </c>
      <c r="C160" s="5" t="str">
        <f t="shared" si="152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0.54529230746486002</v>
      </c>
      <c r="H160" s="1">
        <f>'[1]Electricity and CHPs'!D33</f>
        <v>0.503164905798409</v>
      </c>
      <c r="I160" s="1">
        <f>'[1]Electricity and CHPs'!E33</f>
        <v>0.54657696956086987</v>
      </c>
      <c r="J160" s="1">
        <f>'[1]Electricity and CHPs'!F33</f>
        <v>0.5470761562361417</v>
      </c>
      <c r="K160" s="1">
        <f>'[1]Electricity and CHPs'!G33</f>
        <v>0.54724784812225757</v>
      </c>
      <c r="L160" s="1">
        <f>'[1]Electricity and CHPs'!H33</f>
        <v>0.55273988564425414</v>
      </c>
      <c r="M160" s="1">
        <f>'[1]Electricity and CHPs'!I33</f>
        <v>0.55281225691644442</v>
      </c>
      <c r="N160" s="1">
        <f>'[1]Electricity and CHPs'!J33</f>
        <v>0.55282019454418119</v>
      </c>
      <c r="O160" s="1">
        <f>'[1]Electricity and CHPs'!K33</f>
        <v>0.55283772132341857</v>
      </c>
      <c r="P160" s="1">
        <f>'[1]Electricity and CHPs'!L33</f>
        <v>0.55342834497210747</v>
      </c>
      <c r="Q160" s="1">
        <f>'[1]Electricity and CHPs'!M33</f>
        <v>0.55653054330829999</v>
      </c>
      <c r="S160" s="3"/>
    </row>
    <row r="161" spans="1:19" x14ac:dyDescent="0.5">
      <c r="A161" s="5" t="str">
        <f t="shared" si="150"/>
        <v>STEM</v>
      </c>
      <c r="B161" s="5" t="str">
        <f t="shared" si="151"/>
        <v>SPS1</v>
      </c>
      <c r="C161" s="5" t="str">
        <f t="shared" si="152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8">SUM(G162:G166)</f>
        <v>12.821393294319341</v>
      </c>
      <c r="H161" s="1">
        <f t="shared" si="158"/>
        <v>28.800013447852344</v>
      </c>
      <c r="I161" s="1">
        <f t="shared" si="158"/>
        <v>51.183420143335873</v>
      </c>
      <c r="J161" s="1">
        <f t="shared" si="158"/>
        <v>54.527800608403297</v>
      </c>
      <c r="K161" s="1">
        <f t="shared" si="158"/>
        <v>57.257194283974897</v>
      </c>
      <c r="L161" s="1">
        <f t="shared" ref="L161:O161" si="159">SUM(L162:L166)</f>
        <v>59.930489468610332</v>
      </c>
      <c r="M161" s="1">
        <f t="shared" si="159"/>
        <v>62.838154978105784</v>
      </c>
      <c r="N161" s="1">
        <f t="shared" si="159"/>
        <v>65.485026153076277</v>
      </c>
      <c r="O161" s="1">
        <f t="shared" si="159"/>
        <v>68.664215006606355</v>
      </c>
      <c r="P161" s="1">
        <f>SUM(P162:P166)</f>
        <v>72.163344712301338</v>
      </c>
      <c r="Q161" s="1">
        <f>SUM(Q162:Q166)</f>
        <v>76.766193138235053</v>
      </c>
      <c r="S161" s="3"/>
    </row>
    <row r="162" spans="1:19" x14ac:dyDescent="0.5">
      <c r="A162" s="5" t="str">
        <f t="shared" si="150"/>
        <v>STEM</v>
      </c>
      <c r="B162" s="5" t="str">
        <f t="shared" si="151"/>
        <v>SPS1</v>
      </c>
      <c r="C162" s="5" t="str">
        <f t="shared" si="152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0.15619404613268542</v>
      </c>
      <c r="I162" s="1">
        <f>'[1]Electricity and CHPs'!E34</f>
        <v>0.30116756440086828</v>
      </c>
      <c r="J162" s="1">
        <f>'[1]Electricity and CHPs'!F34</f>
        <v>1.0500146152760959</v>
      </c>
      <c r="K162" s="1">
        <f>'[1]Electricity and CHPs'!G34</f>
        <v>1.0515057706679878</v>
      </c>
      <c r="L162" s="1">
        <f>'[1]Electricity and CHPs'!H34</f>
        <v>0.85774286604747529</v>
      </c>
      <c r="M162" s="1">
        <f>'[1]Electricity and CHPs'!I34</f>
        <v>0.75209545904569852</v>
      </c>
      <c r="N162" s="1">
        <f>'[1]Electricity and CHPs'!J34</f>
        <v>0.23194639823125895</v>
      </c>
      <c r="O162" s="1">
        <f>'[1]Electricity and CHPs'!K34</f>
        <v>8.2552343717400403E-2</v>
      </c>
      <c r="P162" s="1">
        <f>'[1]Electricity and CHPs'!L34</f>
        <v>8.3302201902129405E-2</v>
      </c>
      <c r="Q162" s="1">
        <f>'[1]Electricity and CHPs'!M34</f>
        <v>1.0090386764474102</v>
      </c>
      <c r="S162" s="3"/>
    </row>
    <row r="163" spans="1:19" x14ac:dyDescent="0.5">
      <c r="A163" s="5" t="str">
        <f t="shared" si="150"/>
        <v>STEM</v>
      </c>
      <c r="B163" s="5" t="str">
        <f t="shared" si="151"/>
        <v>SPS1</v>
      </c>
      <c r="C163" s="5" t="str">
        <f t="shared" si="152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4.8486223629257434</v>
      </c>
      <c r="H163" s="1">
        <f>'[1]Electricity and CHPs'!D35</f>
        <v>11.927077850684414</v>
      </c>
      <c r="I163" s="1">
        <f>'[1]Electricity and CHPs'!E35</f>
        <v>14.116600821845296</v>
      </c>
      <c r="J163" s="1">
        <f>'[1]Electricity and CHPs'!F35</f>
        <v>14.836697360292424</v>
      </c>
      <c r="K163" s="1">
        <f>'[1]Electricity and CHPs'!G35</f>
        <v>15.593517416461676</v>
      </c>
      <c r="L163" s="1">
        <f>'[1]Electricity and CHPs'!H35</f>
        <v>16.388945344742538</v>
      </c>
      <c r="M163" s="1">
        <f>'[1]Electricity and CHPs'!I35</f>
        <v>17.224949043055599</v>
      </c>
      <c r="N163" s="1">
        <f>'[1]Electricity and CHPs'!J35</f>
        <v>18.103597582950265</v>
      </c>
      <c r="O163" s="1">
        <f>'[1]Electricity and CHPs'!K35</f>
        <v>19.027068944121876</v>
      </c>
      <c r="P163" s="1">
        <f>'[1]Electricity and CHPs'!L35</f>
        <v>19.997650575076346</v>
      </c>
      <c r="Q163" s="1">
        <f>'[1]Electricity and CHPs'!M35</f>
        <v>21.017784969573515</v>
      </c>
      <c r="S163" s="3"/>
    </row>
    <row r="164" spans="1:19" x14ac:dyDescent="0.5">
      <c r="A164" s="5" t="str">
        <f t="shared" si="150"/>
        <v>STEM</v>
      </c>
      <c r="B164" s="5" t="str">
        <f t="shared" si="151"/>
        <v>SPS1</v>
      </c>
      <c r="C164" s="5" t="str">
        <f t="shared" si="152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3.3906968890761346</v>
      </c>
      <c r="H164" s="1">
        <f>'[1]Electricity and CHPs'!D36</f>
        <v>6.9697615016382839</v>
      </c>
      <c r="I164" s="1">
        <f>'[1]Electricity and CHPs'!E36</f>
        <v>18.917238811391851</v>
      </c>
      <c r="J164" s="1">
        <f>'[1]Electricity and CHPs'!F36</f>
        <v>19.8822148995033</v>
      </c>
      <c r="K164" s="1">
        <f>'[1]Electricity and CHPs'!G36</f>
        <v>20.896407718056516</v>
      </c>
      <c r="L164" s="1">
        <f>'[1]Electricity and CHPs'!H36</f>
        <v>21.962334684595938</v>
      </c>
      <c r="M164" s="1">
        <f>'[1]Electricity and CHPs'!I36</f>
        <v>23.082637001311717</v>
      </c>
      <c r="N164" s="1">
        <f>'[1]Electricity and CHPs'!J36</f>
        <v>24.260085018839593</v>
      </c>
      <c r="O164" s="1">
        <f>'[1]Electricity and CHPs'!K36</f>
        <v>25.497598952371124</v>
      </c>
      <c r="P164" s="1">
        <f>'[1]Electricity and CHPs'!L36</f>
        <v>26.798238494954347</v>
      </c>
      <c r="Q164" s="1">
        <f>'[1]Electricity and CHPs'!M36</f>
        <v>28.165371246640877</v>
      </c>
      <c r="S164" s="3"/>
    </row>
    <row r="165" spans="1:19" x14ac:dyDescent="0.5">
      <c r="A165" s="5" t="str">
        <f t="shared" si="150"/>
        <v>STEM</v>
      </c>
      <c r="B165" s="5" t="str">
        <f t="shared" si="151"/>
        <v>SPS1</v>
      </c>
      <c r="C165" s="5" t="str">
        <f t="shared" si="152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1.2876189037011077</v>
      </c>
      <c r="H165" s="1">
        <f>'[1]Electricity and CHPs'!D37</f>
        <v>5.8107753183328441</v>
      </c>
      <c r="I165" s="1">
        <f>'[1]Electricity and CHPs'!E37</f>
        <v>13.439522789975808</v>
      </c>
      <c r="J165" s="1">
        <f>'[1]Electricity and CHPs'!F37</f>
        <v>14.125083298233466</v>
      </c>
      <c r="K165" s="1">
        <f>'[1]Electricity and CHPs'!G37</f>
        <v>14.845604524664282</v>
      </c>
      <c r="L165" s="1">
        <f>'[1]Electricity and CHPs'!H37</f>
        <v>15.602879834951064</v>
      </c>
      <c r="M165" s="1">
        <f>'[1]Electricity and CHPs'!I37</f>
        <v>16.398785942949473</v>
      </c>
      <c r="N165" s="1">
        <f>'[1]Electricity and CHPs'!J37</f>
        <v>17.235290218903749</v>
      </c>
      <c r="O165" s="1">
        <f>'[1]Electricity and CHPs'!K37</f>
        <v>18.11446759757866</v>
      </c>
      <c r="P165" s="1">
        <f>'[1]Electricity and CHPs'!L37</f>
        <v>19.038492601518048</v>
      </c>
      <c r="Q165" s="1">
        <f>'[1]Electricity and CHPs'!M37</f>
        <v>20.009692594447074</v>
      </c>
      <c r="S165" s="3"/>
    </row>
    <row r="166" spans="1:19" x14ac:dyDescent="0.5">
      <c r="A166" s="5" t="str">
        <f t="shared" si="150"/>
        <v>STEM</v>
      </c>
      <c r="B166" s="5" t="str">
        <f t="shared" si="151"/>
        <v>SPS1</v>
      </c>
      <c r="C166" s="5" t="str">
        <f t="shared" si="152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3.2944551386163567</v>
      </c>
      <c r="H166" s="1">
        <f>'[1]Electricity and CHPs'!D38</f>
        <v>3.9362047310641173</v>
      </c>
      <c r="I166" s="1">
        <f>'[1]Electricity and CHPs'!E38</f>
        <v>4.4088901557220552</v>
      </c>
      <c r="J166" s="1">
        <f>'[1]Electricity and CHPs'!F38</f>
        <v>4.6337904350980068</v>
      </c>
      <c r="K166" s="1">
        <f>'[1]Electricity and CHPs'!G38</f>
        <v>4.8701588541244414</v>
      </c>
      <c r="L166" s="1">
        <f>'[1]Electricity and CHPs'!H38</f>
        <v>5.1185867382733212</v>
      </c>
      <c r="M166" s="1">
        <f>'[1]Electricity and CHPs'!I38</f>
        <v>5.3796875317432953</v>
      </c>
      <c r="N166" s="1">
        <f>'[1]Electricity and CHPs'!J38</f>
        <v>5.6541069341514083</v>
      </c>
      <c r="O166" s="1">
        <f>'[1]Electricity and CHPs'!K38</f>
        <v>5.9425271688172998</v>
      </c>
      <c r="P166" s="1">
        <f>'[1]Electricity and CHPs'!L38</f>
        <v>6.2456608388504664</v>
      </c>
      <c r="Q166" s="1">
        <f>'[1]Electricity and CHPs'!M38</f>
        <v>6.5643056511261717</v>
      </c>
      <c r="S166" s="3"/>
    </row>
    <row r="167" spans="1:19" x14ac:dyDescent="0.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'[1]Electricity and CHPs'!F32</f>
        <v>0</v>
      </c>
      <c r="K167" s="1">
        <f>'[1]Electricity and CHPs'!G32</f>
        <v>0</v>
      </c>
      <c r="L167" s="1">
        <f>'[1]Electricity and CHPs'!H32</f>
        <v>5.4915607716595257E-3</v>
      </c>
      <c r="M167" s="1">
        <f>'[1]Electricity and CHPs'!I32</f>
        <v>8.5331714328763467E-3</v>
      </c>
      <c r="N167" s="1">
        <f>'[1]Electricity and CHPs'!J32</f>
        <v>9.0147530764400872E-3</v>
      </c>
      <c r="O167" s="1">
        <f>'[1]Electricity and CHPs'!K32</f>
        <v>1.0059012233796327E-2</v>
      </c>
      <c r="P167" s="1">
        <f>'[1]Electricity and CHPs'!L32</f>
        <v>1.1687307299713821E-2</v>
      </c>
      <c r="Q167" s="1">
        <f>'[1]Electricity and CHPs'!M32</f>
        <v>2.0730814841950881E-2</v>
      </c>
      <c r="S167" s="3"/>
    </row>
    <row r="168" spans="1:19" x14ac:dyDescent="0.5">
      <c r="A168" s="5" t="str">
        <f t="shared" ref="A168" si="160">A167</f>
        <v>STEM</v>
      </c>
      <c r="B168" s="5" t="str">
        <f t="shared" ref="B168" si="161">B167</f>
        <v>SPS1</v>
      </c>
      <c r="C168" s="5" t="str">
        <f t="shared" ref="C168" si="162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63">G167</f>
        <v>0</v>
      </c>
      <c r="H168" s="1">
        <f t="shared" si="163"/>
        <v>0</v>
      </c>
      <c r="I168" s="1">
        <f t="shared" si="163"/>
        <v>0</v>
      </c>
      <c r="J168" s="1">
        <f t="shared" si="163"/>
        <v>0</v>
      </c>
      <c r="K168" s="1">
        <f t="shared" si="163"/>
        <v>0</v>
      </c>
      <c r="L168" s="1">
        <f t="shared" ref="L168:O168" si="164">L167</f>
        <v>5.4915607716595257E-3</v>
      </c>
      <c r="M168" s="1">
        <f t="shared" si="164"/>
        <v>8.5331714328763467E-3</v>
      </c>
      <c r="N168" s="1">
        <f t="shared" si="164"/>
        <v>9.0147530764400872E-3</v>
      </c>
      <c r="O168" s="1">
        <f t="shared" si="164"/>
        <v>1.0059012233796327E-2</v>
      </c>
      <c r="P168" s="1">
        <f>P167</f>
        <v>1.1687307299713821E-2</v>
      </c>
      <c r="Q168" s="1">
        <f>Q167</f>
        <v>2.0730814841950881E-2</v>
      </c>
      <c r="S168" s="3"/>
    </row>
    <row r="169" spans="1:19" x14ac:dyDescent="0.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65">SUM(F170:F172)</f>
        <v>0</v>
      </c>
      <c r="G169" s="1">
        <f t="shared" si="165"/>
        <v>0</v>
      </c>
      <c r="H169" s="1">
        <f t="shared" si="165"/>
        <v>0</v>
      </c>
      <c r="I169" s="1">
        <f t="shared" si="165"/>
        <v>2.9557401831714243E-3</v>
      </c>
      <c r="J169" s="1">
        <f t="shared" si="165"/>
        <v>8.5099174751427781E-3</v>
      </c>
      <c r="K169" s="1">
        <f t="shared" si="165"/>
        <v>1.4534707411305098E-2</v>
      </c>
      <c r="L169" s="1">
        <f t="shared" ref="L169:O169" si="166">SUM(L170:L172)</f>
        <v>1.5138180702052147E-2</v>
      </c>
      <c r="M169" s="1">
        <f t="shared" si="166"/>
        <v>4.1711844366004974E-2</v>
      </c>
      <c r="N169" s="1">
        <f t="shared" si="166"/>
        <v>3.6342874245773329E-2</v>
      </c>
      <c r="O169" s="1">
        <f t="shared" si="166"/>
        <v>0.13127594945507456</v>
      </c>
      <c r="P169" s="1">
        <f>SUM(P170:P172)</f>
        <v>0.1311990781911001</v>
      </c>
      <c r="Q169" s="1">
        <f>SUM(Q170:Q172)</f>
        <v>0.16162647046390355</v>
      </c>
      <c r="S169" s="3"/>
    </row>
    <row r="170" spans="1:19" x14ac:dyDescent="0.5">
      <c r="A170" s="5" t="str">
        <f t="shared" si="150"/>
        <v>STEM</v>
      </c>
      <c r="B170" s="5" t="str">
        <f t="shared" si="151"/>
        <v>SPS1</v>
      </c>
      <c r="C170" s="5" t="str">
        <f t="shared" si="152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'[1]Electricity and CHPs'!F30</f>
        <v>0</v>
      </c>
      <c r="K170" s="1">
        <f>'[1]Electricity and CHPs'!G30</f>
        <v>1.8927139312730522E-3</v>
      </c>
      <c r="L170" s="1">
        <f>'[1]Electricity and CHPs'!H30</f>
        <v>1.9329595636958395E-3</v>
      </c>
      <c r="M170" s="1">
        <f>'[1]Electricity and CHPs'!I30</f>
        <v>3.3566977855187521E-3</v>
      </c>
      <c r="N170" s="1">
        <f>'[1]Electricity and CHPs'!J30</f>
        <v>3.374954105947283E-3</v>
      </c>
      <c r="O170" s="1">
        <f>'[1]Electricity and CHPs'!K30</f>
        <v>3.8245540298928023E-2</v>
      </c>
      <c r="P170" s="1">
        <f>'[1]Electricity and CHPs'!L30</f>
        <v>4.0100207031980958E-2</v>
      </c>
      <c r="Q170" s="1">
        <f>'[1]Electricity and CHPs'!M30</f>
        <v>4.0636065124901533E-2</v>
      </c>
      <c r="S170" s="3"/>
    </row>
    <row r="171" spans="1:19" x14ac:dyDescent="0.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1.7766350562548091E-3</v>
      </c>
      <c r="J171" s="1">
        <f>'[1]Electricity and CHPs'!F46</f>
        <v>5.6145544029723602E-3</v>
      </c>
      <c r="K171" s="1">
        <f>'[1]Electricity and CHPs'!G46</f>
        <v>9.3891283971954693E-3</v>
      </c>
      <c r="L171" s="1">
        <f>'[1]Electricity and CHPs'!H46</f>
        <v>9.3076060437629719E-3</v>
      </c>
      <c r="M171" s="1">
        <f>'[1]Electricity and CHPs'!I46</f>
        <v>2.8260256108047617E-2</v>
      </c>
      <c r="N171" s="1">
        <f>'[1]Electricity and CHPs'!J46</f>
        <v>2.3684250561635582E-2</v>
      </c>
      <c r="O171" s="1">
        <f>'[1]Electricity and CHPs'!K46</f>
        <v>7.036442289148194E-2</v>
      </c>
      <c r="P171" s="1">
        <f>'[1]Electricity and CHPs'!L46</f>
        <v>7.3974304129959395E-2</v>
      </c>
      <c r="Q171" s="1">
        <f>'[1]Electricity and CHPs'!M46</f>
        <v>8.8279780438599603E-2</v>
      </c>
      <c r="S171" s="3"/>
    </row>
    <row r="172" spans="1:19" x14ac:dyDescent="0.5">
      <c r="A172" s="5" t="str">
        <f t="shared" si="150"/>
        <v>STEM</v>
      </c>
      <c r="B172" s="5" t="str">
        <f t="shared" si="151"/>
        <v>SPS1</v>
      </c>
      <c r="C172" s="5" t="str">
        <f t="shared" si="152"/>
        <v>CH</v>
      </c>
      <c r="D172" t="s">
        <v>234</v>
      </c>
      <c r="E172" t="str">
        <f t="shared" ref="E172:E180" si="167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1.179105126916615E-3</v>
      </c>
      <c r="J172" s="1">
        <f>'[1]Electricity and CHPs'!F57</f>
        <v>2.8953630721704183E-3</v>
      </c>
      <c r="K172" s="1">
        <f>'[1]Electricity and CHPs'!G57</f>
        <v>3.2528650828365759E-3</v>
      </c>
      <c r="L172" s="1">
        <f>'[1]Electricity and CHPs'!H57</f>
        <v>3.8976150945933346E-3</v>
      </c>
      <c r="M172" s="1">
        <f>'[1]Electricity and CHPs'!I57</f>
        <v>1.0094890472438606E-2</v>
      </c>
      <c r="N172" s="1">
        <f>'[1]Electricity and CHPs'!J57</f>
        <v>9.2836695781904639E-3</v>
      </c>
      <c r="O172" s="1">
        <f>'[1]Electricity and CHPs'!K57</f>
        <v>2.2665986264664602E-2</v>
      </c>
      <c r="P172" s="1">
        <f>'[1]Electricity and CHPs'!L57</f>
        <v>1.7124567029159758E-2</v>
      </c>
      <c r="Q172" s="1">
        <f>'[1]Electricity and CHPs'!M57</f>
        <v>3.2710624900402413E-2</v>
      </c>
      <c r="S172" s="3"/>
    </row>
    <row r="173" spans="1:19" x14ac:dyDescent="0.5">
      <c r="A173" s="5" t="str">
        <f t="shared" si="150"/>
        <v>STEM</v>
      </c>
      <c r="B173" s="5" t="str">
        <f t="shared" si="151"/>
        <v>SPS1</v>
      </c>
      <c r="C173" s="5" t="str">
        <f t="shared" si="152"/>
        <v>CH</v>
      </c>
      <c r="D173" t="s">
        <v>806</v>
      </c>
      <c r="E173" t="str">
        <f t="shared" si="167"/>
        <v>PJ/yr.</v>
      </c>
      <c r="F173" s="1">
        <f>SUM(F174:F180)</f>
        <v>0.10726474305515728</v>
      </c>
      <c r="G173" s="1">
        <f t="shared" ref="G173:K173" si="168">SUM(G174:G180)</f>
        <v>1.9959656225695229E-2</v>
      </c>
      <c r="H173" s="1">
        <f t="shared" si="168"/>
        <v>0.10691972928493192</v>
      </c>
      <c r="I173" s="1">
        <f t="shared" si="168"/>
        <v>0.24139184748319684</v>
      </c>
      <c r="J173" s="1">
        <f t="shared" si="168"/>
        <v>0.38474522080187651</v>
      </c>
      <c r="K173" s="1">
        <f t="shared" si="168"/>
        <v>0.6031944220727814</v>
      </c>
      <c r="L173" s="1">
        <f t="shared" ref="L173:O173" si="169">SUM(L174:L180)</f>
        <v>0.89768360964996219</v>
      </c>
      <c r="M173" s="1">
        <f t="shared" si="169"/>
        <v>1.4969694591520322</v>
      </c>
      <c r="N173" s="1">
        <f t="shared" si="169"/>
        <v>2.0319728401619384</v>
      </c>
      <c r="O173" s="1">
        <f t="shared" si="169"/>
        <v>2.6504301677331075</v>
      </c>
      <c r="P173" s="1">
        <f>SUM(P174:P180)</f>
        <v>2.8934208242413959</v>
      </c>
      <c r="Q173" s="1">
        <f>SUM(Q174:Q180)</f>
        <v>3.1981687859010401</v>
      </c>
      <c r="S173" s="3"/>
    </row>
    <row r="174" spans="1:19" x14ac:dyDescent="0.5">
      <c r="A174" s="5" t="str">
        <f t="shared" si="150"/>
        <v>STEM</v>
      </c>
      <c r="B174" s="5" t="str">
        <f t="shared" si="151"/>
        <v>SPS1</v>
      </c>
      <c r="C174" s="5" t="str">
        <f t="shared" si="152"/>
        <v>CH</v>
      </c>
      <c r="D174" t="s">
        <v>79</v>
      </c>
      <c r="E174" t="str">
        <f t="shared" si="167"/>
        <v>PJ/yr.</v>
      </c>
      <c r="F174" s="1">
        <f>'[1]Electricity and CHPs'!B70</f>
        <v>9.4545802649295144E-2</v>
      </c>
      <c r="G174" s="1">
        <f>'[1]Electricity and CHPs'!C70</f>
        <v>8.5633337525082929E-3</v>
      </c>
      <c r="H174" s="1">
        <f>'[1]Electricity and CHPs'!D70</f>
        <v>9.4423605280360368E-2</v>
      </c>
      <c r="I174" s="1">
        <f>'[1]Electricity and CHPs'!E70</f>
        <v>4.4373299866415215E-2</v>
      </c>
      <c r="J174" s="1">
        <f>'[1]Electricity and CHPs'!F70</f>
        <v>3.8775502586266879E-2</v>
      </c>
      <c r="K174" s="1">
        <f>'[1]Electricity and CHPs'!G70</f>
        <v>3.8452013164747459E-2</v>
      </c>
      <c r="L174" s="1">
        <f>'[1]Electricity and CHPs'!H70</f>
        <v>3.2555216034506683E-3</v>
      </c>
      <c r="M174" s="1">
        <f>'[1]Electricity and CHPs'!I70</f>
        <v>1.5457209749288801E-2</v>
      </c>
      <c r="N174" s="1">
        <f>'[1]Electricity and CHPs'!J70</f>
        <v>6.0494941745929849E-2</v>
      </c>
      <c r="O174" s="1">
        <f>'[1]Electricity and CHPs'!K70</f>
        <v>9.4432621945946524E-2</v>
      </c>
      <c r="P174" s="1">
        <f>'[1]Electricity and CHPs'!L70</f>
        <v>9.4456659806437679E-2</v>
      </c>
      <c r="Q174" s="1">
        <f>'[1]Electricity and CHPs'!M70</f>
        <v>9.4427595898435426E-2</v>
      </c>
      <c r="S174" s="3"/>
    </row>
    <row r="175" spans="1:19" x14ac:dyDescent="0.5">
      <c r="A175" s="5" t="str">
        <f t="shared" si="150"/>
        <v>STEM</v>
      </c>
      <c r="B175" s="5" t="str">
        <f t="shared" si="151"/>
        <v>SPS1</v>
      </c>
      <c r="C175" s="5" t="str">
        <f t="shared" si="152"/>
        <v>CH</v>
      </c>
      <c r="D175" t="s">
        <v>80</v>
      </c>
      <c r="E175" t="str">
        <f t="shared" si="167"/>
        <v>PJ/yr.</v>
      </c>
      <c r="F175" s="1">
        <f>'[1]Electricity and CHPs'!B71</f>
        <v>3.4454982323482652E-3</v>
      </c>
      <c r="G175" s="1">
        <f>'[1]Electricity and CHPs'!C71</f>
        <v>2.7645156718262768E-3</v>
      </c>
      <c r="H175" s="1">
        <f>'[1]Electricity and CHPs'!D71</f>
        <v>3.3740713410252755E-3</v>
      </c>
      <c r="I175" s="1">
        <f>'[1]Electricity and CHPs'!E71</f>
        <v>3.2527304258650495E-3</v>
      </c>
      <c r="J175" s="1">
        <f>'[1]Electricity and CHPs'!F71</f>
        <v>8.2866386601692012E-3</v>
      </c>
      <c r="K175" s="1">
        <f>'[1]Electricity and CHPs'!G71</f>
        <v>0.12923076937689842</v>
      </c>
      <c r="L175" s="1">
        <f>'[1]Electricity and CHPs'!H71</f>
        <v>0.12996628379370059</v>
      </c>
      <c r="M175" s="1">
        <f>'[1]Electricity and CHPs'!I71</f>
        <v>0.19993212544272057</v>
      </c>
      <c r="N175" s="1">
        <f>'[1]Electricity and CHPs'!J71</f>
        <v>0.2018231653334695</v>
      </c>
      <c r="O175" s="1">
        <f>'[1]Electricity and CHPs'!K71</f>
        <v>0.25502604335867479</v>
      </c>
      <c r="P175" s="1">
        <f>'[1]Electricity and CHPs'!L71</f>
        <v>0.25589740859814841</v>
      </c>
      <c r="Q175" s="1">
        <f>'[1]Electricity and CHPs'!M71</f>
        <v>0.26035355486955369</v>
      </c>
      <c r="S175" s="3"/>
    </row>
    <row r="176" spans="1:19" x14ac:dyDescent="0.5">
      <c r="A176" s="5" t="str">
        <f t="shared" si="150"/>
        <v>STEM</v>
      </c>
      <c r="B176" s="5" t="str">
        <f t="shared" si="151"/>
        <v>SPS1</v>
      </c>
      <c r="C176" s="5" t="str">
        <f t="shared" si="152"/>
        <v>CH</v>
      </c>
      <c r="D176" t="s">
        <v>81</v>
      </c>
      <c r="E176" t="str">
        <f t="shared" si="167"/>
        <v>PJ/yr.</v>
      </c>
      <c r="F176" s="1">
        <f>'[1]Electricity and CHPs'!B72</f>
        <v>3.1560171826208899E-3</v>
      </c>
      <c r="G176" s="1">
        <f>'[1]Electricity and CHPs'!C72</f>
        <v>2.5365597343884878E-3</v>
      </c>
      <c r="H176" s="1">
        <f>'[1]Electricity and CHPs'!D72</f>
        <v>3.0183836835387871E-3</v>
      </c>
      <c r="I176" s="1">
        <f>'[1]Electricity and CHPs'!E72</f>
        <v>3.0881149462474141E-3</v>
      </c>
      <c r="J176" s="1">
        <f>'[1]Electricity and CHPs'!F72</f>
        <v>8.0777484467988749E-3</v>
      </c>
      <c r="K176" s="1">
        <f>'[1]Electricity and CHPs'!G72</f>
        <v>5.3640190585488218E-2</v>
      </c>
      <c r="L176" s="1">
        <f>'[1]Electricity and CHPs'!H72</f>
        <v>0.37237251283052453</v>
      </c>
      <c r="M176" s="1">
        <f>'[1]Electricity and CHPs'!I72</f>
        <v>0.83626815562150947</v>
      </c>
      <c r="N176" s="1">
        <f>'[1]Electricity and CHPs'!J72</f>
        <v>1.3024595450777903</v>
      </c>
      <c r="O176" s="1">
        <f>'[1]Electricity and CHPs'!K72</f>
        <v>1.8093531322255549</v>
      </c>
      <c r="P176" s="1">
        <f>'[1]Electricity and CHPs'!L72</f>
        <v>2.0265311815289171</v>
      </c>
      <c r="Q176" s="1">
        <f>'[1]Electricity and CHPs'!M72</f>
        <v>2.2998538378854656</v>
      </c>
      <c r="S176" s="3"/>
    </row>
    <row r="177" spans="1:19" x14ac:dyDescent="0.5">
      <c r="A177" s="5" t="str">
        <f t="shared" si="150"/>
        <v>STEM</v>
      </c>
      <c r="B177" s="5" t="str">
        <f t="shared" si="151"/>
        <v>SPS1</v>
      </c>
      <c r="C177" s="5" t="str">
        <f t="shared" si="152"/>
        <v>CH</v>
      </c>
      <c r="D177" t="s">
        <v>82</v>
      </c>
      <c r="E177" t="str">
        <f t="shared" si="167"/>
        <v>PJ/yr.</v>
      </c>
      <c r="F177" s="1">
        <f>'[1]Electricity and CHPs'!B73</f>
        <v>1.019431933396277E-3</v>
      </c>
      <c r="G177" s="1">
        <f>'[1]Electricity and CHPs'!C73</f>
        <v>1.0156643007527024E-3</v>
      </c>
      <c r="H177" s="1">
        <f>'[1]Electricity and CHPs'!D73</f>
        <v>1.0154415776126666E-3</v>
      </c>
      <c r="I177" s="1">
        <f>'[1]Electricity and CHPs'!E73</f>
        <v>3.5259252768449351E-2</v>
      </c>
      <c r="J177" s="1">
        <f>'[1]Electricity and CHPs'!F73</f>
        <v>5.7827246248632322E-2</v>
      </c>
      <c r="K177" s="1">
        <f>'[1]Electricity and CHPs'!G73</f>
        <v>5.9449743293853163E-2</v>
      </c>
      <c r="L177" s="1">
        <f>'[1]Electricity and CHPs'!H73</f>
        <v>6.1368107041624022E-2</v>
      </c>
      <c r="M177" s="1">
        <f>'[1]Electricity and CHPs'!I73</f>
        <v>8.1142444011185547E-2</v>
      </c>
      <c r="N177" s="1">
        <f>'[1]Electricity and CHPs'!J73</f>
        <v>8.1866297813003822E-2</v>
      </c>
      <c r="O177" s="1">
        <f>'[1]Electricity and CHPs'!K73</f>
        <v>0.11118373194249559</v>
      </c>
      <c r="P177" s="1">
        <f>'[1]Electricity and CHPs'!L73</f>
        <v>0.17233347270190821</v>
      </c>
      <c r="Q177" s="1">
        <f>'[1]Electricity and CHPs'!M73</f>
        <v>0.15042595470870737</v>
      </c>
      <c r="S177" s="3"/>
    </row>
    <row r="178" spans="1:19" x14ac:dyDescent="0.5">
      <c r="A178" s="5" t="str">
        <f t="shared" si="150"/>
        <v>STEM</v>
      </c>
      <c r="B178" s="5" t="str">
        <f t="shared" si="151"/>
        <v>SPS1</v>
      </c>
      <c r="C178" s="5" t="str">
        <f t="shared" si="152"/>
        <v>CH</v>
      </c>
      <c r="D178" t="s">
        <v>1852</v>
      </c>
      <c r="E178" t="str">
        <f t="shared" si="167"/>
        <v>PJ/yr.</v>
      </c>
      <c r="F178" s="1">
        <f>'[1]Electricity and CHPs'!B74</f>
        <v>2.0360161351639997E-3</v>
      </c>
      <c r="G178" s="1">
        <f>'[1]Electricity and CHPs'!C74</f>
        <v>2.0286522519577938E-3</v>
      </c>
      <c r="H178" s="1">
        <f>'[1]Electricity and CHPs'!D74</f>
        <v>2.0330277175569945E-3</v>
      </c>
      <c r="I178" s="1">
        <f>'[1]Electricity and CHPs'!E74</f>
        <v>5.8100100190701318E-2</v>
      </c>
      <c r="J178" s="1">
        <f>'[1]Electricity and CHPs'!F74</f>
        <v>0.1013070855060076</v>
      </c>
      <c r="K178" s="1">
        <f>'[1]Electricity and CHPs'!G74</f>
        <v>0.10815677987828645</v>
      </c>
      <c r="L178" s="1">
        <f>'[1]Electricity and CHPs'!H74</f>
        <v>0.11917249312654588</v>
      </c>
      <c r="M178" s="1">
        <f>'[1]Electricity and CHPs'!I74</f>
        <v>0.1370367148590452</v>
      </c>
      <c r="N178" s="1">
        <f>'[1]Electricity and CHPs'!J74</f>
        <v>0.14534188878692078</v>
      </c>
      <c r="O178" s="1">
        <f>'[1]Electricity and CHPs'!K74</f>
        <v>0.14336757794845389</v>
      </c>
      <c r="P178" s="1">
        <f>'[1]Electricity and CHPs'!L74</f>
        <v>0.12964550867169861</v>
      </c>
      <c r="Q178" s="1">
        <f>'[1]Electricity and CHPs'!M74</f>
        <v>0.14757856785415677</v>
      </c>
      <c r="S178" s="3"/>
    </row>
    <row r="179" spans="1:19" x14ac:dyDescent="0.5">
      <c r="A179" s="5" t="str">
        <f t="shared" si="150"/>
        <v>STEM</v>
      </c>
      <c r="B179" s="5" t="str">
        <f t="shared" si="151"/>
        <v>SPS1</v>
      </c>
      <c r="C179" s="5" t="str">
        <f t="shared" si="152"/>
        <v>CH</v>
      </c>
      <c r="D179" t="s">
        <v>83</v>
      </c>
      <c r="E179" t="str">
        <f t="shared" si="167"/>
        <v>PJ/yr.</v>
      </c>
      <c r="F179" s="1">
        <f>'[1]Electricity and CHPs'!B75</f>
        <v>2.0390302078393961E-3</v>
      </c>
      <c r="G179" s="1">
        <f>'[1]Electricity and CHPs'!C75</f>
        <v>2.0317277545125155E-3</v>
      </c>
      <c r="H179" s="1">
        <f>'[1]Electricity and CHPs'!D75</f>
        <v>2.0358149892518006E-3</v>
      </c>
      <c r="I179" s="1">
        <f>'[1]Electricity and CHPs'!E75</f>
        <v>5.8447736325613009E-2</v>
      </c>
      <c r="J179" s="1">
        <f>'[1]Electricity and CHPs'!F75</f>
        <v>0.10242614345005177</v>
      </c>
      <c r="K179" s="1">
        <f>'[1]Electricity and CHPs'!G75</f>
        <v>0.12844848520250901</v>
      </c>
      <c r="L179" s="1">
        <f>'[1]Electricity and CHPs'!H75</f>
        <v>0.12692573307826366</v>
      </c>
      <c r="M179" s="1">
        <f>'[1]Electricity and CHPs'!I75</f>
        <v>0.13703311540366997</v>
      </c>
      <c r="N179" s="1">
        <f>'[1]Electricity and CHPs'!J75</f>
        <v>0.14526325982579155</v>
      </c>
      <c r="O179" s="1">
        <f>'[1]Electricity and CHPs'!K75</f>
        <v>0.14340611746315807</v>
      </c>
      <c r="P179" s="1">
        <f>'[1]Electricity and CHPs'!L75</f>
        <v>0.12969661577368696</v>
      </c>
      <c r="Q179" s="1">
        <f>'[1]Electricity and CHPs'!M75</f>
        <v>0.14759203836834203</v>
      </c>
      <c r="S179" s="3"/>
    </row>
    <row r="180" spans="1:19" x14ac:dyDescent="0.5">
      <c r="A180" s="5" t="str">
        <f t="shared" si="150"/>
        <v>STEM</v>
      </c>
      <c r="B180" s="5" t="str">
        <f t="shared" si="151"/>
        <v>SPS1</v>
      </c>
      <c r="C180" s="5" t="str">
        <f t="shared" si="152"/>
        <v>CH</v>
      </c>
      <c r="D180" t="s">
        <v>87</v>
      </c>
      <c r="E180" t="str">
        <f t="shared" si="167"/>
        <v>PJ/yr.</v>
      </c>
      <c r="F180" s="1">
        <f>'[1]Electricity and CHPs'!B76</f>
        <v>1.0229467144932981E-3</v>
      </c>
      <c r="G180" s="1">
        <f>'[1]Electricity and CHPs'!C76</f>
        <v>1.0192027597491612E-3</v>
      </c>
      <c r="H180" s="1">
        <f>'[1]Electricity and CHPs'!D76</f>
        <v>1.0193846955860305E-3</v>
      </c>
      <c r="I180" s="1">
        <f>'[1]Electricity and CHPs'!E76</f>
        <v>3.8870612959905494E-2</v>
      </c>
      <c r="J180" s="1">
        <f>'[1]Electricity and CHPs'!F76</f>
        <v>6.8044855903949861E-2</v>
      </c>
      <c r="K180" s="1">
        <f>'[1]Electricity and CHPs'!G76</f>
        <v>8.5816440570998728E-2</v>
      </c>
      <c r="L180" s="1">
        <f>'[1]Electricity and CHPs'!H76</f>
        <v>8.4622958175852997E-2</v>
      </c>
      <c r="M180" s="1">
        <f>'[1]Electricity and CHPs'!I76</f>
        <v>9.0099694064612559E-2</v>
      </c>
      <c r="N180" s="1">
        <f>'[1]Electricity and CHPs'!J76</f>
        <v>9.4723741579032586E-2</v>
      </c>
      <c r="O180" s="1">
        <f>'[1]Electricity and CHPs'!K76</f>
        <v>9.3660942848823939E-2</v>
      </c>
      <c r="P180" s="1">
        <f>'[1]Electricity and CHPs'!L76</f>
        <v>8.4859977160598621E-2</v>
      </c>
      <c r="Q180" s="1">
        <f>'[1]Electricity and CHPs'!M76</f>
        <v>9.7937236316378948E-2</v>
      </c>
      <c r="S180" s="3"/>
    </row>
    <row r="181" spans="1:19" x14ac:dyDescent="0.5">
      <c r="A181" s="9" t="str">
        <f t="shared" si="150"/>
        <v>STEM</v>
      </c>
      <c r="B181" s="9" t="str">
        <f t="shared" si="151"/>
        <v>SPS1</v>
      </c>
      <c r="C181" s="2" t="str">
        <f t="shared" si="152"/>
        <v>CH</v>
      </c>
      <c r="D181" s="2" t="s">
        <v>152</v>
      </c>
      <c r="E181" s="2" t="str">
        <f>E169</f>
        <v>PJ/yr.</v>
      </c>
      <c r="F181" s="3">
        <f>SUM(F182,F233)</f>
        <v>31.015131688851042</v>
      </c>
      <c r="G181" s="3">
        <f t="shared" ref="G181:K181" si="170">SUM(G182,G233)</f>
        <v>37.52402771288326</v>
      </c>
      <c r="H181" s="3">
        <f t="shared" si="170"/>
        <v>37.899508202839627</v>
      </c>
      <c r="I181" s="3">
        <f t="shared" si="170"/>
        <v>40.07158641483862</v>
      </c>
      <c r="J181" s="3">
        <f t="shared" si="170"/>
        <v>42.246719344705404</v>
      </c>
      <c r="K181" s="3">
        <f t="shared" si="170"/>
        <v>41.855036078985123</v>
      </c>
      <c r="L181" s="3">
        <f t="shared" ref="L181:O181" si="171">SUM(L182,L233)</f>
        <v>43.667135993106555</v>
      </c>
      <c r="M181" s="3">
        <f t="shared" si="171"/>
        <v>48.309426350136945</v>
      </c>
      <c r="N181" s="3">
        <f t="shared" si="171"/>
        <v>48.885493690940166</v>
      </c>
      <c r="O181" s="3">
        <f t="shared" si="171"/>
        <v>48.667538812887173</v>
      </c>
      <c r="P181" s="3">
        <f>SUM(P182,P233)</f>
        <v>48.830890234785741</v>
      </c>
      <c r="Q181" s="3">
        <f>SUM(Q182,Q233)</f>
        <v>48.194720734846115</v>
      </c>
      <c r="S181" s="3"/>
    </row>
    <row r="182" spans="1:19" x14ac:dyDescent="0.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72">F183+F210</f>
        <v>24.508165768466466</v>
      </c>
      <c r="G182" s="1">
        <f t="shared" si="172"/>
        <v>29.287509780421011</v>
      </c>
      <c r="H182" s="1">
        <f t="shared" si="172"/>
        <v>29.436930109906179</v>
      </c>
      <c r="I182" s="1">
        <f t="shared" si="172"/>
        <v>25.831901603930632</v>
      </c>
      <c r="J182" s="1">
        <f t="shared" si="172"/>
        <v>24.88503173708677</v>
      </c>
      <c r="K182" s="1">
        <f t="shared" si="172"/>
        <v>25.433938393974913</v>
      </c>
      <c r="L182" s="1">
        <f t="shared" ref="L182:O182" si="173">L183+L210</f>
        <v>25.786388143038735</v>
      </c>
      <c r="M182" s="1">
        <f t="shared" si="173"/>
        <v>29.939477143660447</v>
      </c>
      <c r="N182" s="1">
        <f t="shared" si="173"/>
        <v>29.635206366306289</v>
      </c>
      <c r="O182" s="1">
        <f t="shared" si="173"/>
        <v>29.355591099901797</v>
      </c>
      <c r="P182" s="1">
        <f>P183+P210</f>
        <v>29.211312291415304</v>
      </c>
      <c r="Q182" s="1">
        <f>Q183+Q210</f>
        <v>28.169968086425889</v>
      </c>
      <c r="S182" s="3"/>
    </row>
    <row r="183" spans="1:19" x14ac:dyDescent="0.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74">SUM(F185,F189,F190,F198,F199,F207,F209)</f>
        <v>17.510274828880565</v>
      </c>
      <c r="G183" s="1">
        <f t="shared" si="174"/>
        <v>13.454288278246784</v>
      </c>
      <c r="H183" s="1">
        <f t="shared" si="174"/>
        <v>13.85238921412307</v>
      </c>
      <c r="I183" s="1">
        <f t="shared" si="174"/>
        <v>17.53756585978596</v>
      </c>
      <c r="J183" s="1">
        <f t="shared" si="174"/>
        <v>16.637931875703643</v>
      </c>
      <c r="K183" s="1">
        <f t="shared" si="174"/>
        <v>18.522065413139483</v>
      </c>
      <c r="L183" s="1">
        <f t="shared" ref="L183:O183" si="175">SUM(L185,L189,L190,L198,L199,L207,L209)</f>
        <v>17.828622751921088</v>
      </c>
      <c r="M183" s="1">
        <f t="shared" si="175"/>
        <v>14.74734180935285</v>
      </c>
      <c r="N183" s="1">
        <f t="shared" si="175"/>
        <v>13.901431702325791</v>
      </c>
      <c r="O183" s="1">
        <f t="shared" si="175"/>
        <v>13.43042201141167</v>
      </c>
      <c r="P183" s="1">
        <f>SUM(P185,P189,P190,P198,P199,P207,P209)</f>
        <v>13.078803987048106</v>
      </c>
      <c r="Q183" s="1">
        <f>SUM(Q185,Q189,Q190,Q198,Q199,Q207,Q209)</f>
        <v>13.02056675175257</v>
      </c>
      <c r="S183" s="3"/>
    </row>
    <row r="184" spans="1:19" x14ac:dyDescent="0.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9.2735964007140872E-3</v>
      </c>
      <c r="G184" s="1">
        <f t="shared" ref="G184:O184" si="176">G185</f>
        <v>1.4325955223754461E-4</v>
      </c>
      <c r="H184" s="1">
        <f t="shared" si="176"/>
        <v>5.6954504160711249E-3</v>
      </c>
      <c r="I184" s="1">
        <f t="shared" si="176"/>
        <v>3.774095125528969E-3</v>
      </c>
      <c r="J184" s="1">
        <f t="shared" si="176"/>
        <v>5.3470065748280971E-3</v>
      </c>
      <c r="K184" s="1">
        <f t="shared" si="176"/>
        <v>5.9310059966081992E-3</v>
      </c>
      <c r="L184" s="1">
        <f t="shared" si="176"/>
        <v>6.0439951155766081E-3</v>
      </c>
      <c r="M184" s="1">
        <f t="shared" si="176"/>
        <v>9.0563559893555318E-3</v>
      </c>
      <c r="N184" s="1">
        <f t="shared" si="176"/>
        <v>6.5711939063059777E-3</v>
      </c>
      <c r="O184" s="1">
        <f t="shared" si="176"/>
        <v>9.0876525562085565E-3</v>
      </c>
      <c r="P184" s="1">
        <f>P185</f>
        <v>6.9465995345448818E-3</v>
      </c>
      <c r="Q184" s="1">
        <f>Q185</f>
        <v>9.0981032208704068E-3</v>
      </c>
      <c r="S184" s="3"/>
    </row>
    <row r="185" spans="1:19" x14ac:dyDescent="0.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9.2735964007140872E-3</v>
      </c>
      <c r="G185" s="1">
        <f>'[1]Electricity and CHPs'!C$94</f>
        <v>1.4325955223754461E-4</v>
      </c>
      <c r="H185" s="1">
        <f>'[1]Electricity and CHPs'!D$94</f>
        <v>5.6954504160711249E-3</v>
      </c>
      <c r="I185" s="1">
        <f>'[1]Electricity and CHPs'!E$94</f>
        <v>3.774095125528969E-3</v>
      </c>
      <c r="J185" s="1">
        <f>'[1]Electricity and CHPs'!F$94</f>
        <v>5.3470065748280971E-3</v>
      </c>
      <c r="K185" s="1">
        <f>'[1]Electricity and CHPs'!G$94</f>
        <v>5.9310059966081992E-3</v>
      </c>
      <c r="L185" s="1">
        <f>'[1]Electricity and CHPs'!H$94</f>
        <v>6.0439951155766081E-3</v>
      </c>
      <c r="M185" s="1">
        <f>'[1]Electricity and CHPs'!I$94</f>
        <v>9.0563559893555318E-3</v>
      </c>
      <c r="N185" s="1">
        <f>'[1]Electricity and CHPs'!J$94</f>
        <v>6.5711939063059777E-3</v>
      </c>
      <c r="O185" s="1">
        <f>'[1]Electricity and CHPs'!K$94</f>
        <v>9.0876525562085565E-3</v>
      </c>
      <c r="P185" s="1">
        <f>'[1]Electricity and CHPs'!L$94</f>
        <v>6.9465995345448818E-3</v>
      </c>
      <c r="Q185" s="1">
        <f>'[1]Electricity and CHPs'!M$94</f>
        <v>9.0981032208704068E-3</v>
      </c>
      <c r="S185" s="3"/>
    </row>
    <row r="186" spans="1:19" x14ac:dyDescent="0.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9.2735964007140872E-3</v>
      </c>
      <c r="G186" s="1">
        <f t="shared" ref="G186:K186" si="177">G185-G187</f>
        <v>1.4325955223754461E-4</v>
      </c>
      <c r="H186" s="1">
        <f t="shared" si="177"/>
        <v>5.6954504160711249E-3</v>
      </c>
      <c r="I186" s="1">
        <f t="shared" si="177"/>
        <v>3.774095125528969E-3</v>
      </c>
      <c r="J186" s="1">
        <f t="shared" si="177"/>
        <v>5.3470065748280971E-3</v>
      </c>
      <c r="K186" s="1">
        <f t="shared" si="177"/>
        <v>5.9310059966081992E-3</v>
      </c>
      <c r="L186" s="1">
        <f t="shared" ref="L186:O186" si="178">L185-L187</f>
        <v>6.0439951155766081E-3</v>
      </c>
      <c r="M186" s="1">
        <f t="shared" si="178"/>
        <v>9.0563559893555318E-3</v>
      </c>
      <c r="N186" s="1">
        <f t="shared" si="178"/>
        <v>6.5711939063059777E-3</v>
      </c>
      <c r="O186" s="1">
        <f t="shared" si="178"/>
        <v>9.0876525562085565E-3</v>
      </c>
      <c r="P186" s="1">
        <f>P185-P187</f>
        <v>6.9465995345448818E-3</v>
      </c>
      <c r="Q186" s="1">
        <f>Q185-Q187</f>
        <v>9.0981032208704068E-3</v>
      </c>
      <c r="S186" s="3"/>
    </row>
    <row r="187" spans="1:19" x14ac:dyDescent="0.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9">F185*IFERROR(F80/F76,0)</f>
        <v>0</v>
      </c>
      <c r="G187" s="1">
        <f t="shared" si="179"/>
        <v>0</v>
      </c>
      <c r="H187" s="1">
        <f t="shared" si="179"/>
        <v>0</v>
      </c>
      <c r="I187" s="1">
        <f t="shared" si="179"/>
        <v>0</v>
      </c>
      <c r="J187" s="1">
        <f t="shared" si="179"/>
        <v>0</v>
      </c>
      <c r="K187" s="1">
        <f t="shared" si="179"/>
        <v>0</v>
      </c>
      <c r="L187" s="1">
        <f t="shared" ref="L187:O187" si="180">L185*IFERROR(L80/L76,0)</f>
        <v>0</v>
      </c>
      <c r="M187" s="1">
        <f t="shared" si="180"/>
        <v>0</v>
      </c>
      <c r="N187" s="1">
        <f t="shared" si="180"/>
        <v>0</v>
      </c>
      <c r="O187" s="1">
        <f t="shared" si="180"/>
        <v>0</v>
      </c>
      <c r="P187" s="1">
        <f>P185*IFERROR(P80/P76,0)</f>
        <v>0</v>
      </c>
      <c r="Q187" s="1">
        <f>Q185*IFERROR(Q80/Q76,0)</f>
        <v>0</v>
      </c>
      <c r="S187" s="3"/>
    </row>
    <row r="188" spans="1:19" x14ac:dyDescent="0.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1.8035554543685344</v>
      </c>
      <c r="G188" s="1">
        <f t="shared" ref="G188:K188" si="181">SUM(G189:G190)</f>
        <v>3.0994146267992513E-4</v>
      </c>
      <c r="H188" s="1">
        <f t="shared" si="181"/>
        <v>3.2048817253881492E-2</v>
      </c>
      <c r="I188" s="1">
        <f t="shared" si="181"/>
        <v>1.9120802588180641</v>
      </c>
      <c r="J188" s="1">
        <f t="shared" si="181"/>
        <v>0.82928715493805949</v>
      </c>
      <c r="K188" s="1">
        <f t="shared" si="181"/>
        <v>2.4320817342903585</v>
      </c>
      <c r="L188" s="1">
        <f t="shared" ref="L188:O188" si="182">SUM(L189:L190)</f>
        <v>2.8141185337615697</v>
      </c>
      <c r="M188" s="1">
        <f t="shared" si="182"/>
        <v>1.5832770184959284</v>
      </c>
      <c r="N188" s="1">
        <f t="shared" si="182"/>
        <v>1.4210470019987818</v>
      </c>
      <c r="O188" s="1">
        <f t="shared" si="182"/>
        <v>0.8131436632469301</v>
      </c>
      <c r="P188" s="1">
        <f>SUM(P189:P190)</f>
        <v>4.9254420471337032E-2</v>
      </c>
      <c r="Q188" s="1">
        <f>SUM(Q189:Q190)</f>
        <v>3.8592352333115178E-2</v>
      </c>
      <c r="S188" s="3"/>
    </row>
    <row r="189" spans="1:19" x14ac:dyDescent="0.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1.8035554543685344</v>
      </c>
      <c r="G189" s="1">
        <f>'[1]Electricity and CHPs'!C$91</f>
        <v>3.0994146267992513E-4</v>
      </c>
      <c r="H189" s="1">
        <f>'[1]Electricity and CHPs'!D$91</f>
        <v>3.2048817253881492E-2</v>
      </c>
      <c r="I189" s="1">
        <f>'[1]Electricity and CHPs'!E$91</f>
        <v>1.9120802588180641</v>
      </c>
      <c r="J189" s="1">
        <f>'[1]Electricity and CHPs'!F$91</f>
        <v>0.82928715493805949</v>
      </c>
      <c r="K189" s="1">
        <f>'[1]Electricity and CHPs'!G$91</f>
        <v>1.8443966625102697</v>
      </c>
      <c r="L189" s="1">
        <f>'[1]Electricity and CHPs'!H$91</f>
        <v>1.495168413238777</v>
      </c>
      <c r="M189" s="1">
        <f>'[1]Electricity and CHPs'!I$91</f>
        <v>0.23885502018745283</v>
      </c>
      <c r="N189" s="1">
        <f>'[1]Electricity and CHPs'!J$91</f>
        <v>0.25018698168344355</v>
      </c>
      <c r="O189" s="1">
        <f>'[1]Electricity and CHPs'!K$91</f>
        <v>3.3086048390316813E-2</v>
      </c>
      <c r="P189" s="1">
        <f>'[1]Electricity and CHPs'!L$91</f>
        <v>1.0563768475288084E-2</v>
      </c>
      <c r="Q189" s="1">
        <f>'[1]Electricity and CHPs'!M$91</f>
        <v>1.2235266875767864E-2</v>
      </c>
      <c r="S189" s="3"/>
    </row>
    <row r="190" spans="1:19" x14ac:dyDescent="0.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'[1]Electricity and CHPs'!F$95</f>
        <v>0</v>
      </c>
      <c r="K190" s="1">
        <f>'[1]Electricity and CHPs'!G$95</f>
        <v>0.58768507178008855</v>
      </c>
      <c r="L190" s="1">
        <f>'[1]Electricity and CHPs'!H$95</f>
        <v>1.3189501205227925</v>
      </c>
      <c r="M190" s="1">
        <f>'[1]Electricity and CHPs'!I$95</f>
        <v>1.3444219983084755</v>
      </c>
      <c r="N190" s="1">
        <f>'[1]Electricity and CHPs'!J$95</f>
        <v>1.1708600203153383</v>
      </c>
      <c r="O190" s="1">
        <f>'[1]Electricity and CHPs'!K$95</f>
        <v>0.78005761485661329</v>
      </c>
      <c r="P190" s="1">
        <f>'[1]Electricity and CHPs'!L$95</f>
        <v>3.8690651996048951E-2</v>
      </c>
      <c r="Q190" s="1">
        <f>'[1]Electricity and CHPs'!M$95</f>
        <v>2.6357085457347312E-2</v>
      </c>
      <c r="S190" s="3"/>
    </row>
    <row r="191" spans="1:19" x14ac:dyDescent="0.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1.7563113819862761</v>
      </c>
      <c r="G191" s="1">
        <f t="shared" ref="G191:K191" si="183">SUM(G192:G193)</f>
        <v>2.9643197309603972E-4</v>
      </c>
      <c r="H191" s="1">
        <f t="shared" si="183"/>
        <v>2.9128475418486243E-2</v>
      </c>
      <c r="I191" s="1">
        <f t="shared" si="183"/>
        <v>1.8327489848205998</v>
      </c>
      <c r="J191" s="1">
        <f t="shared" si="183"/>
        <v>0.80168508933729066</v>
      </c>
      <c r="K191" s="1">
        <f t="shared" si="183"/>
        <v>2.374013053122495</v>
      </c>
      <c r="L191" s="1">
        <f t="shared" ref="L191:O191" si="184">SUM(L192:L193)</f>
        <v>2.7638176251143536</v>
      </c>
      <c r="M191" s="1">
        <f t="shared" si="184"/>
        <v>1.5576730020982008</v>
      </c>
      <c r="N191" s="1">
        <f t="shared" si="184"/>
        <v>1.399972495753087</v>
      </c>
      <c r="O191" s="1">
        <f t="shared" si="184"/>
        <v>0.80155999836335678</v>
      </c>
      <c r="P191" s="1">
        <f>SUM(P192:P193)</f>
        <v>4.8538423055451516E-2</v>
      </c>
      <c r="Q191" s="1">
        <f>SUM(Q192:Q193)</f>
        <v>3.7976549808427539E-2</v>
      </c>
      <c r="S191" s="3"/>
    </row>
    <row r="192" spans="1:19" x14ac:dyDescent="0.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1.7563113819862761</v>
      </c>
      <c r="G192" s="1">
        <f t="shared" ref="G192:K192" si="185">G189-G195</f>
        <v>2.9643197309603972E-4</v>
      </c>
      <c r="H192" s="1">
        <f t="shared" si="185"/>
        <v>2.9128475418486243E-2</v>
      </c>
      <c r="I192" s="1">
        <f t="shared" si="185"/>
        <v>1.8327489848205998</v>
      </c>
      <c r="J192" s="1">
        <f t="shared" si="185"/>
        <v>0.80168508933729066</v>
      </c>
      <c r="K192" s="1">
        <f t="shared" si="185"/>
        <v>1.8003596220472236</v>
      </c>
      <c r="L192" s="1">
        <f t="shared" ref="L192:O192" si="186">L189-L195</f>
        <v>1.4684430536406519</v>
      </c>
      <c r="M192" s="1">
        <f t="shared" si="186"/>
        <v>0.23499236836966239</v>
      </c>
      <c r="N192" s="1">
        <f t="shared" si="186"/>
        <v>0.24647664198274183</v>
      </c>
      <c r="O192" s="1">
        <f t="shared" si="186"/>
        <v>3.2614719996334439E-2</v>
      </c>
      <c r="P192" s="1">
        <f>P189-P195</f>
        <v>1.0410205995861069E-2</v>
      </c>
      <c r="Q192" s="1">
        <f>Q189-Q195</f>
        <v>1.2040033681188542E-2</v>
      </c>
      <c r="S192" s="3"/>
    </row>
    <row r="193" spans="1:19" x14ac:dyDescent="0.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87">F190-F196</f>
        <v>0</v>
      </c>
      <c r="G193" s="1">
        <f t="shared" si="187"/>
        <v>0</v>
      </c>
      <c r="H193" s="1">
        <f t="shared" si="187"/>
        <v>0</v>
      </c>
      <c r="I193" s="1">
        <f t="shared" si="187"/>
        <v>0</v>
      </c>
      <c r="J193" s="1">
        <f t="shared" si="187"/>
        <v>0</v>
      </c>
      <c r="K193" s="1">
        <f t="shared" si="187"/>
        <v>0.57365343107527145</v>
      </c>
      <c r="L193" s="1">
        <f t="shared" ref="L193:O193" si="188">L190-L196</f>
        <v>1.2953745714737017</v>
      </c>
      <c r="M193" s="1">
        <f t="shared" si="188"/>
        <v>1.3226806337285384</v>
      </c>
      <c r="N193" s="1">
        <f t="shared" si="188"/>
        <v>1.1534958537703452</v>
      </c>
      <c r="O193" s="1">
        <f t="shared" si="188"/>
        <v>0.76894527836702231</v>
      </c>
      <c r="P193" s="1">
        <f>P190-P196</f>
        <v>3.8128217059590443E-2</v>
      </c>
      <c r="Q193" s="1">
        <f>Q190-Q196</f>
        <v>2.5936516127238997E-2</v>
      </c>
      <c r="S193" s="3"/>
    </row>
    <row r="194" spans="1:19" x14ac:dyDescent="0.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4.7244072382258244E-2</v>
      </c>
      <c r="G194" s="1">
        <f t="shared" ref="G194:K194" si="189">SUM(G195:G196)</f>
        <v>1.3509489583885393E-5</v>
      </c>
      <c r="H194" s="1">
        <f t="shared" si="189"/>
        <v>2.9203418353952481E-3</v>
      </c>
      <c r="I194" s="1">
        <f t="shared" si="189"/>
        <v>7.9331273997464397E-2</v>
      </c>
      <c r="J194" s="1">
        <f t="shared" si="189"/>
        <v>2.7602065600768888E-2</v>
      </c>
      <c r="K194" s="1">
        <f t="shared" si="189"/>
        <v>5.8068681167863324E-2</v>
      </c>
      <c r="L194" s="1">
        <f t="shared" ref="L194:O194" si="190">SUM(L195:L196)</f>
        <v>5.0300908647215981E-2</v>
      </c>
      <c r="M194" s="1">
        <f t="shared" si="190"/>
        <v>2.5604016397727643E-2</v>
      </c>
      <c r="N194" s="1">
        <f t="shared" si="190"/>
        <v>2.1074506245694773E-2</v>
      </c>
      <c r="O194" s="1">
        <f t="shared" si="190"/>
        <v>1.1583664883573331E-2</v>
      </c>
      <c r="P194" s="1">
        <f>SUM(P195:P196)</f>
        <v>7.1599741588552145E-4</v>
      </c>
      <c r="Q194" s="1">
        <f>SUM(Q195:Q196)</f>
        <v>6.1580252468763572E-4</v>
      </c>
      <c r="S194" s="3"/>
    </row>
    <row r="195" spans="1:19" x14ac:dyDescent="0.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91">F189*IFERROR(F118/F86,0)</f>
        <v>4.7244072382258244E-2</v>
      </c>
      <c r="G195" s="1">
        <f t="shared" si="191"/>
        <v>1.3509489583885393E-5</v>
      </c>
      <c r="H195" s="1">
        <f t="shared" si="191"/>
        <v>2.9203418353952481E-3</v>
      </c>
      <c r="I195" s="1">
        <f t="shared" si="191"/>
        <v>7.9331273997464397E-2</v>
      </c>
      <c r="J195" s="1">
        <f t="shared" si="191"/>
        <v>2.7602065600768888E-2</v>
      </c>
      <c r="K195" s="1">
        <f t="shared" si="191"/>
        <v>4.4037040463046191E-2</v>
      </c>
      <c r="L195" s="1">
        <f t="shared" ref="L195:O195" si="192">L189*IFERROR(L118/L86,0)</f>
        <v>2.6725359598125133E-2</v>
      </c>
      <c r="M195" s="1">
        <f t="shared" si="192"/>
        <v>3.8626518177904295E-3</v>
      </c>
      <c r="N195" s="1">
        <f t="shared" si="192"/>
        <v>3.7103397007017327E-3</v>
      </c>
      <c r="O195" s="1">
        <f t="shared" si="192"/>
        <v>4.7132839398237507E-4</v>
      </c>
      <c r="P195" s="1">
        <f>P189*IFERROR(P118/P86,0)</f>
        <v>1.5356247942701425E-4</v>
      </c>
      <c r="Q195" s="1">
        <f>Q189*IFERROR(Q118/Q86,0)</f>
        <v>1.9523319457932266E-4</v>
      </c>
      <c r="S195" s="3"/>
    </row>
    <row r="196" spans="1:19" x14ac:dyDescent="0.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91"/>
        <v>0</v>
      </c>
      <c r="G196" s="1">
        <f t="shared" si="191"/>
        <v>0</v>
      </c>
      <c r="H196" s="1">
        <f t="shared" si="191"/>
        <v>0</v>
      </c>
      <c r="I196" s="1">
        <f t="shared" si="191"/>
        <v>0</v>
      </c>
      <c r="J196" s="1">
        <f t="shared" si="191"/>
        <v>0</v>
      </c>
      <c r="K196" s="1">
        <f t="shared" si="191"/>
        <v>1.4031640704817131E-2</v>
      </c>
      <c r="L196" s="1">
        <f t="shared" ref="L196:O196" si="193">L190*IFERROR(L119/L87,0)</f>
        <v>2.3575549049090844E-2</v>
      </c>
      <c r="M196" s="1">
        <f t="shared" si="193"/>
        <v>2.1741364579937212E-2</v>
      </c>
      <c r="N196" s="1">
        <f t="shared" si="193"/>
        <v>1.7364166544993041E-2</v>
      </c>
      <c r="O196" s="1">
        <f t="shared" si="193"/>
        <v>1.1112336489590957E-2</v>
      </c>
      <c r="P196" s="1">
        <f>P190*IFERROR(P119/P87,0)</f>
        <v>5.624349364585072E-4</v>
      </c>
      <c r="Q196" s="1">
        <f>Q190*IFERROR(Q119/Q87,0)</f>
        <v>4.2056933010831311E-4</v>
      </c>
      <c r="S196" s="3"/>
    </row>
    <row r="197" spans="1:19" x14ac:dyDescent="0.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14.385946699015747</v>
      </c>
      <c r="G197" s="1">
        <f t="shared" ref="G197:K197" si="194">SUM(G198:G199)</f>
        <v>13.051650229730351</v>
      </c>
      <c r="H197" s="1">
        <f t="shared" si="194"/>
        <v>12.796460591393965</v>
      </c>
      <c r="I197" s="1">
        <f t="shared" si="194"/>
        <v>12.779634117947209</v>
      </c>
      <c r="J197" s="1">
        <f t="shared" si="194"/>
        <v>12.342945979537426</v>
      </c>
      <c r="K197" s="1">
        <f t="shared" si="194"/>
        <v>12.034789919581511</v>
      </c>
      <c r="L197" s="1">
        <f t="shared" ref="L197:O197" si="195">SUM(L198:L199)</f>
        <v>11.72007435641949</v>
      </c>
      <c r="M197" s="1">
        <f t="shared" si="195"/>
        <v>11.399067600953073</v>
      </c>
      <c r="N197" s="1">
        <f t="shared" si="195"/>
        <v>11.399072415425429</v>
      </c>
      <c r="O197" s="1">
        <f t="shared" si="195"/>
        <v>11.399075755204553</v>
      </c>
      <c r="P197" s="1">
        <f>SUM(P198:P199)</f>
        <v>11.39906395133872</v>
      </c>
      <c r="Q197" s="1">
        <f>SUM(Q198:Q199)</f>
        <v>11.399032196764191</v>
      </c>
      <c r="S197" s="3"/>
    </row>
    <row r="198" spans="1:19" x14ac:dyDescent="0.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14.385946699015747</v>
      </c>
      <c r="G198" s="1">
        <f>'[1]Electricity and CHPs'!C$93-G199</f>
        <v>13.051650229730351</v>
      </c>
      <c r="H198" s="1">
        <f>'[1]Electricity and CHPs'!D$93-H199</f>
        <v>12.796460591393965</v>
      </c>
      <c r="I198" s="1">
        <f>'[1]Electricity and CHPs'!E$93-I199</f>
        <v>12.779634117947209</v>
      </c>
      <c r="J198" s="1">
        <f>'[1]Electricity and CHPs'!F$93-J199</f>
        <v>12.342945979537426</v>
      </c>
      <c r="K198" s="1">
        <f>'[1]Electricity and CHPs'!G$93-K199</f>
        <v>12.034789919581511</v>
      </c>
      <c r="L198" s="1">
        <f>'[1]Electricity and CHPs'!H$93-L199</f>
        <v>11.72007435641949</v>
      </c>
      <c r="M198" s="1">
        <f>'[1]Electricity and CHPs'!I$93-M199</f>
        <v>11.399067600953073</v>
      </c>
      <c r="N198" s="1">
        <f>'[1]Electricity and CHPs'!J$93-N199</f>
        <v>11.399072415425429</v>
      </c>
      <c r="O198" s="1">
        <f>'[1]Electricity and CHPs'!K$93-O199</f>
        <v>11.399075755204553</v>
      </c>
      <c r="P198" s="1">
        <f>'[1]Electricity and CHPs'!L$93-P199</f>
        <v>11.39906395133872</v>
      </c>
      <c r="Q198" s="1">
        <f>'[1]Electricity and CHPs'!M$93-Q199</f>
        <v>11.399032196764191</v>
      </c>
      <c r="S198" s="3"/>
    </row>
    <row r="199" spans="1:19" x14ac:dyDescent="0.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SUMPRODUCT(("CHPWSTCCS"=[1]OUT_Electricity_CHP!$B$1:$B$10000)*1,([1]OUT_Electricity_CHP!$C$1:$C$10000="Var_Fout")*1,([1]OUT_Electricity_CHP!$D$1:$D$10000="LTH")*1,[1]OUT_Electricity_CHP!I$1:I$10000)</f>
        <v>0</v>
      </c>
      <c r="K199" s="1" cm="1">
        <f t="array" ref="K199">SUMPRODUCT(("CHPWSTCCS"=[1]OUT_Electricity_CHP!$B$1:$B$10000)*1,([1]OUT_Electricity_CHP!$C$1:$C$10000="Var_Fout")*1,([1]OUT_Electricity_CHP!$D$1:$D$10000="LTH")*1,[1]OUT_Electricity_CHP!J$1:J$10000)</f>
        <v>0</v>
      </c>
      <c r="L199" s="1" cm="1">
        <f t="array" ref="L199">SUMPRODUCT(("CHPWSTCCS"=[1]OUT_Electricity_CHP!$B$1:$B$10000)*1,([1]OUT_Electricity_CHP!$C$1:$C$10000="Var_Fout")*1,([1]OUT_Electricity_CHP!$D$1:$D$10000="LTH")*1,[1]OUT_Electricity_CHP!K$1:K$10000)</f>
        <v>0</v>
      </c>
      <c r="M199" s="1" cm="1">
        <f t="array" ref="M199">SUMPRODUCT(("CHPWSTCCS"=[1]OUT_Electricity_CHP!$B$1:$B$10000)*1,([1]OUT_Electricity_CHP!$C$1:$C$10000="Var_Fout")*1,([1]OUT_Electricity_CHP!$D$1:$D$10000="LTH")*1,[1]OUT_Electricity_CHP!L$1:L$10000)</f>
        <v>0</v>
      </c>
      <c r="N199" s="1" cm="1">
        <f t="array" ref="N199">SUMPRODUCT(("CHPWSTCCS"=[1]OUT_Electricity_CHP!$B$1:$B$10000)*1,([1]OUT_Electricity_CHP!$C$1:$C$10000="Var_Fout")*1,([1]OUT_Electricity_CHP!$D$1:$D$10000="LTH")*1,[1]OUT_Electricity_CHP!M$1:M$10000)</f>
        <v>0</v>
      </c>
      <c r="O199" s="1" cm="1">
        <f t="array" ref="O199">SUMPRODUCT(("CHPWSTCCS"=[1]OUT_Electricity_CHP!$B$1:$B$10000)*1,([1]OUT_Electricity_CHP!$C$1:$C$10000="Var_Fout")*1,([1]OUT_Electricity_CHP!$D$1:$D$10000="LTH")*1,[1]OUT_Electricity_CHP!N$1:N$10000)</f>
        <v>0</v>
      </c>
      <c r="P199" s="1" cm="1">
        <f t="array" ref="P199">SUMPRODUCT(("CHPWSTCCS"=[1]OUT_Electricity_CHP!$B$1:$B$10000)*1,([1]OUT_Electricity_CHP!$C$1:$C$10000="Var_Fout")*1,([1]OUT_Electricity_CHP!$D$1:$D$10000="LTH")*1,[1]OUT_Electricity_CHP!O$1:O$10000)</f>
        <v>0</v>
      </c>
      <c r="Q199" s="1" cm="1">
        <f t="array" ref="Q199">SUMPRODUCT(("CHPWSTCCS"=[1]OUT_Electricity_CHP!$B$1:$B$10000)*1,([1]OUT_Electricity_CHP!$C$1:$C$10000="Var_Fout")*1,([1]OUT_Electricity_CHP!$D$1:$D$10000="LTH")*1,[1]OUT_Electricity_CHP!P$1:P$10000)</f>
        <v>0</v>
      </c>
      <c r="S199" s="3"/>
    </row>
    <row r="200" spans="1:19" x14ac:dyDescent="0.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7.1929733495078736</v>
      </c>
      <c r="G200" s="1">
        <f t="shared" ref="G200:K200" si="196">SUM(G201:G202)</f>
        <v>6.5258251148651762</v>
      </c>
      <c r="H200" s="1">
        <f t="shared" si="196"/>
        <v>6.3982302956969823</v>
      </c>
      <c r="I200" s="1">
        <f t="shared" si="196"/>
        <v>6.3898170589736036</v>
      </c>
      <c r="J200" s="1">
        <f t="shared" si="196"/>
        <v>6.1714729897687128</v>
      </c>
      <c r="K200" s="1">
        <f t="shared" si="196"/>
        <v>6.0173949597907548</v>
      </c>
      <c r="L200" s="1">
        <f t="shared" ref="L200:O200" si="197">SUM(L201:L202)</f>
        <v>5.8600371782097449</v>
      </c>
      <c r="M200" s="1">
        <f t="shared" si="197"/>
        <v>5.6995338004765363</v>
      </c>
      <c r="N200" s="1">
        <f t="shared" si="197"/>
        <v>5.6995362077127147</v>
      </c>
      <c r="O200" s="1">
        <f t="shared" si="197"/>
        <v>5.6995378776022765</v>
      </c>
      <c r="P200" s="1">
        <f>SUM(P201:P202)</f>
        <v>5.6995319756693599</v>
      </c>
      <c r="Q200" s="1">
        <f>SUM(Q201:Q202)</f>
        <v>5.6995160983820954</v>
      </c>
      <c r="S200" s="3"/>
    </row>
    <row r="201" spans="1:19" x14ac:dyDescent="0.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8">F198*F140/F133</f>
        <v>7.1929733495078736</v>
      </c>
      <c r="G201" s="1">
        <f t="shared" si="198"/>
        <v>6.5258251148651762</v>
      </c>
      <c r="H201" s="1">
        <f t="shared" si="198"/>
        <v>6.3982302956969823</v>
      </c>
      <c r="I201" s="1">
        <f t="shared" si="198"/>
        <v>6.3898170589736036</v>
      </c>
      <c r="J201" s="1">
        <f t="shared" si="198"/>
        <v>6.1714729897687128</v>
      </c>
      <c r="K201" s="1">
        <f t="shared" si="198"/>
        <v>6.0173949597907548</v>
      </c>
      <c r="L201" s="1">
        <f t="shared" ref="L201:O201" si="199">L198*L140/L133</f>
        <v>5.8600371782097449</v>
      </c>
      <c r="M201" s="1">
        <f t="shared" si="199"/>
        <v>5.6995338004765363</v>
      </c>
      <c r="N201" s="1">
        <f t="shared" si="199"/>
        <v>5.6995362077127147</v>
      </c>
      <c r="O201" s="1">
        <f t="shared" si="199"/>
        <v>5.6995378776022765</v>
      </c>
      <c r="P201" s="1">
        <f>P198*P140/P133</f>
        <v>5.6995319756693599</v>
      </c>
      <c r="Q201" s="1">
        <f>Q198*Q140/Q133</f>
        <v>5.6995160983820954</v>
      </c>
      <c r="S201" s="3"/>
    </row>
    <row r="202" spans="1:19" x14ac:dyDescent="0.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200">F199*IFERROR(F141/F134,0)</f>
        <v>0</v>
      </c>
      <c r="G202" s="1">
        <f t="shared" si="200"/>
        <v>0</v>
      </c>
      <c r="H202" s="1">
        <f t="shared" si="200"/>
        <v>0</v>
      </c>
      <c r="I202" s="1">
        <f t="shared" si="200"/>
        <v>0</v>
      </c>
      <c r="J202" s="1">
        <f t="shared" si="200"/>
        <v>0</v>
      </c>
      <c r="K202" s="1">
        <f t="shared" si="200"/>
        <v>0</v>
      </c>
      <c r="L202" s="1">
        <f t="shared" ref="L202:O202" si="201">L199*IFERROR(L141/L134,0)</f>
        <v>0</v>
      </c>
      <c r="M202" s="1">
        <f t="shared" si="201"/>
        <v>0</v>
      </c>
      <c r="N202" s="1">
        <f t="shared" si="201"/>
        <v>0</v>
      </c>
      <c r="O202" s="1">
        <f t="shared" si="201"/>
        <v>0</v>
      </c>
      <c r="P202" s="1">
        <f>P199*IFERROR(P141/P134,0)</f>
        <v>0</v>
      </c>
      <c r="Q202" s="1">
        <f>Q199*IFERROR(Q141/Q134,0)</f>
        <v>0</v>
      </c>
      <c r="S202" s="3"/>
    </row>
    <row r="203" spans="1:19" x14ac:dyDescent="0.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7.1929733495078736</v>
      </c>
      <c r="G203" s="1">
        <f t="shared" ref="G203:K203" si="202">SUM(G204:G205)</f>
        <v>6.5258251148651745</v>
      </c>
      <c r="H203" s="1">
        <f t="shared" si="202"/>
        <v>6.3982302956969823</v>
      </c>
      <c r="I203" s="1">
        <f t="shared" si="202"/>
        <v>6.3898170589736054</v>
      </c>
      <c r="J203" s="1">
        <f t="shared" si="202"/>
        <v>6.1714729897687128</v>
      </c>
      <c r="K203" s="1">
        <f t="shared" si="202"/>
        <v>6.0173949597907566</v>
      </c>
      <c r="L203" s="1">
        <f t="shared" ref="L203:O203" si="203">SUM(L204:L205)</f>
        <v>5.8600371782097449</v>
      </c>
      <c r="M203" s="1">
        <f t="shared" si="203"/>
        <v>5.6995338004765363</v>
      </c>
      <c r="N203" s="1">
        <f t="shared" si="203"/>
        <v>5.6995362077127147</v>
      </c>
      <c r="O203" s="1">
        <f t="shared" si="203"/>
        <v>5.6995378776022765</v>
      </c>
      <c r="P203" s="1">
        <f>SUM(P204:P205)</f>
        <v>5.6995319756693599</v>
      </c>
      <c r="Q203" s="1">
        <f>SUM(Q204:Q205)</f>
        <v>5.6995160983820954</v>
      </c>
      <c r="S203" s="3"/>
    </row>
    <row r="204" spans="1:19" x14ac:dyDescent="0.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204">F198-F201</f>
        <v>7.1929733495078736</v>
      </c>
      <c r="G204" s="1">
        <f t="shared" si="204"/>
        <v>6.5258251148651745</v>
      </c>
      <c r="H204" s="1">
        <f t="shared" si="204"/>
        <v>6.3982302956969823</v>
      </c>
      <c r="I204" s="1">
        <f t="shared" si="204"/>
        <v>6.3898170589736054</v>
      </c>
      <c r="J204" s="1">
        <f t="shared" si="204"/>
        <v>6.1714729897687128</v>
      </c>
      <c r="K204" s="1">
        <f t="shared" si="204"/>
        <v>6.0173949597907566</v>
      </c>
      <c r="L204" s="1">
        <f t="shared" ref="L204:O204" si="205">L198-L201</f>
        <v>5.8600371782097449</v>
      </c>
      <c r="M204" s="1">
        <f t="shared" si="205"/>
        <v>5.6995338004765363</v>
      </c>
      <c r="N204" s="1">
        <f t="shared" si="205"/>
        <v>5.6995362077127147</v>
      </c>
      <c r="O204" s="1">
        <f t="shared" si="205"/>
        <v>5.6995378776022765</v>
      </c>
      <c r="P204" s="1">
        <f>P198-P201</f>
        <v>5.6995319756693599</v>
      </c>
      <c r="Q204" s="1">
        <f>Q198-Q201</f>
        <v>5.6995160983820954</v>
      </c>
      <c r="S204" s="3"/>
    </row>
    <row r="205" spans="1:19" x14ac:dyDescent="0.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204"/>
        <v>0</v>
      </c>
      <c r="G205" s="1">
        <f t="shared" si="204"/>
        <v>0</v>
      </c>
      <c r="H205" s="1">
        <f t="shared" si="204"/>
        <v>0</v>
      </c>
      <c r="I205" s="1">
        <f t="shared" si="204"/>
        <v>0</v>
      </c>
      <c r="J205" s="1">
        <f t="shared" si="204"/>
        <v>0</v>
      </c>
      <c r="K205" s="1">
        <f t="shared" si="204"/>
        <v>0</v>
      </c>
      <c r="L205" s="1">
        <f t="shared" ref="L205:O205" si="206">L199-L202</f>
        <v>0</v>
      </c>
      <c r="M205" s="1">
        <f t="shared" si="206"/>
        <v>0</v>
      </c>
      <c r="N205" s="1">
        <f t="shared" si="206"/>
        <v>0</v>
      </c>
      <c r="O205" s="1">
        <f t="shared" si="206"/>
        <v>0</v>
      </c>
      <c r="P205" s="1">
        <f>P199-P202</f>
        <v>0</v>
      </c>
      <c r="Q205" s="1">
        <f>Q199-Q202</f>
        <v>0</v>
      </c>
      <c r="S205" s="3"/>
    </row>
    <row r="206" spans="1:19" x14ac:dyDescent="0.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1.3114990790955681</v>
      </c>
      <c r="G206" s="1">
        <f t="shared" ref="G206:O206" si="207">G207</f>
        <v>0.40218484750151695</v>
      </c>
      <c r="H206" s="1">
        <f t="shared" si="207"/>
        <v>1.0181843550591529</v>
      </c>
      <c r="I206" s="1">
        <f t="shared" si="207"/>
        <v>2.8420773878951606</v>
      </c>
      <c r="J206" s="1">
        <f t="shared" si="207"/>
        <v>3.4603517346533281</v>
      </c>
      <c r="K206" s="1">
        <f t="shared" si="207"/>
        <v>4.0469644577830293</v>
      </c>
      <c r="L206" s="1">
        <f t="shared" si="207"/>
        <v>3.2859926785932108</v>
      </c>
      <c r="M206" s="1">
        <f t="shared" si="207"/>
        <v>1.7517050009946717</v>
      </c>
      <c r="N206" s="1">
        <f t="shared" si="207"/>
        <v>1.0704822203377671</v>
      </c>
      <c r="O206" s="1">
        <f t="shared" si="207"/>
        <v>1.1608527109791404</v>
      </c>
      <c r="P206" s="1">
        <f>P207</f>
        <v>1.5729363734964816</v>
      </c>
      <c r="Q206" s="1">
        <f>Q207</f>
        <v>1.5225652553482094</v>
      </c>
      <c r="S206" s="3"/>
    </row>
    <row r="207" spans="1:19" x14ac:dyDescent="0.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1.3114990790955681</v>
      </c>
      <c r="G207" s="1">
        <f>'[1]Electricity and CHPs'!C$92</f>
        <v>0.40218484750151695</v>
      </c>
      <c r="H207" s="1">
        <f>'[1]Electricity and CHPs'!D$92</f>
        <v>1.0181843550591529</v>
      </c>
      <c r="I207" s="1">
        <f>'[1]Electricity and CHPs'!E$92</f>
        <v>2.8420773878951606</v>
      </c>
      <c r="J207" s="1">
        <f>'[1]Electricity and CHPs'!F$92</f>
        <v>3.4603517346533281</v>
      </c>
      <c r="K207" s="1">
        <f>'[1]Electricity and CHPs'!G$92</f>
        <v>4.0469644577830293</v>
      </c>
      <c r="L207" s="1">
        <f>'[1]Electricity and CHPs'!H$92</f>
        <v>3.2859926785932108</v>
      </c>
      <c r="M207" s="1">
        <f>'[1]Electricity and CHPs'!I$92</f>
        <v>1.7517050009946717</v>
      </c>
      <c r="N207" s="1">
        <f>'[1]Electricity and CHPs'!J$92</f>
        <v>1.0704822203377671</v>
      </c>
      <c r="O207" s="1">
        <f>'[1]Electricity and CHPs'!K$92</f>
        <v>1.1608527109791404</v>
      </c>
      <c r="P207" s="1">
        <f>'[1]Electricity and CHPs'!L$92</f>
        <v>1.5729363734964816</v>
      </c>
      <c r="Q207" s="1">
        <f>'[1]Electricity and CHPs'!M$92</f>
        <v>1.5225652553482094</v>
      </c>
      <c r="S207" s="3"/>
    </row>
    <row r="208" spans="1:19" x14ac:dyDescent="0.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O208" si="208">+G209</f>
        <v>0</v>
      </c>
      <c r="H208" s="1">
        <f t="shared" si="208"/>
        <v>0</v>
      </c>
      <c r="I208" s="1">
        <f t="shared" si="208"/>
        <v>0</v>
      </c>
      <c r="J208" s="1">
        <f t="shared" si="208"/>
        <v>0</v>
      </c>
      <c r="K208" s="1">
        <f t="shared" si="208"/>
        <v>2.2982954879744132E-3</v>
      </c>
      <c r="L208" s="1">
        <f t="shared" si="208"/>
        <v>2.3931880312424623E-3</v>
      </c>
      <c r="M208" s="1">
        <f t="shared" si="208"/>
        <v>4.2358329198212731E-3</v>
      </c>
      <c r="N208" s="1">
        <f t="shared" si="208"/>
        <v>4.2588706575048966E-3</v>
      </c>
      <c r="O208" s="1">
        <f t="shared" si="208"/>
        <v>4.826222942483771E-2</v>
      </c>
      <c r="P208" s="1">
        <f>+P209</f>
        <v>5.0602642207023485E-2</v>
      </c>
      <c r="Q208" s="1">
        <f>+Q209</f>
        <v>5.1278844086185167E-2</v>
      </c>
      <c r="S208" s="3"/>
    </row>
    <row r="209" spans="1:20" x14ac:dyDescent="0.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'[1]Electricity and CHPs'!F$96</f>
        <v>0</v>
      </c>
      <c r="K209" s="1">
        <f>'[1]Electricity and CHPs'!G$96</f>
        <v>2.2982954879744132E-3</v>
      </c>
      <c r="L209" s="1">
        <f>'[1]Electricity and CHPs'!H$96</f>
        <v>2.3931880312424623E-3</v>
      </c>
      <c r="M209" s="1">
        <f>'[1]Electricity and CHPs'!I$96</f>
        <v>4.2358329198212731E-3</v>
      </c>
      <c r="N209" s="1">
        <f>'[1]Electricity and CHPs'!J$96</f>
        <v>4.2588706575048966E-3</v>
      </c>
      <c r="O209" s="1">
        <f>'[1]Electricity and CHPs'!K$96</f>
        <v>4.826222942483771E-2</v>
      </c>
      <c r="P209" s="1">
        <f>'[1]Electricity and CHPs'!L$96</f>
        <v>5.0602642207023485E-2</v>
      </c>
      <c r="Q209" s="1">
        <f>'[1]Electricity and CHPs'!M$96</f>
        <v>5.1278844086185167E-2</v>
      </c>
      <c r="S209" s="3"/>
    </row>
    <row r="210" spans="1:20" x14ac:dyDescent="0.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6.9978909395858997</v>
      </c>
      <c r="G210" s="1">
        <f t="shared" ref="G210:K210" si="209">SUM(G211,G217,G219,G225,G227,G229,G231)</f>
        <v>15.833221502174226</v>
      </c>
      <c r="H210" s="1">
        <f t="shared" si="209"/>
        <v>15.584540895783107</v>
      </c>
      <c r="I210" s="1">
        <f t="shared" si="209"/>
        <v>8.2943357441446697</v>
      </c>
      <c r="J210" s="1">
        <f t="shared" si="209"/>
        <v>8.247099861383127</v>
      </c>
      <c r="K210" s="1">
        <f t="shared" si="209"/>
        <v>6.9118729808354287</v>
      </c>
      <c r="L210" s="1">
        <f t="shared" ref="L210:O210" si="210">SUM(L211,L217,L219,L225,L227,L229,L231)</f>
        <v>7.957765391117646</v>
      </c>
      <c r="M210" s="1">
        <f t="shared" si="210"/>
        <v>15.192135334307595</v>
      </c>
      <c r="N210" s="1">
        <f t="shared" si="210"/>
        <v>15.733774663980498</v>
      </c>
      <c r="O210" s="1">
        <f t="shared" si="210"/>
        <v>15.925169088490128</v>
      </c>
      <c r="P210" s="1">
        <f>SUM(P211,P217,P219,P225,P227,P229,P231)</f>
        <v>16.1325083043672</v>
      </c>
      <c r="Q210" s="1">
        <f>SUM(Q211,Q217,Q219,Q225,Q227,Q229,Q231)</f>
        <v>15.149401334673321</v>
      </c>
      <c r="S210" s="3"/>
    </row>
    <row r="211" spans="1:20" x14ac:dyDescent="0.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2.6346887816599489</v>
      </c>
      <c r="G211" s="1">
        <f t="shared" ref="G211:O211" si="211">+G212</f>
        <v>3.5486438989590314</v>
      </c>
      <c r="H211" s="1">
        <f t="shared" si="211"/>
        <v>3.5493759107785783</v>
      </c>
      <c r="I211" s="1">
        <f t="shared" si="211"/>
        <v>1.6094921921078444</v>
      </c>
      <c r="J211" s="1">
        <f t="shared" si="211"/>
        <v>2.4514156017978603</v>
      </c>
      <c r="K211" s="1">
        <f t="shared" si="211"/>
        <v>2.4518638242934019</v>
      </c>
      <c r="L211" s="1">
        <f t="shared" si="211"/>
        <v>1.5818367309192927</v>
      </c>
      <c r="M211" s="1">
        <f t="shared" si="211"/>
        <v>1.5461425444930212</v>
      </c>
      <c r="N211" s="1">
        <f t="shared" si="211"/>
        <v>1.5438307923391166</v>
      </c>
      <c r="O211" s="1">
        <f t="shared" si="211"/>
        <v>1.5474848010130546</v>
      </c>
      <c r="P211" s="1">
        <f>+P212</f>
        <v>1.5433830234695387</v>
      </c>
      <c r="Q211" s="1">
        <f>+Q212</f>
        <v>1.5438615534143758</v>
      </c>
      <c r="S211" s="3"/>
    </row>
    <row r="212" spans="1:20" x14ac:dyDescent="0.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2.6346887816599489</v>
      </c>
      <c r="G212" s="1">
        <f>'[1]Electricity and CHPs'!C$97+G216</f>
        <v>3.5486438989590314</v>
      </c>
      <c r="H212" s="1">
        <f>'[1]Electricity and CHPs'!D$97+H216</f>
        <v>3.5493759107785783</v>
      </c>
      <c r="I212" s="1">
        <f>'[1]Electricity and CHPs'!E$97+I216</f>
        <v>1.6094921921078444</v>
      </c>
      <c r="J212" s="1">
        <f>'[1]Electricity and CHPs'!F$97+J216</f>
        <v>2.4514156017978603</v>
      </c>
      <c r="K212" s="1">
        <f>'[1]Electricity and CHPs'!G$97+K216</f>
        <v>2.4518638242934019</v>
      </c>
      <c r="L212" s="1">
        <f>'[1]Electricity and CHPs'!H$97+L216</f>
        <v>1.5818367309192927</v>
      </c>
      <c r="M212" s="1">
        <f>'[1]Electricity and CHPs'!I$97+M216</f>
        <v>1.5461425444930212</v>
      </c>
      <c r="N212" s="1">
        <f>'[1]Electricity and CHPs'!J$97+N216</f>
        <v>1.5438307923391166</v>
      </c>
      <c r="O212" s="1">
        <f>'[1]Electricity and CHPs'!K$97+O216</f>
        <v>1.5474848010130546</v>
      </c>
      <c r="P212" s="1">
        <f>'[1]Electricity and CHPs'!L$97+P216</f>
        <v>1.5433830234695387</v>
      </c>
      <c r="Q212" s="1">
        <f>'[1]Electricity and CHPs'!M$97+Q216</f>
        <v>1.5438615534143758</v>
      </c>
      <c r="S212" s="3"/>
    </row>
    <row r="213" spans="1:20" x14ac:dyDescent="0.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1.7329121522592978</v>
      </c>
      <c r="G213" s="1">
        <f t="shared" ref="G213:O213" si="212">G214</f>
        <v>2.0065190722600255</v>
      </c>
      <c r="H213" s="1">
        <f t="shared" si="212"/>
        <v>2.0072508503352182</v>
      </c>
      <c r="I213" s="1">
        <f t="shared" si="212"/>
        <v>6.7368137715825505E-2</v>
      </c>
      <c r="J213" s="1">
        <f t="shared" si="212"/>
        <v>0.90928996471611545</v>
      </c>
      <c r="K213" s="1">
        <f t="shared" si="212"/>
        <v>0.90973675288774358</v>
      </c>
      <c r="L213" s="1">
        <f t="shared" si="212"/>
        <v>3.9708108991318936E-2</v>
      </c>
      <c r="M213" s="1">
        <f t="shared" si="212"/>
        <v>4.0103121730690194E-3</v>
      </c>
      <c r="N213" s="1">
        <f t="shared" si="212"/>
        <v>1.6980589666897306E-3</v>
      </c>
      <c r="O213" s="1">
        <f t="shared" si="212"/>
        <v>5.3431905222041109E-3</v>
      </c>
      <c r="P213" s="1">
        <f>P214</f>
        <v>1.2375389116521252E-3</v>
      </c>
      <c r="Q213" s="1">
        <f>Q214</f>
        <v>1.6952288958826944E-3</v>
      </c>
      <c r="S213" s="3"/>
    </row>
    <row r="214" spans="1:20" x14ac:dyDescent="0.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1.7329121522592978</v>
      </c>
      <c r="G214" s="1">
        <f t="shared" ref="G214:K214" si="213">G212-G216</f>
        <v>2.0065190722600255</v>
      </c>
      <c r="H214" s="1">
        <f t="shared" si="213"/>
        <v>2.0072508503352182</v>
      </c>
      <c r="I214" s="1">
        <f t="shared" si="213"/>
        <v>6.7368137715825505E-2</v>
      </c>
      <c r="J214" s="1">
        <f t="shared" si="213"/>
        <v>0.90928996471611545</v>
      </c>
      <c r="K214" s="1">
        <f t="shared" si="213"/>
        <v>0.90973675288774358</v>
      </c>
      <c r="L214" s="1">
        <f t="shared" ref="L214:O214" si="214">L212-L216</f>
        <v>3.9708108991318936E-2</v>
      </c>
      <c r="M214" s="1">
        <f t="shared" si="214"/>
        <v>4.0103121730690194E-3</v>
      </c>
      <c r="N214" s="1">
        <f t="shared" si="214"/>
        <v>1.6980589666897306E-3</v>
      </c>
      <c r="O214" s="1">
        <f t="shared" si="214"/>
        <v>5.3431905222041109E-3</v>
      </c>
      <c r="P214" s="1">
        <f>P212-P216</f>
        <v>1.2375389116521252E-3</v>
      </c>
      <c r="Q214" s="1">
        <f>Q212-Q216</f>
        <v>1.6952288958826944E-3</v>
      </c>
      <c r="S214" s="3"/>
    </row>
    <row r="215" spans="1:20" x14ac:dyDescent="0.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0.90177662940065095</v>
      </c>
      <c r="G215" s="1">
        <f t="shared" ref="G215:O215" si="215">G216</f>
        <v>1.542124826699006</v>
      </c>
      <c r="H215" s="1">
        <f t="shared" si="215"/>
        <v>1.5421250604433603</v>
      </c>
      <c r="I215" s="1">
        <f t="shared" si="215"/>
        <v>1.5421240543920189</v>
      </c>
      <c r="J215" s="1">
        <f t="shared" si="215"/>
        <v>1.5421256370817449</v>
      </c>
      <c r="K215" s="1">
        <f t="shared" si="215"/>
        <v>1.5421270714056583</v>
      </c>
      <c r="L215" s="1">
        <f t="shared" si="215"/>
        <v>1.5421286219279737</v>
      </c>
      <c r="M215" s="1">
        <f t="shared" si="215"/>
        <v>1.5421322323199522</v>
      </c>
      <c r="N215" s="1">
        <f t="shared" si="215"/>
        <v>1.5421327333724268</v>
      </c>
      <c r="O215" s="1">
        <f t="shared" si="215"/>
        <v>1.5421416104908505</v>
      </c>
      <c r="P215" s="1">
        <f>P216</f>
        <v>1.5421454845578866</v>
      </c>
      <c r="Q215" s="1">
        <f>Q216</f>
        <v>1.5421663245184931</v>
      </c>
      <c r="S215" s="3"/>
    </row>
    <row r="216" spans="1:20" x14ac:dyDescent="0.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0.90177662940065095</v>
      </c>
      <c r="G216" s="1">
        <f>'[1]Electricity and CHPs'!C$98</f>
        <v>1.542124826699006</v>
      </c>
      <c r="H216" s="1">
        <f>'[1]Electricity and CHPs'!D$98</f>
        <v>1.5421250604433603</v>
      </c>
      <c r="I216" s="1">
        <f>'[1]Electricity and CHPs'!E$98</f>
        <v>1.5421240543920189</v>
      </c>
      <c r="J216" s="1">
        <f>'[1]Electricity and CHPs'!F$98</f>
        <v>1.5421256370817449</v>
      </c>
      <c r="K216" s="1">
        <f>'[1]Electricity and CHPs'!G$98</f>
        <v>1.5421270714056583</v>
      </c>
      <c r="L216" s="1">
        <f>'[1]Electricity and CHPs'!H$98</f>
        <v>1.5421286219279737</v>
      </c>
      <c r="M216" s="1">
        <f>'[1]Electricity and CHPs'!I$98</f>
        <v>1.5421322323199522</v>
      </c>
      <c r="N216" s="1">
        <f>'[1]Electricity and CHPs'!J$98</f>
        <v>1.5421327333724268</v>
      </c>
      <c r="O216" s="1">
        <f>'[1]Electricity and CHPs'!K$98</f>
        <v>1.5421416104908505</v>
      </c>
      <c r="P216" s="1">
        <f>'[1]Electricity and CHPs'!L$98</f>
        <v>1.5421454845578866</v>
      </c>
      <c r="Q216" s="1">
        <f>'[1]Electricity and CHPs'!M$98</f>
        <v>1.5421663245184931</v>
      </c>
      <c r="S216" s="3"/>
    </row>
    <row r="217" spans="1:20" x14ac:dyDescent="0.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2.9000677115916611</v>
      </c>
      <c r="G217" s="1">
        <f t="shared" ref="G217:O217" si="216">+G218</f>
        <v>7.6038476191466238</v>
      </c>
      <c r="H217" s="1">
        <f t="shared" si="216"/>
        <v>7.6022407923923776</v>
      </c>
      <c r="I217" s="1">
        <f t="shared" si="216"/>
        <v>2.3002242292927995</v>
      </c>
      <c r="J217" s="1">
        <f t="shared" si="216"/>
        <v>1.3944861199058614</v>
      </c>
      <c r="K217" s="1">
        <f t="shared" si="216"/>
        <v>0</v>
      </c>
      <c r="L217" s="1">
        <f t="shared" si="216"/>
        <v>1.8168244932823052</v>
      </c>
      <c r="M217" s="1">
        <f t="shared" si="216"/>
        <v>8.9542551016596335</v>
      </c>
      <c r="N217" s="1">
        <f t="shared" si="216"/>
        <v>9.3352679397327591</v>
      </c>
      <c r="O217" s="1">
        <f t="shared" si="216"/>
        <v>9.3353345999213602</v>
      </c>
      <c r="P217" s="1">
        <f>+P218</f>
        <v>9.3351763536531198</v>
      </c>
      <c r="Q217" s="1">
        <f>+Q218</f>
        <v>8.1193818372762028</v>
      </c>
      <c r="S217" s="3"/>
    </row>
    <row r="218" spans="1:20" x14ac:dyDescent="0.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2.9000677115916611</v>
      </c>
      <c r="G218" s="1">
        <f>'[1]Electricity and CHPs'!C$99</f>
        <v>7.6038476191466238</v>
      </c>
      <c r="H218" s="1">
        <f>'[1]Electricity and CHPs'!D$99</f>
        <v>7.6022407923923776</v>
      </c>
      <c r="I218" s="1">
        <f>'[1]Electricity and CHPs'!E$99</f>
        <v>2.3002242292927995</v>
      </c>
      <c r="J218" s="1">
        <f>'[1]Electricity and CHPs'!F$99</f>
        <v>1.3944861199058614</v>
      </c>
      <c r="K218" s="1">
        <f>'[1]Electricity and CHPs'!G$99</f>
        <v>0</v>
      </c>
      <c r="L218" s="1">
        <f>'[1]Electricity and CHPs'!H$99</f>
        <v>1.8168244932823052</v>
      </c>
      <c r="M218" s="1">
        <f>'[1]Electricity and CHPs'!I$99</f>
        <v>8.9542551016596335</v>
      </c>
      <c r="N218" s="1">
        <f>'[1]Electricity and CHPs'!J$99</f>
        <v>9.3352679397327591</v>
      </c>
      <c r="O218" s="1">
        <f>'[1]Electricity and CHPs'!K$99</f>
        <v>9.3353345999213602</v>
      </c>
      <c r="P218" s="1">
        <f>'[1]Electricity and CHPs'!L$99</f>
        <v>9.3351763536531198</v>
      </c>
      <c r="Q218" s="1">
        <f>'[1]Electricity and CHPs'!M$99</f>
        <v>8.1193818372762028</v>
      </c>
      <c r="S218" s="3"/>
    </row>
    <row r="219" spans="1:20" x14ac:dyDescent="0.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0.18408892322306933</v>
      </c>
      <c r="G219" s="1">
        <f t="shared" ref="G219:O219" si="217">+G220</f>
        <v>0.18584950046103374</v>
      </c>
      <c r="H219" s="1">
        <f t="shared" si="217"/>
        <v>1.4560197329110945E-3</v>
      </c>
      <c r="I219" s="1">
        <f t="shared" si="217"/>
        <v>1.4328628359242498E-3</v>
      </c>
      <c r="J219" s="1">
        <f t="shared" si="217"/>
        <v>1.1319221782612509E-3</v>
      </c>
      <c r="K219" s="1">
        <f t="shared" si="217"/>
        <v>1.0202063136999719E-3</v>
      </c>
      <c r="L219" s="1">
        <f t="shared" si="217"/>
        <v>9.9631325826629981E-4</v>
      </c>
      <c r="M219" s="1">
        <f t="shared" si="217"/>
        <v>4.1740506506204221E-4</v>
      </c>
      <c r="N219" s="1">
        <f t="shared" si="217"/>
        <v>8.9331685070588064E-4</v>
      </c>
      <c r="O219" s="1">
        <f t="shared" si="217"/>
        <v>4.0648557410163043E-4</v>
      </c>
      <c r="P219" s="1">
        <f>+P220</f>
        <v>8.1592025278423303E-4</v>
      </c>
      <c r="Q219" s="1">
        <f>+Q220</f>
        <v>4.1361468811144329E-4</v>
      </c>
      <c r="S219" s="3"/>
    </row>
    <row r="220" spans="1:20" x14ac:dyDescent="0.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0.18408892322306933</v>
      </c>
      <c r="G220" s="1">
        <f>'[1]Electricity and CHPs'!C$100</f>
        <v>0.18584950046103374</v>
      </c>
      <c r="H220" s="1">
        <f>'[1]Electricity and CHPs'!D$100</f>
        <v>1.4560197329110945E-3</v>
      </c>
      <c r="I220" s="1">
        <f>'[1]Electricity and CHPs'!E$100</f>
        <v>1.4328628359242498E-3</v>
      </c>
      <c r="J220" s="1">
        <f>'[1]Electricity and CHPs'!F$100</f>
        <v>1.1319221782612509E-3</v>
      </c>
      <c r="K220" s="1">
        <f>'[1]Electricity and CHPs'!G$100</f>
        <v>1.0202063136999719E-3</v>
      </c>
      <c r="L220" s="1">
        <f>'[1]Electricity and CHPs'!H$100</f>
        <v>9.9631325826629981E-4</v>
      </c>
      <c r="M220" s="1">
        <f>'[1]Electricity and CHPs'!I$100</f>
        <v>4.1740506506204221E-4</v>
      </c>
      <c r="N220" s="1">
        <f>'[1]Electricity and CHPs'!J$100</f>
        <v>8.9331685070588064E-4</v>
      </c>
      <c r="O220" s="1">
        <f>'[1]Electricity and CHPs'!K$100</f>
        <v>4.0648557410163043E-4</v>
      </c>
      <c r="P220" s="1">
        <f>'[1]Electricity and CHPs'!L$100</f>
        <v>8.1592025278423303E-4</v>
      </c>
      <c r="Q220" s="1">
        <f>'[1]Electricity and CHPs'!M$100</f>
        <v>4.1361468811144329E-4</v>
      </c>
      <c r="S220" s="3"/>
    </row>
    <row r="221" spans="1:20" x14ac:dyDescent="0.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0.18408892322306933</v>
      </c>
      <c r="G221" s="1">
        <f t="shared" ref="G221:O221" si="218">G222</f>
        <v>0.18584950046103374</v>
      </c>
      <c r="H221" s="1">
        <f t="shared" si="218"/>
        <v>1.4560197329110945E-3</v>
      </c>
      <c r="I221" s="1">
        <f t="shared" si="218"/>
        <v>1.4328628359242498E-3</v>
      </c>
      <c r="J221" s="1">
        <f t="shared" si="218"/>
        <v>1.1319221782612509E-3</v>
      </c>
      <c r="K221" s="1">
        <f t="shared" si="218"/>
        <v>1.0202063136999719E-3</v>
      </c>
      <c r="L221" s="1">
        <f>L222</f>
        <v>9.9631325826629981E-4</v>
      </c>
      <c r="M221" s="1">
        <f t="shared" si="218"/>
        <v>4.1740506506204221E-4</v>
      </c>
      <c r="N221" s="1">
        <f t="shared" si="218"/>
        <v>8.9331685070588064E-4</v>
      </c>
      <c r="O221" s="1">
        <f t="shared" si="218"/>
        <v>4.0648557410163043E-4</v>
      </c>
      <c r="P221" s="1">
        <f>P222</f>
        <v>8.1592025278423303E-4</v>
      </c>
      <c r="Q221" s="1">
        <f>Q222</f>
        <v>4.1361468811144329E-4</v>
      </c>
      <c r="S221" s="3"/>
    </row>
    <row r="222" spans="1:20" x14ac:dyDescent="0.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0.18408892322306933</v>
      </c>
      <c r="G222" s="1">
        <f t="shared" ref="G222:K222" si="219">G220-G224</f>
        <v>0.18584950046103374</v>
      </c>
      <c r="H222" s="1">
        <f t="shared" si="219"/>
        <v>1.4560197329110945E-3</v>
      </c>
      <c r="I222" s="1">
        <f t="shared" si="219"/>
        <v>1.4328628359242498E-3</v>
      </c>
      <c r="J222" s="1">
        <f t="shared" si="219"/>
        <v>1.1319221782612509E-3</v>
      </c>
      <c r="K222" s="1">
        <f t="shared" si="219"/>
        <v>1.0202063136999719E-3</v>
      </c>
      <c r="L222" s="1">
        <f>L220-L224</f>
        <v>9.9631325826629981E-4</v>
      </c>
      <c r="M222" s="1">
        <f t="shared" ref="M222:O222" si="220">M220-M224</f>
        <v>4.1740506506204221E-4</v>
      </c>
      <c r="N222" s="1">
        <f t="shared" si="220"/>
        <v>8.9331685070588064E-4</v>
      </c>
      <c r="O222" s="1">
        <f t="shared" si="220"/>
        <v>4.0648557410163043E-4</v>
      </c>
      <c r="P222" s="1">
        <f>P220-P224</f>
        <v>8.1592025278423303E-4</v>
      </c>
      <c r="Q222" s="1">
        <f>Q220-Q224</f>
        <v>4.1361468811144329E-4</v>
      </c>
      <c r="S222" s="3"/>
    </row>
    <row r="223" spans="1:20" x14ac:dyDescent="0.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O223" si="221">G224</f>
        <v>0</v>
      </c>
      <c r="H223" s="1">
        <f t="shared" si="221"/>
        <v>0</v>
      </c>
      <c r="I223" s="1">
        <f t="shared" si="221"/>
        <v>0</v>
      </c>
      <c r="J223" s="1">
        <f t="shared" si="221"/>
        <v>0</v>
      </c>
      <c r="K223" s="1">
        <f t="shared" si="221"/>
        <v>0</v>
      </c>
      <c r="L223" s="1">
        <f t="shared" si="221"/>
        <v>0</v>
      </c>
      <c r="M223" s="1">
        <f t="shared" si="221"/>
        <v>0</v>
      </c>
      <c r="N223" s="1">
        <f t="shared" si="221"/>
        <v>0</v>
      </c>
      <c r="O223" s="1">
        <f t="shared" si="221"/>
        <v>0</v>
      </c>
      <c r="P223" s="1">
        <f>P224</f>
        <v>0</v>
      </c>
      <c r="Q223" s="1">
        <f>Q224</f>
        <v>0</v>
      </c>
      <c r="S223" s="3"/>
    </row>
    <row r="224" spans="1:20" x14ac:dyDescent="0.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/>
      <c r="S224" s="3"/>
      <c r="T224" s="1"/>
    </row>
    <row r="225" spans="1:19" x14ac:dyDescent="0.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1.2790455231112203</v>
      </c>
      <c r="G225" s="1">
        <f t="shared" ref="G225:O225" si="222">+G226</f>
        <v>1.154334836306109</v>
      </c>
      <c r="H225" s="1">
        <f t="shared" si="222"/>
        <v>0.98969992822343134</v>
      </c>
      <c r="I225" s="1">
        <f t="shared" si="222"/>
        <v>0.7658139411045024</v>
      </c>
      <c r="J225" s="1">
        <f t="shared" si="222"/>
        <v>0.59815153148080036</v>
      </c>
      <c r="K225" s="1">
        <f t="shared" si="222"/>
        <v>0.46287885197152917</v>
      </c>
      <c r="L225" s="1">
        <f t="shared" si="222"/>
        <v>0.35816961607320097</v>
      </c>
      <c r="M225" s="1">
        <f t="shared" si="222"/>
        <v>0.27715238020238114</v>
      </c>
      <c r="N225" s="1">
        <f t="shared" si="222"/>
        <v>0.21446257527260773</v>
      </c>
      <c r="O225" s="1">
        <f t="shared" si="222"/>
        <v>0.16596983039021812</v>
      </c>
      <c r="P225" s="1">
        <f>+P226</f>
        <v>0.12843958572144368</v>
      </c>
      <c r="Q225" s="1">
        <f>+Q226</f>
        <v>9.9444444522226519E-2</v>
      </c>
      <c r="S225" s="3"/>
    </row>
    <row r="226" spans="1:19" x14ac:dyDescent="0.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1.2790455231112203</v>
      </c>
      <c r="G226" s="1">
        <f>'[1]Electricity and CHPs'!C$101</f>
        <v>1.154334836306109</v>
      </c>
      <c r="H226" s="1">
        <f>'[1]Electricity and CHPs'!D$101</f>
        <v>0.98969992822343134</v>
      </c>
      <c r="I226" s="1">
        <f>'[1]Electricity and CHPs'!E$101</f>
        <v>0.7658139411045024</v>
      </c>
      <c r="J226" s="1">
        <f>'[1]Electricity and CHPs'!F$101</f>
        <v>0.59815153148080036</v>
      </c>
      <c r="K226" s="1">
        <f>'[1]Electricity and CHPs'!G$101</f>
        <v>0.46287885197152917</v>
      </c>
      <c r="L226" s="1">
        <f>'[1]Electricity and CHPs'!H$101</f>
        <v>0.35816961607320097</v>
      </c>
      <c r="M226" s="1">
        <f>'[1]Electricity and CHPs'!I$101</f>
        <v>0.27715238020238114</v>
      </c>
      <c r="N226" s="1">
        <f>'[1]Electricity and CHPs'!J$101</f>
        <v>0.21446257527260773</v>
      </c>
      <c r="O226" s="1">
        <f>'[1]Electricity and CHPs'!K$101</f>
        <v>0.16596983039021812</v>
      </c>
      <c r="P226" s="1">
        <f>'[1]Electricity and CHPs'!L$101</f>
        <v>0.12843958572144368</v>
      </c>
      <c r="Q226" s="1">
        <f>'[1]Electricity and CHPs'!M$101</f>
        <v>9.9444444522226519E-2</v>
      </c>
      <c r="S226" s="3"/>
    </row>
    <row r="227" spans="1:19" x14ac:dyDescent="0.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O227" si="223">+G228</f>
        <v>0</v>
      </c>
      <c r="H227" s="1">
        <f t="shared" si="223"/>
        <v>0</v>
      </c>
      <c r="I227" s="1">
        <f t="shared" si="223"/>
        <v>4.0397089492131722E-5</v>
      </c>
      <c r="J227" s="1">
        <f t="shared" si="223"/>
        <v>6.1396490079054059E-5</v>
      </c>
      <c r="K227" s="1">
        <f t="shared" si="223"/>
        <v>6.4631529783314561E-5</v>
      </c>
      <c r="L227" s="1">
        <f t="shared" si="223"/>
        <v>6.6488355421123377E-5</v>
      </c>
      <c r="M227" s="1">
        <f t="shared" si="223"/>
        <v>7.03975276485946E-5</v>
      </c>
      <c r="N227" s="1">
        <f t="shared" si="223"/>
        <v>7.1912757881633101E-5</v>
      </c>
      <c r="O227" s="1">
        <f t="shared" si="223"/>
        <v>8.3092789112563728E-5</v>
      </c>
      <c r="P227" s="1">
        <f>+P228</f>
        <v>8.9338693636973005E-5</v>
      </c>
      <c r="Q227" s="1">
        <f>+Q228</f>
        <v>1.4750969230471552E-4</v>
      </c>
      <c r="S227" s="3"/>
    </row>
    <row r="228" spans="1:19" x14ac:dyDescent="0.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4.0397089492131722E-5</v>
      </c>
      <c r="J228" s="1">
        <f>'[1]Electricity and CHPs'!F$102</f>
        <v>6.1396490079054059E-5</v>
      </c>
      <c r="K228" s="1">
        <f>'[1]Electricity and CHPs'!G$102</f>
        <v>6.4631529783314561E-5</v>
      </c>
      <c r="L228" s="1">
        <f>'[1]Electricity and CHPs'!H$102</f>
        <v>6.6488355421123377E-5</v>
      </c>
      <c r="M228" s="1">
        <f>'[1]Electricity and CHPs'!I$102</f>
        <v>7.03975276485946E-5</v>
      </c>
      <c r="N228" s="1">
        <f>'[1]Electricity and CHPs'!J$102</f>
        <v>7.1912757881633101E-5</v>
      </c>
      <c r="O228" s="1">
        <f>'[1]Electricity and CHPs'!K$102</f>
        <v>8.3092789112563728E-5</v>
      </c>
      <c r="P228" s="1">
        <f>'[1]Electricity and CHPs'!L$102</f>
        <v>8.9338693636973005E-5</v>
      </c>
      <c r="Q228" s="1">
        <f>'[1]Electricity and CHPs'!M$102</f>
        <v>1.4750969230471552E-4</v>
      </c>
      <c r="S228" s="3"/>
    </row>
    <row r="229" spans="1:19" x14ac:dyDescent="0.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O229" si="224">+G230</f>
        <v>0</v>
      </c>
      <c r="H229" s="1">
        <f t="shared" si="224"/>
        <v>0</v>
      </c>
      <c r="I229" s="1">
        <f t="shared" si="224"/>
        <v>0</v>
      </c>
      <c r="J229" s="1">
        <f t="shared" si="224"/>
        <v>0</v>
      </c>
      <c r="K229" s="1">
        <f t="shared" si="224"/>
        <v>2.5908572559447403E-4</v>
      </c>
      <c r="L229" s="1">
        <f t="shared" si="224"/>
        <v>2.5955529470776261E-4</v>
      </c>
      <c r="M229" s="1">
        <f t="shared" si="224"/>
        <v>2.6071755619980571E-4</v>
      </c>
      <c r="N229" s="1">
        <f t="shared" si="224"/>
        <v>2.6168659065285157E-4</v>
      </c>
      <c r="O229" s="1">
        <f t="shared" si="224"/>
        <v>2.658841155518536E-4</v>
      </c>
      <c r="P229" s="1">
        <f>+P230</f>
        <v>2.712387188058667E-4</v>
      </c>
      <c r="Q229" s="1">
        <f>+Q230</f>
        <v>4.0728734024580532E-4</v>
      </c>
      <c r="S229" s="3"/>
    </row>
    <row r="230" spans="1:19" x14ac:dyDescent="0.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'[1]Electricity and CHPs'!F$90</f>
        <v>0</v>
      </c>
      <c r="K230" s="1">
        <f>'[1]Electricity and CHPs'!G$90</f>
        <v>2.5908572559447403E-4</v>
      </c>
      <c r="L230" s="1">
        <f>'[1]Electricity and CHPs'!H$90</f>
        <v>2.5955529470776261E-4</v>
      </c>
      <c r="M230" s="1">
        <f>'[1]Electricity and CHPs'!I$90</f>
        <v>2.6071755619980571E-4</v>
      </c>
      <c r="N230" s="1">
        <f>'[1]Electricity and CHPs'!J$90</f>
        <v>2.6168659065285157E-4</v>
      </c>
      <c r="O230" s="1">
        <f>'[1]Electricity and CHPs'!K$90</f>
        <v>2.658841155518536E-4</v>
      </c>
      <c r="P230" s="1">
        <f>'[1]Electricity and CHPs'!L$90</f>
        <v>2.712387188058667E-4</v>
      </c>
      <c r="Q230" s="1">
        <f>'[1]Electricity and CHPs'!M$90</f>
        <v>4.0728734024580532E-4</v>
      </c>
      <c r="S230" s="3"/>
    </row>
    <row r="231" spans="1:19" x14ac:dyDescent="0.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O231" si="225">+G232</f>
        <v>3.3405456473014263</v>
      </c>
      <c r="H231" s="1">
        <f t="shared" si="225"/>
        <v>3.4417682446558082</v>
      </c>
      <c r="I231" s="1">
        <f t="shared" si="225"/>
        <v>3.6173321217141066</v>
      </c>
      <c r="J231" s="1">
        <f t="shared" si="225"/>
        <v>3.8018532895302655</v>
      </c>
      <c r="K231" s="1">
        <f t="shared" si="225"/>
        <v>3.99578638100142</v>
      </c>
      <c r="L231" s="1">
        <f t="shared" si="225"/>
        <v>4.1996121939344517</v>
      </c>
      <c r="M231" s="1">
        <f t="shared" si="225"/>
        <v>4.4138367878036497</v>
      </c>
      <c r="N231" s="1">
        <f t="shared" si="225"/>
        <v>4.6389864404367751</v>
      </c>
      <c r="O231" s="1">
        <f t="shared" si="225"/>
        <v>4.8756243946867297</v>
      </c>
      <c r="P231" s="1">
        <f>+P232</f>
        <v>5.1243328438578688</v>
      </c>
      <c r="Q231" s="1">
        <f>+Q232</f>
        <v>5.3857450877398536</v>
      </c>
      <c r="S231" s="3"/>
    </row>
    <row r="232" spans="1:19" x14ac:dyDescent="0.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3.3405456473014263</v>
      </c>
      <c r="H232" s="1">
        <f>'[1]Electricity and CHPs'!D$123</f>
        <v>3.4417682446558082</v>
      </c>
      <c r="I232" s="1">
        <f>'[1]Electricity and CHPs'!E$123</f>
        <v>3.6173321217141066</v>
      </c>
      <c r="J232" s="1">
        <f>'[1]Electricity and CHPs'!F$123</f>
        <v>3.8018532895302655</v>
      </c>
      <c r="K232" s="1">
        <f>'[1]Electricity and CHPs'!G$123</f>
        <v>3.99578638100142</v>
      </c>
      <c r="L232" s="1">
        <f>'[1]Electricity and CHPs'!H$123</f>
        <v>4.1996121939344517</v>
      </c>
      <c r="M232" s="1">
        <f>'[1]Electricity and CHPs'!I$123</f>
        <v>4.4138367878036497</v>
      </c>
      <c r="N232" s="1">
        <f>'[1]Electricity and CHPs'!J$123</f>
        <v>4.6389864404367751</v>
      </c>
      <c r="O232" s="1">
        <f>'[1]Electricity and CHPs'!K$123</f>
        <v>4.8756243946867297</v>
      </c>
      <c r="P232" s="1">
        <f>'[1]Electricity and CHPs'!L$123</f>
        <v>5.1243328438578688</v>
      </c>
      <c r="Q232" s="1">
        <f>'[1]Electricity and CHPs'!M$123</f>
        <v>5.3857450877398536</v>
      </c>
      <c r="S232" s="3"/>
    </row>
    <row r="233" spans="1:19" x14ac:dyDescent="0.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6.5069659203845776</v>
      </c>
      <c r="G233" s="1">
        <f t="shared" ref="G233:K233" si="226">SUM(G234,G240,G273,G282,G288)</f>
        <v>8.2365179324622488</v>
      </c>
      <c r="H233" s="1">
        <f t="shared" si="226"/>
        <v>8.4625780929334518</v>
      </c>
      <c r="I233" s="1">
        <f t="shared" si="226"/>
        <v>14.239684810907985</v>
      </c>
      <c r="J233" s="1">
        <f t="shared" si="226"/>
        <v>17.361687607618634</v>
      </c>
      <c r="K233" s="1">
        <f t="shared" si="226"/>
        <v>16.421097685010213</v>
      </c>
      <c r="L233" s="1">
        <f t="shared" ref="L233:O233" si="227">SUM(L234,L240,L273,L282,L288)</f>
        <v>17.88074785006782</v>
      </c>
      <c r="M233" s="1">
        <f t="shared" si="227"/>
        <v>18.369949206476498</v>
      </c>
      <c r="N233" s="1">
        <f t="shared" si="227"/>
        <v>19.250287324633877</v>
      </c>
      <c r="O233" s="1">
        <f t="shared" si="227"/>
        <v>19.311947712985376</v>
      </c>
      <c r="P233" s="1">
        <f>SUM(P234,P240,P273,P282,P288)</f>
        <v>19.619577943370437</v>
      </c>
      <c r="Q233" s="1">
        <f>SUM(Q234,Q240,Q273,Q282,Q288)</f>
        <v>20.024752648420229</v>
      </c>
      <c r="S233" s="3"/>
    </row>
    <row r="234" spans="1:19" x14ac:dyDescent="0.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0.92940928654395227</v>
      </c>
      <c r="G234" s="1">
        <f t="shared" ref="G234:O234" si="228">+G235</f>
        <v>2.0722125733391099</v>
      </c>
      <c r="H234" s="1">
        <f t="shared" si="228"/>
        <v>2.8064838508560879E-2</v>
      </c>
      <c r="I234" s="1">
        <f t="shared" si="228"/>
        <v>1.3014136384638137</v>
      </c>
      <c r="J234" s="1">
        <f t="shared" si="228"/>
        <v>0.83437150499334012</v>
      </c>
      <c r="K234" s="1">
        <f t="shared" si="228"/>
        <v>4.1849926533218409E-2</v>
      </c>
      <c r="L234" s="1">
        <f t="shared" si="228"/>
        <v>4.5847201302642318E-2</v>
      </c>
      <c r="M234" s="1">
        <f t="shared" si="228"/>
        <v>5.6703318995080479E-2</v>
      </c>
      <c r="N234" s="1">
        <f t="shared" si="228"/>
        <v>6.0048920780603157E-2</v>
      </c>
      <c r="O234" s="1">
        <f t="shared" si="228"/>
        <v>6.0807560316982721E-2</v>
      </c>
      <c r="P234" s="1">
        <f>+P235</f>
        <v>6.0049657490466375E-2</v>
      </c>
      <c r="Q234" s="1">
        <f>+Q235</f>
        <v>6.1129158051338998E-2</v>
      </c>
      <c r="S234" s="3"/>
    </row>
    <row r="235" spans="1:19" x14ac:dyDescent="0.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0.92940928654395227</v>
      </c>
      <c r="G235" s="1">
        <f>'[1]Electricity and CHPs'!C$104</f>
        <v>2.0722125733391099</v>
      </c>
      <c r="H235" s="1">
        <f>'[1]Electricity and CHPs'!D$104</f>
        <v>2.8064838508560879E-2</v>
      </c>
      <c r="I235" s="1">
        <f>'[1]Electricity and CHPs'!E$104</f>
        <v>1.3014136384638137</v>
      </c>
      <c r="J235" s="1">
        <f>'[1]Electricity and CHPs'!F$104</f>
        <v>0.83437150499334012</v>
      </c>
      <c r="K235" s="1">
        <f>'[1]Electricity and CHPs'!G$104</f>
        <v>4.1849926533218409E-2</v>
      </c>
      <c r="L235" s="1">
        <f>'[1]Electricity and CHPs'!H$104</f>
        <v>4.5847201302642318E-2</v>
      </c>
      <c r="M235" s="1">
        <f>'[1]Electricity and CHPs'!I$104</f>
        <v>5.6703318995080479E-2</v>
      </c>
      <c r="N235" s="1">
        <f>'[1]Electricity and CHPs'!J$104</f>
        <v>6.0048920780603157E-2</v>
      </c>
      <c r="O235" s="1">
        <f>'[1]Electricity and CHPs'!K$104</f>
        <v>6.0807560316982721E-2</v>
      </c>
      <c r="P235" s="1">
        <f>'[1]Electricity and CHPs'!L$104</f>
        <v>6.0049657490466375E-2</v>
      </c>
      <c r="Q235" s="1">
        <f>'[1]Electricity and CHPs'!M$104</f>
        <v>6.1129158051338998E-2</v>
      </c>
      <c r="S235" s="3"/>
    </row>
    <row r="236" spans="1:19" x14ac:dyDescent="0.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0.92940928654395227</v>
      </c>
      <c r="G236" s="1">
        <f t="shared" ref="G236:O236" si="229">G237</f>
        <v>2.0722125733391099</v>
      </c>
      <c r="H236" s="1">
        <f t="shared" si="229"/>
        <v>2.8064838508560879E-2</v>
      </c>
      <c r="I236" s="1">
        <f t="shared" si="229"/>
        <v>1.3014136384638137</v>
      </c>
      <c r="J236" s="1">
        <f t="shared" si="229"/>
        <v>0.83437150499334012</v>
      </c>
      <c r="K236" s="1">
        <f t="shared" si="229"/>
        <v>4.1849926533218409E-2</v>
      </c>
      <c r="L236" s="1">
        <f t="shared" si="229"/>
        <v>4.5847201302642318E-2</v>
      </c>
      <c r="M236" s="1">
        <f t="shared" si="229"/>
        <v>5.6703318995080479E-2</v>
      </c>
      <c r="N236" s="1">
        <f t="shared" si="229"/>
        <v>6.0048920780603157E-2</v>
      </c>
      <c r="O236" s="1">
        <f t="shared" si="229"/>
        <v>6.0807560316982721E-2</v>
      </c>
      <c r="P236" s="1">
        <f>P237</f>
        <v>6.0049657490466375E-2</v>
      </c>
      <c r="Q236" s="1">
        <f>Q237</f>
        <v>6.1129158051338998E-2</v>
      </c>
      <c r="S236" s="3"/>
    </row>
    <row r="237" spans="1:19" x14ac:dyDescent="0.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0.92940928654395227</v>
      </c>
      <c r="G237" s="1">
        <f t="shared" ref="G237:K237" si="230">G235-G239</f>
        <v>2.0722125733391099</v>
      </c>
      <c r="H237" s="1">
        <f t="shared" si="230"/>
        <v>2.8064838508560879E-2</v>
      </c>
      <c r="I237" s="1">
        <f t="shared" si="230"/>
        <v>1.3014136384638137</v>
      </c>
      <c r="J237" s="1">
        <f t="shared" si="230"/>
        <v>0.83437150499334012</v>
      </c>
      <c r="K237" s="1">
        <f t="shared" si="230"/>
        <v>4.1849926533218409E-2</v>
      </c>
      <c r="L237" s="1">
        <f t="shared" ref="L237:O237" si="231">L235-L239</f>
        <v>4.5847201302642318E-2</v>
      </c>
      <c r="M237" s="1">
        <f t="shared" si="231"/>
        <v>5.6703318995080479E-2</v>
      </c>
      <c r="N237" s="1">
        <f t="shared" si="231"/>
        <v>6.0048920780603157E-2</v>
      </c>
      <c r="O237" s="1">
        <f t="shared" si="231"/>
        <v>6.0807560316982721E-2</v>
      </c>
      <c r="P237" s="1">
        <f>P235-P239</f>
        <v>6.0049657490466375E-2</v>
      </c>
      <c r="Q237" s="1">
        <f>Q235-Q239</f>
        <v>6.1129158051338998E-2</v>
      </c>
      <c r="S237" s="3"/>
    </row>
    <row r="238" spans="1:19" x14ac:dyDescent="0.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O238" si="232">G239</f>
        <v>0</v>
      </c>
      <c r="H238" s="1">
        <f t="shared" si="232"/>
        <v>0</v>
      </c>
      <c r="I238" s="1">
        <f t="shared" si="232"/>
        <v>0</v>
      </c>
      <c r="J238" s="1">
        <f t="shared" si="232"/>
        <v>0</v>
      </c>
      <c r="K238" s="1">
        <f t="shared" si="232"/>
        <v>0</v>
      </c>
      <c r="L238" s="1">
        <f t="shared" si="232"/>
        <v>0</v>
      </c>
      <c r="M238" s="1">
        <f t="shared" si="232"/>
        <v>0</v>
      </c>
      <c r="N238" s="1">
        <f t="shared" si="232"/>
        <v>0</v>
      </c>
      <c r="O238" s="1">
        <f t="shared" si="232"/>
        <v>0</v>
      </c>
      <c r="P238" s="1">
        <f>P239</f>
        <v>0</v>
      </c>
      <c r="Q238" s="1">
        <f>Q239</f>
        <v>0</v>
      </c>
      <c r="S238" s="3"/>
    </row>
    <row r="239" spans="1:19" x14ac:dyDescent="0.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33">F235*IFERROR(F81/F77,0)</f>
        <v>0</v>
      </c>
      <c r="G239" s="1">
        <f t="shared" si="233"/>
        <v>0</v>
      </c>
      <c r="H239" s="1">
        <f t="shared" si="233"/>
        <v>0</v>
      </c>
      <c r="I239" s="1">
        <f t="shared" si="233"/>
        <v>0</v>
      </c>
      <c r="J239" s="1">
        <f t="shared" si="233"/>
        <v>0</v>
      </c>
      <c r="K239" s="1">
        <f t="shared" si="233"/>
        <v>0</v>
      </c>
      <c r="L239" s="1">
        <f t="shared" ref="L239:O239" si="234">L235*IFERROR(L81/L77,0)</f>
        <v>0</v>
      </c>
      <c r="M239" s="1">
        <f t="shared" si="234"/>
        <v>0</v>
      </c>
      <c r="N239" s="1">
        <f t="shared" si="234"/>
        <v>0</v>
      </c>
      <c r="O239" s="1">
        <f t="shared" si="234"/>
        <v>0</v>
      </c>
      <c r="P239" s="1">
        <f>P235*IFERROR(P81/P77,0)</f>
        <v>0</v>
      </c>
      <c r="Q239" s="1">
        <f>Q235*IFERROR(Q81/Q77,0)</f>
        <v>0</v>
      </c>
      <c r="S239" s="3"/>
    </row>
    <row r="240" spans="1:19" x14ac:dyDescent="0.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2.9827993546129532</v>
      </c>
      <c r="G240" s="1">
        <f t="shared" ref="G240:K240" si="235">SUM(G241:G250)</f>
        <v>2.4889332258886494</v>
      </c>
      <c r="H240" s="1">
        <f t="shared" si="235"/>
        <v>2.4507806578050131</v>
      </c>
      <c r="I240" s="1">
        <f t="shared" si="235"/>
        <v>6.3386756728993836</v>
      </c>
      <c r="J240" s="1">
        <f t="shared" si="235"/>
        <v>9.1888050576655544</v>
      </c>
      <c r="K240" s="1">
        <f t="shared" si="235"/>
        <v>8.375008174650322</v>
      </c>
      <c r="L240" s="1">
        <f t="shared" ref="L240:O240" si="236">SUM(L241:L250)</f>
        <v>8.0751151193950346</v>
      </c>
      <c r="M240" s="1">
        <f t="shared" si="236"/>
        <v>6.4638118329573766</v>
      </c>
      <c r="N240" s="1">
        <f t="shared" si="236"/>
        <v>6.3913996989820587</v>
      </c>
      <c r="O240" s="1">
        <f t="shared" si="236"/>
        <v>6.438993112527073</v>
      </c>
      <c r="P240" s="1">
        <f>SUM(P241:P250)</f>
        <v>6.8151598500883326</v>
      </c>
      <c r="Q240" s="1">
        <f>SUM(Q241:Q250)</f>
        <v>7.0781517748936755</v>
      </c>
      <c r="S240" s="3"/>
    </row>
    <row r="241" spans="1:19" x14ac:dyDescent="0.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0.77106928774522465</v>
      </c>
      <c r="G241" s="1">
        <f>'[1]Electricity and CHPs_IN'!C$39*0.75-G88-G242</f>
        <v>0.10219721324555901</v>
      </c>
      <c r="H241" s="1">
        <f>'[1]Electricity and CHPs_IN'!D$39*0.75-H88-H242</f>
        <v>6.5568486991403357E-2</v>
      </c>
      <c r="I241" s="1">
        <f>'[1]Electricity and CHPs_IN'!E$39*0.75-I88-I242</f>
        <v>0.70832107391015287</v>
      </c>
      <c r="J241" s="1">
        <f>'[1]Electricity and CHPs'!F$103-J242</f>
        <v>1.0466179760906551</v>
      </c>
      <c r="K241" s="1">
        <f>'[1]Electricity and CHPs'!G$103-K242</f>
        <v>0.18242625432442611</v>
      </c>
      <c r="L241" s="1">
        <f>'[1]Electricity and CHPs'!H$103-L242</f>
        <v>0.11554139191213786</v>
      </c>
      <c r="M241" s="1">
        <f>'[1]Electricity and CHPs'!I$103-M242</f>
        <v>6.8692695316219451E-2</v>
      </c>
      <c r="N241" s="1">
        <f>'[1]Electricity and CHPs'!J$103-N242</f>
        <v>3.4131067278339255E-2</v>
      </c>
      <c r="O241" s="1">
        <f>'[1]Electricity and CHPs'!K$103-O242</f>
        <v>3.719728394233203E-2</v>
      </c>
      <c r="P241" s="1">
        <f>'[1]Electricity and CHPs'!L$103-P242</f>
        <v>5.4373715668042485E-2</v>
      </c>
      <c r="Q241" s="1">
        <f>'[1]Electricity and CHPs'!M$103-Q242</f>
        <v>9.1953449440533339E-2</v>
      </c>
      <c r="S241" s="3"/>
    </row>
    <row r="242" spans="1:19" x14ac:dyDescent="0.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SUMPRODUCT((ISNUMBER(SEARCH("ITOT-CHPNGACCS",[1]OUT_Electricity_CHP!$B$1:$B$10000)))*1,([1]OUT_Electricity_CHP!$C$1:$C$10000="Var_Fout")*1,([1]OUT_Electricity_CHP!$D$1:$D$10000="ITOT_LTH_CHP")*1,[1]OUT_Electricity_CHP!I$1:I$10000)</f>
        <v>0</v>
      </c>
      <c r="K242" s="1" cm="1">
        <f t="array" ref="K242">SUMPRODUCT((ISNUMBER(SEARCH("ITOT-CHPNGACCS",[1]OUT_Electricity_CHP!$B$1:$B$10000)))*1,([1]OUT_Electricity_CHP!$C$1:$C$10000="Var_Fout")*1,([1]OUT_Electricity_CHP!$D$1:$D$10000="ITOT_LTH_CHP")*1,[1]OUT_Electricity_CHP!J$1:J$10000)</f>
        <v>0</v>
      </c>
      <c r="L242" s="1" cm="1">
        <f t="array" ref="L242">SUMPRODUCT((ISNUMBER(SEARCH("ITOT-CHPNGACCS",[1]OUT_Electricity_CHP!$B$1:$B$10000)))*1,([1]OUT_Electricity_CHP!$C$1:$C$10000="Var_Fout")*1,([1]OUT_Electricity_CHP!$D$1:$D$10000="ITOT_LTH_CHP")*1,[1]OUT_Electricity_CHP!K$1:K$10000)</f>
        <v>0</v>
      </c>
      <c r="M242" s="1" cm="1">
        <f t="array" ref="M242">SUMPRODUCT((ISNUMBER(SEARCH("ITOT-CHPNGACCS",[1]OUT_Electricity_CHP!$B$1:$B$10000)))*1,([1]OUT_Electricity_CHP!$C$1:$C$10000="Var_Fout")*1,([1]OUT_Electricity_CHP!$D$1:$D$10000="ITOT_LTH_CHP")*1,[1]OUT_Electricity_CHP!L$1:L$10000)</f>
        <v>0</v>
      </c>
      <c r="N242" s="1" cm="1">
        <f t="array" ref="N242">SUMPRODUCT((ISNUMBER(SEARCH("ITOT-CHPNGACCS",[1]OUT_Electricity_CHP!$B$1:$B$10000)))*1,([1]OUT_Electricity_CHP!$C$1:$C$10000="Var_Fout")*1,([1]OUT_Electricity_CHP!$D$1:$D$10000="ITOT_LTH_CHP")*1,[1]OUT_Electricity_CHP!M$1:M$10000)</f>
        <v>0</v>
      </c>
      <c r="O242" s="1" cm="1">
        <f t="array" ref="O242">SUMPRODUCT((ISNUMBER(SEARCH("ITOT-CHPNGACCS",[1]OUT_Electricity_CHP!$B$1:$B$10000)))*1,([1]OUT_Electricity_CHP!$C$1:$C$10000="Var_Fout")*1,([1]OUT_Electricity_CHP!$D$1:$D$10000="ITOT_LTH_CHP")*1,[1]OUT_Electricity_CHP!N$1:N$10000)</f>
        <v>0</v>
      </c>
      <c r="P242" s="1" cm="1">
        <f t="array" ref="P242">SUMPRODUCT((ISNUMBER(SEARCH("ITOT-CHPNGACCS",[1]OUT_Electricity_CHP!$B$1:$B$10000)))*1,([1]OUT_Electricity_CHP!$C$1:$C$10000="Var_Fout")*1,([1]OUT_Electricity_CHP!$D$1:$D$10000="ITOT_LTH_CHP")*1,[1]OUT_Electricity_CHP!O$1:O$10000)</f>
        <v>0</v>
      </c>
      <c r="Q242" s="1" cm="1">
        <f t="array" ref="Q242">SUMPRODUCT((ISNUMBER(SEARCH("ITOT-CHPNGACCS",[1]OUT_Electricity_CHP!$B$1:$B$10000)))*1,([1]OUT_Electricity_CHP!$C$1:$C$10000="Var_Fout")*1,([1]OUT_Electricity_CHP!$D$1:$D$10000="ITOT_LTH_CHP")*1,[1]OUT_Electricity_CHP!P$1:P$10000)</f>
        <v>0</v>
      </c>
      <c r="S242" s="3"/>
    </row>
    <row r="243" spans="1:19" x14ac:dyDescent="0.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7.2744521332476894E-4</v>
      </c>
      <c r="J243" s="1">
        <f>'[1]Electricity and CHPs'!F$107</f>
        <v>9.964774884039494E-4</v>
      </c>
      <c r="K243" s="1">
        <f>'[1]Electricity and CHPs'!G$107</f>
        <v>1.6504645777945235E-3</v>
      </c>
      <c r="L243" s="1">
        <f>'[1]Electricity and CHPs'!H$107</f>
        <v>2.0590783795487403E-3</v>
      </c>
      <c r="M243" s="1">
        <f>'[1]Electricity and CHPs'!I$107</f>
        <v>3.8421209836992185E-3</v>
      </c>
      <c r="N243" s="1">
        <f>'[1]Electricity and CHPs'!J$107</f>
        <v>3.0941792619638836E-3</v>
      </c>
      <c r="O243" s="1">
        <f>'[1]Electricity and CHPs'!K$107</f>
        <v>4.6665657270570423E-3</v>
      </c>
      <c r="P243" s="1">
        <f>'[1]Electricity and CHPs'!L$107</f>
        <v>5.2345884706720674E-3</v>
      </c>
      <c r="Q243" s="1">
        <f>'[1]Electricity and CHPs'!M$107</f>
        <v>9.4738254308706846E-3</v>
      </c>
      <c r="S243" s="3"/>
    </row>
    <row r="244" spans="1:19" x14ac:dyDescent="0.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3.4333891347366752E-2</v>
      </c>
      <c r="G244" s="1">
        <f>'[1]Electricity and CHPs'!C$109</f>
        <v>7.1398846558560292E-3</v>
      </c>
      <c r="H244" s="1">
        <f>'[1]Electricity and CHPs'!D$109</f>
        <v>2.4322591231318788E-2</v>
      </c>
      <c r="I244" s="1">
        <f>'[1]Electricity and CHPs'!E$109</f>
        <v>2.2957756048725856E-2</v>
      </c>
      <c r="J244" s="1">
        <f>'[1]Electricity and CHPs'!F$109</f>
        <v>3.2244791631471356E-2</v>
      </c>
      <c r="K244" s="1">
        <f>'[1]Electricity and CHPs'!G$109</f>
        <v>3.4818298797367073E-2</v>
      </c>
      <c r="L244" s="1">
        <f>'[1]Electricity and CHPs'!H$109</f>
        <v>4.3421244481583306E-2</v>
      </c>
      <c r="M244" s="1">
        <f>'[1]Electricity and CHPs'!I$109</f>
        <v>5.5740226865946998E-2</v>
      </c>
      <c r="N244" s="1">
        <f>'[1]Electricity and CHPs'!J$109</f>
        <v>4.8160537305177317E-2</v>
      </c>
      <c r="O244" s="1">
        <f>'[1]Electricity and CHPs'!K$109</f>
        <v>5.2745970987639924E-2</v>
      </c>
      <c r="P244" s="1">
        <f>'[1]Electricity and CHPs'!L$109</f>
        <v>0.22365776725653691</v>
      </c>
      <c r="Q244" s="1">
        <f>'[1]Electricity and CHPs'!M$109</f>
        <v>0.25440760583926714</v>
      </c>
      <c r="S244" s="3"/>
    </row>
    <row r="245" spans="1:19" x14ac:dyDescent="0.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'[1]Electricity and CHPs'!F$111</f>
        <v>0</v>
      </c>
      <c r="K245" s="1">
        <f>'[1]Electricity and CHPs'!G$111</f>
        <v>0</v>
      </c>
      <c r="L245" s="1">
        <f>'[1]Electricity and CHPs'!H$111</f>
        <v>0</v>
      </c>
      <c r="M245" s="1">
        <f>'[1]Electricity and CHPs'!I$111</f>
        <v>0</v>
      </c>
      <c r="N245" s="1">
        <f>'[1]Electricity and CHPs'!J$111</f>
        <v>0</v>
      </c>
      <c r="O245" s="1">
        <f>'[1]Electricity and CHPs'!K$111</f>
        <v>0</v>
      </c>
      <c r="P245" s="1">
        <f>'[1]Electricity and CHPs'!L$111</f>
        <v>0</v>
      </c>
      <c r="Q245" s="1">
        <f>'[1]Electricity and CHPs'!M$111</f>
        <v>0</v>
      </c>
      <c r="S245" s="3"/>
    </row>
    <row r="246" spans="1:19" x14ac:dyDescent="0.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6.0466286482003348E-2</v>
      </c>
      <c r="G246" s="1">
        <f>'[1]Electricity and CHPs'!C$112</f>
        <v>5.0964463524860573E-2</v>
      </c>
      <c r="H246" s="1">
        <f>'[1]Electricity and CHPs'!D$112</f>
        <v>0.22043458891497236</v>
      </c>
      <c r="I246" s="1">
        <f>'[1]Electricity and CHPs'!E$112</f>
        <v>1.3011132107684487</v>
      </c>
      <c r="J246" s="1">
        <f>'[1]Electricity and CHPs'!F$112</f>
        <v>1.3534908416087728</v>
      </c>
      <c r="K246" s="1">
        <f>'[1]Electricity and CHPs'!G$112</f>
        <v>1.5036580229596292</v>
      </c>
      <c r="L246" s="1">
        <f>'[1]Electricity and CHPs'!H$112</f>
        <v>1.3507406231511374</v>
      </c>
      <c r="M246" s="1">
        <f>'[1]Electricity and CHPs'!I$112</f>
        <v>1.4620602350552006</v>
      </c>
      <c r="N246" s="1">
        <f>'[1]Electricity and CHPs'!J$112</f>
        <v>1.4260987524409459</v>
      </c>
      <c r="O246" s="1">
        <f>'[1]Electricity and CHPs'!K$112</f>
        <v>1.3799280248746797</v>
      </c>
      <c r="P246" s="1">
        <f>'[1]Electricity and CHPs'!L$112</f>
        <v>1.26101651681031</v>
      </c>
      <c r="Q246" s="1">
        <f>'[1]Electricity and CHPs'!M$112</f>
        <v>1.1566209372973104</v>
      </c>
      <c r="S246" s="3"/>
    </row>
    <row r="247" spans="1:19" x14ac:dyDescent="0.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'[1]Electricity and CHPs'!F$114</f>
        <v>0</v>
      </c>
      <c r="K247" s="1">
        <f>'[1]Electricity and CHPs'!G$114</f>
        <v>0</v>
      </c>
      <c r="L247" s="1">
        <f>'[1]Electricity and CHPs'!H$114</f>
        <v>0</v>
      </c>
      <c r="M247" s="1">
        <f>'[1]Electricity and CHPs'!I$114</f>
        <v>0</v>
      </c>
      <c r="N247" s="1">
        <f>'[1]Electricity and CHPs'!J$114</f>
        <v>0</v>
      </c>
      <c r="O247" s="1">
        <f>'[1]Electricity and CHPs'!K$114</f>
        <v>0</v>
      </c>
      <c r="P247" s="1">
        <f>'[1]Electricity and CHPs'!L$114</f>
        <v>0</v>
      </c>
      <c r="Q247" s="1">
        <f>'[1]Electricity and CHPs'!M$114</f>
        <v>0</v>
      </c>
      <c r="S247" s="3"/>
    </row>
    <row r="248" spans="1:19" x14ac:dyDescent="0.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1.4243186639473009</v>
      </c>
      <c r="G248" s="1">
        <f>'[1]Electricity and CHPs'!C$115</f>
        <v>1.5784079148783152</v>
      </c>
      <c r="H248" s="1">
        <f>'[1]Electricity and CHPs'!D$115</f>
        <v>1.4830000296085248</v>
      </c>
      <c r="I248" s="1">
        <f>'[1]Electricity and CHPs'!E$115</f>
        <v>1.3239856386096416</v>
      </c>
      <c r="J248" s="1">
        <f>'[1]Electricity and CHPs'!F$115</f>
        <v>1.164974591514562</v>
      </c>
      <c r="K248" s="1">
        <f>'[1]Electricity and CHPs'!G$115</f>
        <v>1.0059641399662935</v>
      </c>
      <c r="L248" s="1">
        <f>'[1]Electricity and CHPs'!H$115</f>
        <v>1.0059655989802256</v>
      </c>
      <c r="M248" s="1">
        <f>'[1]Electricity and CHPs'!I$115</f>
        <v>1.0059699135650677</v>
      </c>
      <c r="N248" s="1">
        <f>'[1]Electricity and CHPs'!J$115</f>
        <v>1.0059713096982754</v>
      </c>
      <c r="O248" s="1">
        <f>'[1]Electricity and CHPs'!K$115</f>
        <v>1.0059790180160655</v>
      </c>
      <c r="P248" s="1">
        <f>'[1]Electricity and CHPs'!L$115</f>
        <v>1.0059879505675899</v>
      </c>
      <c r="Q248" s="1">
        <f>'[1]Electricity and CHPs'!M$115</f>
        <v>1.0512924271647559</v>
      </c>
      <c r="S248" s="3"/>
    </row>
    <row r="249" spans="1:19" x14ac:dyDescent="0.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0.69261122509105766</v>
      </c>
      <c r="G249" s="1">
        <f>'[1]Electricity and CHPs'!C$116</f>
        <v>0.75022374958405835</v>
      </c>
      <c r="H249" s="1">
        <f>'[1]Electricity and CHPs'!D$116</f>
        <v>0.65745496105879397</v>
      </c>
      <c r="I249" s="1">
        <f>'[1]Electricity and CHPs'!E$116</f>
        <v>2.9811060674100145</v>
      </c>
      <c r="J249" s="1">
        <f>'[1]Electricity and CHPs'!F$116</f>
        <v>5.5889879001630778</v>
      </c>
      <c r="K249" s="1">
        <f>'[1]Electricity and CHPs'!G$116</f>
        <v>5.6450553568548854</v>
      </c>
      <c r="L249" s="1">
        <f>'[1]Electricity and CHPs'!H$116</f>
        <v>5.5563060599134531</v>
      </c>
      <c r="M249" s="1">
        <f>'[1]Electricity and CHPs'!I$116</f>
        <v>3.8651724083702828</v>
      </c>
      <c r="N249" s="1">
        <f>'[1]Electricity and CHPs'!J$116</f>
        <v>3.8716043455671243</v>
      </c>
      <c r="O249" s="1">
        <f>'[1]Electricity and CHPs'!K$116</f>
        <v>3.9535111498107973</v>
      </c>
      <c r="P249" s="1">
        <f>'[1]Electricity and CHPs'!L$116</f>
        <v>4.2610564114300571</v>
      </c>
      <c r="Q249" s="1">
        <f>'[1]Electricity and CHPs'!M$116</f>
        <v>4.5056008743330294</v>
      </c>
      <c r="S249" s="3"/>
    </row>
    <row r="250" spans="1:19" x14ac:dyDescent="0.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4.6448093907548342E-4</v>
      </c>
      <c r="J250" s="1">
        <f>'[1]Electricity and CHPs'!F$118</f>
        <v>1.492479168611033E-3</v>
      </c>
      <c r="K250" s="1">
        <f>'[1]Electricity and CHPs'!G$118</f>
        <v>1.4356371699268686E-3</v>
      </c>
      <c r="L250" s="1">
        <f>'[1]Electricity and CHPs'!H$118</f>
        <v>1.0811225769495516E-3</v>
      </c>
      <c r="M250" s="1">
        <f>'[1]Electricity and CHPs'!I$118</f>
        <v>2.3342328009604424E-3</v>
      </c>
      <c r="N250" s="1">
        <f>'[1]Electricity and CHPs'!J$118</f>
        <v>2.3395074302329216E-3</v>
      </c>
      <c r="O250" s="1">
        <f>'[1]Electricity and CHPs'!K$118</f>
        <v>4.9650991685014859E-3</v>
      </c>
      <c r="P250" s="1">
        <f>'[1]Electricity and CHPs'!L$118</f>
        <v>3.8328998851239349E-3</v>
      </c>
      <c r="Q250" s="1">
        <f>'[1]Electricity and CHPs'!M$118</f>
        <v>8.8026553879086908E-3</v>
      </c>
      <c r="S250" s="3"/>
    </row>
    <row r="251" spans="1:19" x14ac:dyDescent="0.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1.5176563431925445</v>
      </c>
      <c r="G251" s="1">
        <f t="shared" ref="G251:K251" si="237">SUM(G252:G261)</f>
        <v>0.87083803555322281</v>
      </c>
      <c r="H251" s="1">
        <f t="shared" si="237"/>
        <v>0.87959483857378384</v>
      </c>
      <c r="I251" s="1">
        <f t="shared" si="237"/>
        <v>4.8066329993991133</v>
      </c>
      <c r="J251" s="1">
        <f t="shared" si="237"/>
        <v>7.7567645968952581</v>
      </c>
      <c r="K251" s="1">
        <f t="shared" si="237"/>
        <v>7.1930998373617019</v>
      </c>
      <c r="L251" s="1">
        <f t="shared" ref="L251:O251" si="238">SUM(L252:L261)</f>
        <v>6.9427921406620126</v>
      </c>
      <c r="M251" s="1">
        <f t="shared" si="238"/>
        <v>5.3695802492184583</v>
      </c>
      <c r="N251" s="1">
        <f t="shared" si="238"/>
        <v>5.3055610491704268</v>
      </c>
      <c r="O251" s="1">
        <f t="shared" si="238"/>
        <v>5.3556179129712707</v>
      </c>
      <c r="P251" s="1">
        <f>SUM(P252:P261)</f>
        <v>5.7247256299536868</v>
      </c>
      <c r="Q251" s="1">
        <f>SUM(Q252:Q261)</f>
        <v>5.930691195805097</v>
      </c>
      <c r="S251" s="3"/>
    </row>
    <row r="252" spans="1:19" x14ac:dyDescent="0.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9">F241-F263</f>
        <v>0.75087115457791032</v>
      </c>
      <c r="G252" s="1">
        <f t="shared" si="239"/>
        <v>9.7742719884440804E-2</v>
      </c>
      <c r="H252" s="1">
        <f t="shared" si="239"/>
        <v>5.9593776782046928E-2</v>
      </c>
      <c r="I252" s="1">
        <f t="shared" si="239"/>
        <v>0.67893317926849217</v>
      </c>
      <c r="J252" s="1">
        <f t="shared" si="239"/>
        <v>1.0117822525864655</v>
      </c>
      <c r="K252" s="1">
        <f t="shared" si="239"/>
        <v>0.17807062274771696</v>
      </c>
      <c r="L252" s="1">
        <f t="shared" ref="L252:O252" si="240">L241-L263</f>
        <v>0.113476149481935</v>
      </c>
      <c r="M252" s="1">
        <f t="shared" si="240"/>
        <v>6.7581829133780066E-2</v>
      </c>
      <c r="N252" s="1">
        <f t="shared" si="240"/>
        <v>3.3624894442734338E-2</v>
      </c>
      <c r="O252" s="1">
        <f t="shared" si="240"/>
        <v>3.6667388806647681E-2</v>
      </c>
      <c r="P252" s="1">
        <f t="shared" ref="P252:Q261" si="241">P241-P263</f>
        <v>5.3583300522805556E-2</v>
      </c>
      <c r="Q252" s="1">
        <f t="shared" si="241"/>
        <v>9.0486185516571171E-2</v>
      </c>
      <c r="S252" s="3"/>
    </row>
    <row r="253" spans="1:19" x14ac:dyDescent="0.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9"/>
        <v>0</v>
      </c>
      <c r="G253" s="1">
        <f t="shared" si="239"/>
        <v>0</v>
      </c>
      <c r="H253" s="1">
        <f t="shared" si="239"/>
        <v>0</v>
      </c>
      <c r="I253" s="1">
        <f t="shared" si="239"/>
        <v>0</v>
      </c>
      <c r="J253" s="1">
        <f t="shared" si="239"/>
        <v>0</v>
      </c>
      <c r="K253" s="1">
        <f t="shared" si="239"/>
        <v>0</v>
      </c>
      <c r="L253" s="1">
        <f t="shared" ref="L253:O253" si="242">L242-L264</f>
        <v>0</v>
      </c>
      <c r="M253" s="1">
        <f t="shared" si="242"/>
        <v>0</v>
      </c>
      <c r="N253" s="1">
        <f t="shared" si="242"/>
        <v>0</v>
      </c>
      <c r="O253" s="1">
        <f t="shared" si="242"/>
        <v>0</v>
      </c>
      <c r="P253" s="1">
        <f t="shared" si="241"/>
        <v>0</v>
      </c>
      <c r="Q253" s="1">
        <f t="shared" si="241"/>
        <v>0</v>
      </c>
      <c r="S253" s="3"/>
    </row>
    <row r="254" spans="1:19" x14ac:dyDescent="0.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9"/>
        <v>0</v>
      </c>
      <c r="G254" s="1">
        <f t="shared" si="239"/>
        <v>0</v>
      </c>
      <c r="H254" s="1">
        <f t="shared" si="239"/>
        <v>0</v>
      </c>
      <c r="I254" s="1">
        <f t="shared" si="239"/>
        <v>6.9726386749983818E-4</v>
      </c>
      <c r="J254" s="1">
        <f t="shared" si="239"/>
        <v>9.6331064524131827E-4</v>
      </c>
      <c r="K254" s="1">
        <f t="shared" si="239"/>
        <v>1.6110578835228909E-3</v>
      </c>
      <c r="L254" s="1">
        <f t="shared" ref="L254:O254" si="243">L243-L265</f>
        <v>2.0222734218951995E-3</v>
      </c>
      <c r="M254" s="1">
        <f t="shared" si="243"/>
        <v>3.7799879977975215E-3</v>
      </c>
      <c r="N254" s="1">
        <f t="shared" si="243"/>
        <v>3.0482917578279626E-3</v>
      </c>
      <c r="O254" s="1">
        <f t="shared" si="243"/>
        <v>4.6000880110239999E-3</v>
      </c>
      <c r="P254" s="1">
        <f t="shared" si="241"/>
        <v>5.158494755989008E-3</v>
      </c>
      <c r="Q254" s="1">
        <f t="shared" si="241"/>
        <v>9.3226554382145471E-3</v>
      </c>
      <c r="S254" s="3"/>
    </row>
    <row r="255" spans="1:19" x14ac:dyDescent="0.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3.3434516257983923E-2</v>
      </c>
      <c r="G255" s="1">
        <f t="shared" ref="G255:K255" si="244">G244-G266</f>
        <v>6.8286768666353916E-3</v>
      </c>
      <c r="H255" s="1">
        <f t="shared" si="244"/>
        <v>2.2106276034556411E-2</v>
      </c>
      <c r="I255" s="1">
        <f t="shared" si="244"/>
        <v>2.2005249987816982E-2</v>
      </c>
      <c r="J255" s="1">
        <f t="shared" si="244"/>
        <v>3.1171553189762377E-2</v>
      </c>
      <c r="K255" s="1">
        <f t="shared" si="244"/>
        <v>3.3986972833619539E-2</v>
      </c>
      <c r="L255" s="1">
        <f t="shared" ref="L255:O255" si="245">L244-L266</f>
        <v>4.2645112266179758E-2</v>
      </c>
      <c r="M255" s="1">
        <f t="shared" si="245"/>
        <v>5.4838821953214455E-2</v>
      </c>
      <c r="N255" s="1">
        <f t="shared" si="245"/>
        <v>4.7446303685313669E-2</v>
      </c>
      <c r="O255" s="1">
        <f t="shared" si="245"/>
        <v>5.1994576517639661E-2</v>
      </c>
      <c r="P255" s="1">
        <f t="shared" si="241"/>
        <v>0.22040651829520569</v>
      </c>
      <c r="Q255" s="1">
        <f t="shared" si="241"/>
        <v>0.2503481267843683</v>
      </c>
      <c r="S255" s="3"/>
    </row>
    <row r="256" spans="1:19" x14ac:dyDescent="0.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46">F245-F267</f>
        <v>0</v>
      </c>
      <c r="G256" s="1">
        <f t="shared" si="246"/>
        <v>0</v>
      </c>
      <c r="H256" s="1">
        <f t="shared" si="246"/>
        <v>0</v>
      </c>
      <c r="I256" s="1">
        <f t="shared" si="246"/>
        <v>0</v>
      </c>
      <c r="J256" s="1">
        <f t="shared" si="246"/>
        <v>0</v>
      </c>
      <c r="K256" s="1">
        <f t="shared" si="246"/>
        <v>0</v>
      </c>
      <c r="L256" s="1">
        <f t="shared" ref="L256:O256" si="247">L245-L267</f>
        <v>0</v>
      </c>
      <c r="M256" s="1">
        <f t="shared" si="247"/>
        <v>0</v>
      </c>
      <c r="N256" s="1">
        <f t="shared" si="247"/>
        <v>0</v>
      </c>
      <c r="O256" s="1">
        <f t="shared" si="247"/>
        <v>0</v>
      </c>
      <c r="P256" s="1">
        <f t="shared" si="241"/>
        <v>0</v>
      </c>
      <c r="Q256" s="1">
        <f t="shared" si="241"/>
        <v>0</v>
      </c>
      <c r="S256" s="3"/>
    </row>
    <row r="257" spans="1:19" x14ac:dyDescent="0.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48">F246-F268</f>
        <v>5.8882374211203604E-2</v>
      </c>
      <c r="G257" s="1">
        <f t="shared" si="248"/>
        <v>4.8743063770261025E-2</v>
      </c>
      <c r="H257" s="1">
        <f t="shared" si="248"/>
        <v>0.20034822045784678</v>
      </c>
      <c r="I257" s="1">
        <f t="shared" si="248"/>
        <v>1.247130660533347</v>
      </c>
      <c r="J257" s="1">
        <f t="shared" si="248"/>
        <v>1.308441135029252</v>
      </c>
      <c r="K257" s="1">
        <f t="shared" si="248"/>
        <v>1.4677564999599428</v>
      </c>
      <c r="L257" s="1">
        <f t="shared" ref="L257:O257" si="249">L246-L268</f>
        <v>1.3265968353625006</v>
      </c>
      <c r="M257" s="1">
        <f t="shared" si="249"/>
        <v>1.4384164798591701</v>
      </c>
      <c r="N257" s="1">
        <f t="shared" si="249"/>
        <v>1.4049493273881355</v>
      </c>
      <c r="O257" s="1">
        <f t="shared" si="249"/>
        <v>1.3602702146671057</v>
      </c>
      <c r="P257" s="1">
        <f t="shared" si="241"/>
        <v>1.242685480554375</v>
      </c>
      <c r="Q257" s="1">
        <f t="shared" si="241"/>
        <v>1.1381652057796672</v>
      </c>
      <c r="S257" s="3"/>
    </row>
    <row r="258" spans="1:19" x14ac:dyDescent="0.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50">F247-F269</f>
        <v>0</v>
      </c>
      <c r="G258" s="1">
        <f t="shared" si="250"/>
        <v>0</v>
      </c>
      <c r="H258" s="1">
        <f t="shared" si="250"/>
        <v>0</v>
      </c>
      <c r="I258" s="1">
        <f t="shared" si="250"/>
        <v>0</v>
      </c>
      <c r="J258" s="1">
        <f t="shared" si="250"/>
        <v>0</v>
      </c>
      <c r="K258" s="1">
        <f t="shared" si="250"/>
        <v>0</v>
      </c>
      <c r="L258" s="1">
        <f t="shared" ref="L258:O258" si="251">L247-L269</f>
        <v>0</v>
      </c>
      <c r="M258" s="1">
        <f t="shared" si="251"/>
        <v>0</v>
      </c>
      <c r="N258" s="1">
        <f t="shared" si="251"/>
        <v>0</v>
      </c>
      <c r="O258" s="1">
        <f t="shared" si="251"/>
        <v>0</v>
      </c>
      <c r="P258" s="1">
        <f t="shared" si="241"/>
        <v>0</v>
      </c>
      <c r="Q258" s="1">
        <f t="shared" si="241"/>
        <v>0</v>
      </c>
      <c r="S258" s="3"/>
    </row>
    <row r="259" spans="1:19" x14ac:dyDescent="0.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50"/>
        <v>0</v>
      </c>
      <c r="G259" s="1">
        <f t="shared" ref="G259:K259" si="252">G248-G270</f>
        <v>0</v>
      </c>
      <c r="H259" s="1">
        <f t="shared" si="252"/>
        <v>0</v>
      </c>
      <c r="I259" s="1">
        <f t="shared" si="252"/>
        <v>0</v>
      </c>
      <c r="J259" s="1">
        <f t="shared" si="252"/>
        <v>0</v>
      </c>
      <c r="K259" s="1">
        <f t="shared" si="252"/>
        <v>0</v>
      </c>
      <c r="L259" s="1">
        <f t="shared" ref="L259:O259" si="253">L248-L270</f>
        <v>0</v>
      </c>
      <c r="M259" s="1">
        <f t="shared" si="253"/>
        <v>0</v>
      </c>
      <c r="N259" s="1">
        <f t="shared" si="253"/>
        <v>0</v>
      </c>
      <c r="O259" s="1">
        <f t="shared" si="253"/>
        <v>0</v>
      </c>
      <c r="P259" s="1">
        <f t="shared" si="241"/>
        <v>0</v>
      </c>
      <c r="Q259" s="1">
        <f t="shared" si="241"/>
        <v>0</v>
      </c>
      <c r="S259" s="3"/>
    </row>
    <row r="260" spans="1:19" x14ac:dyDescent="0.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54">F249-F271</f>
        <v>0.67446829814544673</v>
      </c>
      <c r="G260" s="1">
        <f t="shared" si="254"/>
        <v>0.71752357503188557</v>
      </c>
      <c r="H260" s="1">
        <f t="shared" si="254"/>
        <v>0.5975465652993337</v>
      </c>
      <c r="I260" s="1">
        <f t="shared" si="254"/>
        <v>2.8574214358896857</v>
      </c>
      <c r="J260" s="1">
        <f t="shared" si="254"/>
        <v>5.4029635420820377</v>
      </c>
      <c r="K260" s="1">
        <f t="shared" si="254"/>
        <v>5.5102733242157598</v>
      </c>
      <c r="L260" s="1">
        <f t="shared" ref="L260:O260" si="255">L249-L271</f>
        <v>5.4569899720576602</v>
      </c>
      <c r="M260" s="1">
        <f t="shared" si="255"/>
        <v>3.8026666455960778</v>
      </c>
      <c r="N260" s="1">
        <f t="shared" si="255"/>
        <v>3.8141874199856698</v>
      </c>
      <c r="O260" s="1">
        <f t="shared" si="255"/>
        <v>3.8971912762843748</v>
      </c>
      <c r="P260" s="1">
        <f t="shared" si="241"/>
        <v>4.1991146537090058</v>
      </c>
      <c r="Q260" s="1">
        <f t="shared" si="241"/>
        <v>4.4337068273026725</v>
      </c>
      <c r="S260" s="3"/>
    </row>
    <row r="261" spans="1:19" x14ac:dyDescent="0.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56">F250-F272</f>
        <v>0</v>
      </c>
      <c r="G261" s="1">
        <f t="shared" si="256"/>
        <v>0</v>
      </c>
      <c r="H261" s="1">
        <f t="shared" si="256"/>
        <v>0</v>
      </c>
      <c r="I261" s="1">
        <f t="shared" si="256"/>
        <v>4.4520985227122241E-4</v>
      </c>
      <c r="J261" s="1">
        <f t="shared" si="256"/>
        <v>1.4428033624991445E-3</v>
      </c>
      <c r="K261" s="1">
        <f t="shared" si="256"/>
        <v>1.401359721139753E-3</v>
      </c>
      <c r="L261" s="1">
        <f t="shared" ref="L261:O261" si="257">L250-L272</f>
        <v>1.0617980718417687E-3</v>
      </c>
      <c r="M261" s="1">
        <f t="shared" si="257"/>
        <v>2.2964846784185762E-3</v>
      </c>
      <c r="N261" s="1">
        <f t="shared" si="257"/>
        <v>2.3048119107455687E-3</v>
      </c>
      <c r="O261" s="1">
        <f t="shared" si="257"/>
        <v>4.8943686844785611E-3</v>
      </c>
      <c r="P261" s="1">
        <f t="shared" si="241"/>
        <v>3.7771821163057294E-3</v>
      </c>
      <c r="Q261" s="1">
        <f t="shared" si="241"/>
        <v>8.66219498360268E-3</v>
      </c>
      <c r="S261" s="3"/>
    </row>
    <row r="262" spans="1:19" x14ac:dyDescent="0.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1.4651430114204087</v>
      </c>
      <c r="G262" s="1">
        <f t="shared" ref="G262:K262" si="258">SUM(G263:G272)</f>
        <v>1.6180951903354264</v>
      </c>
      <c r="H262" s="1">
        <f t="shared" si="258"/>
        <v>1.5711858192312294</v>
      </c>
      <c r="I262" s="1">
        <f t="shared" si="258"/>
        <v>1.532042673500271</v>
      </c>
      <c r="J262" s="1">
        <f t="shared" si="258"/>
        <v>1.4320404607702963</v>
      </c>
      <c r="K262" s="1">
        <f t="shared" si="258"/>
        <v>1.1819083372886214</v>
      </c>
      <c r="L262" s="1">
        <f t="shared" ref="L262:O262" si="259">SUM(L263:L272)</f>
        <v>1.1323229787330231</v>
      </c>
      <c r="M262" s="1">
        <f t="shared" si="259"/>
        <v>1.0942315837389189</v>
      </c>
      <c r="N262" s="1">
        <f t="shared" si="259"/>
        <v>1.0858386498116326</v>
      </c>
      <c r="O262" s="1">
        <f t="shared" si="259"/>
        <v>1.0833751995558025</v>
      </c>
      <c r="P262" s="1">
        <f>SUM(P263:P272)</f>
        <v>1.090434220134646</v>
      </c>
      <c r="Q262" s="1">
        <f>SUM(Q263:Q272)</f>
        <v>1.1474605790885795</v>
      </c>
      <c r="R262" s="1"/>
      <c r="S262" s="3"/>
    </row>
    <row r="263" spans="1:19" x14ac:dyDescent="0.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60">F241*IFERROR(F120/F88,0)</f>
        <v>2.0198133167314298E-2</v>
      </c>
      <c r="G263" s="1">
        <f t="shared" si="260"/>
        <v>4.4544933611182095E-3</v>
      </c>
      <c r="H263" s="1">
        <f t="shared" si="260"/>
        <v>5.9747102093564318E-3</v>
      </c>
      <c r="I263" s="1">
        <f t="shared" si="260"/>
        <v>2.9387894641660688E-2</v>
      </c>
      <c r="J263" s="1">
        <f t="shared" si="260"/>
        <v>3.4835723504189529E-2</v>
      </c>
      <c r="K263" s="1">
        <f t="shared" si="260"/>
        <v>4.355631576709154E-3</v>
      </c>
      <c r="L263" s="1">
        <f t="shared" ref="L263:O263" si="261">L241*IFERROR(L120/L88,0)</f>
        <v>2.06524243020285E-3</v>
      </c>
      <c r="M263" s="1">
        <f t="shared" si="261"/>
        <v>1.1108661824393901E-3</v>
      </c>
      <c r="N263" s="1">
        <f t="shared" si="261"/>
        <v>5.0617283560491669E-4</v>
      </c>
      <c r="O263" s="1">
        <f t="shared" si="261"/>
        <v>5.2989513568434533E-4</v>
      </c>
      <c r="P263" s="1">
        <f t="shared" ref="P263:Q272" si="262">P241*IFERROR(P120/P88,0)</f>
        <v>7.9041514523692637E-4</v>
      </c>
      <c r="Q263" s="1">
        <f t="shared" si="262"/>
        <v>1.4672639239621732E-3</v>
      </c>
      <c r="S263" s="3"/>
    </row>
    <row r="264" spans="1:19" x14ac:dyDescent="0.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60"/>
        <v>0</v>
      </c>
      <c r="G264" s="1">
        <f t="shared" si="260"/>
        <v>0</v>
      </c>
      <c r="H264" s="1">
        <f t="shared" si="260"/>
        <v>0</v>
      </c>
      <c r="I264" s="1">
        <f t="shared" si="260"/>
        <v>0</v>
      </c>
      <c r="J264" s="1">
        <f t="shared" si="260"/>
        <v>0</v>
      </c>
      <c r="K264" s="1">
        <f t="shared" si="260"/>
        <v>0</v>
      </c>
      <c r="L264" s="1">
        <f t="shared" ref="L264:O264" si="263">L242*IFERROR(L121/L89,0)</f>
        <v>0</v>
      </c>
      <c r="M264" s="1">
        <f t="shared" si="263"/>
        <v>0</v>
      </c>
      <c r="N264" s="1">
        <f t="shared" si="263"/>
        <v>0</v>
      </c>
      <c r="O264" s="1">
        <f t="shared" si="263"/>
        <v>0</v>
      </c>
      <c r="P264" s="1">
        <f t="shared" si="262"/>
        <v>0</v>
      </c>
      <c r="Q264" s="1">
        <f t="shared" si="262"/>
        <v>0</v>
      </c>
      <c r="S264" s="3"/>
    </row>
    <row r="265" spans="1:19" x14ac:dyDescent="0.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60"/>
        <v>0</v>
      </c>
      <c r="G265" s="1">
        <f t="shared" si="260"/>
        <v>0</v>
      </c>
      <c r="H265" s="1">
        <f t="shared" si="260"/>
        <v>0</v>
      </c>
      <c r="I265" s="1">
        <f t="shared" si="260"/>
        <v>3.0181345824930803E-5</v>
      </c>
      <c r="J265" s="1">
        <f t="shared" si="260"/>
        <v>3.3166843162631166E-5</v>
      </c>
      <c r="K265" s="1">
        <f t="shared" si="260"/>
        <v>3.9406694271632679E-5</v>
      </c>
      <c r="L265" s="1">
        <f t="shared" ref="L265:O265" si="264">L243*IFERROR(L122/L90,0)</f>
        <v>3.6804957653540725E-5</v>
      </c>
      <c r="M265" s="1">
        <f t="shared" si="264"/>
        <v>6.2132985901696918E-5</v>
      </c>
      <c r="N265" s="1">
        <f t="shared" si="264"/>
        <v>4.5887504135920905E-5</v>
      </c>
      <c r="O265" s="1">
        <f t="shared" si="264"/>
        <v>6.647771603304268E-5</v>
      </c>
      <c r="P265" s="1">
        <f t="shared" si="262"/>
        <v>7.6093714683059062E-5</v>
      </c>
      <c r="Q265" s="1">
        <f t="shared" si="262"/>
        <v>1.5116999265613762E-4</v>
      </c>
      <c r="S265" s="3"/>
    </row>
    <row r="266" spans="1:19" x14ac:dyDescent="0.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60"/>
        <v>8.9937508938282655E-4</v>
      </c>
      <c r="G266" s="1">
        <f t="shared" si="260"/>
        <v>3.1120778922063733E-4</v>
      </c>
      <c r="H266" s="1">
        <f t="shared" si="260"/>
        <v>2.2163151967623785E-3</v>
      </c>
      <c r="I266" s="1">
        <f t="shared" si="260"/>
        <v>9.5250606090887505E-4</v>
      </c>
      <c r="J266" s="1">
        <f t="shared" si="260"/>
        <v>1.0732384417089795E-3</v>
      </c>
      <c r="K266" s="1">
        <f t="shared" si="260"/>
        <v>8.3132596374753463E-4</v>
      </c>
      <c r="L266" s="1">
        <f t="shared" ref="L266:O266" si="265">L244*IFERROR(L123/L91,0)</f>
        <v>7.7613221540354853E-4</v>
      </c>
      <c r="M266" s="1">
        <f t="shared" si="265"/>
        <v>9.0140491273254467E-4</v>
      </c>
      <c r="N266" s="1">
        <f t="shared" si="265"/>
        <v>7.1423361986364857E-4</v>
      </c>
      <c r="O266" s="1">
        <f t="shared" si="265"/>
        <v>7.5139447000026653E-4</v>
      </c>
      <c r="P266" s="1">
        <f t="shared" si="262"/>
        <v>3.2512489613312221E-3</v>
      </c>
      <c r="Q266" s="1">
        <f t="shared" si="262"/>
        <v>4.0594790548988445E-3</v>
      </c>
      <c r="S266" s="3"/>
    </row>
    <row r="267" spans="1:19" x14ac:dyDescent="0.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60"/>
        <v>0</v>
      </c>
      <c r="G267" s="1">
        <f t="shared" si="260"/>
        <v>0</v>
      </c>
      <c r="H267" s="1">
        <f t="shared" si="260"/>
        <v>0</v>
      </c>
      <c r="I267" s="1">
        <f t="shared" si="260"/>
        <v>0</v>
      </c>
      <c r="J267" s="1">
        <f t="shared" si="260"/>
        <v>0</v>
      </c>
      <c r="K267" s="1">
        <f t="shared" si="260"/>
        <v>0</v>
      </c>
      <c r="L267" s="1">
        <f t="shared" ref="L267:O267" si="266">L245*IFERROR(L124/L92,0)</f>
        <v>0</v>
      </c>
      <c r="M267" s="1">
        <f t="shared" si="266"/>
        <v>0</v>
      </c>
      <c r="N267" s="1">
        <f t="shared" si="266"/>
        <v>0</v>
      </c>
      <c r="O267" s="1">
        <f t="shared" si="266"/>
        <v>0</v>
      </c>
      <c r="P267" s="1">
        <f t="shared" si="262"/>
        <v>0</v>
      </c>
      <c r="Q267" s="1">
        <f t="shared" si="262"/>
        <v>0</v>
      </c>
      <c r="S267" s="3"/>
    </row>
    <row r="268" spans="1:19" x14ac:dyDescent="0.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60"/>
        <v>1.5839122707997442E-3</v>
      </c>
      <c r="G268" s="1">
        <f t="shared" si="260"/>
        <v>2.2213997545995488E-3</v>
      </c>
      <c r="H268" s="1">
        <f t="shared" si="260"/>
        <v>2.0086368457125584E-2</v>
      </c>
      <c r="I268" s="1">
        <f t="shared" si="260"/>
        <v>5.398255023510172E-2</v>
      </c>
      <c r="J268" s="1">
        <f t="shared" si="260"/>
        <v>4.5049706579520864E-2</v>
      </c>
      <c r="K268" s="1">
        <f t="shared" si="260"/>
        <v>3.5901522999686374E-2</v>
      </c>
      <c r="L268" s="1">
        <f t="shared" ref="L268:O268" si="267">L246*IFERROR(L125/L93,0)</f>
        <v>2.4143787788636753E-2</v>
      </c>
      <c r="M268" s="1">
        <f t="shared" si="267"/>
        <v>2.3643755196030562E-2</v>
      </c>
      <c r="N268" s="1">
        <f t="shared" si="267"/>
        <v>2.114942505281046E-2</v>
      </c>
      <c r="O268" s="1">
        <f t="shared" si="267"/>
        <v>1.9657810207573897E-2</v>
      </c>
      <c r="P268" s="1">
        <f t="shared" si="262"/>
        <v>1.8331036255934935E-2</v>
      </c>
      <c r="Q268" s="1">
        <f t="shared" si="262"/>
        <v>1.8455731517643164E-2</v>
      </c>
      <c r="S268" s="3"/>
    </row>
    <row r="269" spans="1:19" x14ac:dyDescent="0.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60"/>
        <v>0</v>
      </c>
      <c r="G269" s="1">
        <f t="shared" si="260"/>
        <v>0</v>
      </c>
      <c r="H269" s="1">
        <f t="shared" si="260"/>
        <v>0</v>
      </c>
      <c r="I269" s="1">
        <f t="shared" si="260"/>
        <v>0</v>
      </c>
      <c r="J269" s="1">
        <f t="shared" si="260"/>
        <v>0</v>
      </c>
      <c r="K269" s="1">
        <f t="shared" si="260"/>
        <v>0</v>
      </c>
      <c r="L269" s="1">
        <f t="shared" ref="L269:O269" si="268">L247*IFERROR(L126/L94,0)</f>
        <v>0</v>
      </c>
      <c r="M269" s="1">
        <f t="shared" si="268"/>
        <v>0</v>
      </c>
      <c r="N269" s="1">
        <f t="shared" si="268"/>
        <v>0</v>
      </c>
      <c r="O269" s="1">
        <f t="shared" si="268"/>
        <v>0</v>
      </c>
      <c r="P269" s="1">
        <f t="shared" si="262"/>
        <v>0</v>
      </c>
      <c r="Q269" s="1">
        <f t="shared" si="262"/>
        <v>0</v>
      </c>
      <c r="S269" s="3"/>
    </row>
    <row r="270" spans="1:19" x14ac:dyDescent="0.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60"/>
        <v>1.4243186639473009</v>
      </c>
      <c r="G270" s="1">
        <f t="shared" si="260"/>
        <v>1.5784079148783152</v>
      </c>
      <c r="H270" s="1">
        <f t="shared" si="260"/>
        <v>1.4830000296085248</v>
      </c>
      <c r="I270" s="1">
        <f t="shared" si="260"/>
        <v>1.3239856386096416</v>
      </c>
      <c r="J270" s="1">
        <f t="shared" si="260"/>
        <v>1.164974591514562</v>
      </c>
      <c r="K270" s="1">
        <f t="shared" si="260"/>
        <v>1.0059641399662935</v>
      </c>
      <c r="L270" s="1">
        <f t="shared" ref="L270:O270" si="269">L248*IFERROR(L127/L95,0)</f>
        <v>1.0059655989802256</v>
      </c>
      <c r="M270" s="1">
        <f t="shared" si="269"/>
        <v>1.0059699135650677</v>
      </c>
      <c r="N270" s="1">
        <f t="shared" si="269"/>
        <v>1.0059713096982754</v>
      </c>
      <c r="O270" s="1">
        <f t="shared" si="269"/>
        <v>1.0059790180160655</v>
      </c>
      <c r="P270" s="1">
        <f t="shared" si="262"/>
        <v>1.0059879505675899</v>
      </c>
      <c r="Q270" s="1">
        <f t="shared" si="262"/>
        <v>1.0512924271647559</v>
      </c>
      <c r="S270" s="3"/>
    </row>
    <row r="271" spans="1:19" x14ac:dyDescent="0.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60"/>
        <v>1.8142926945610954E-2</v>
      </c>
      <c r="G271" s="1">
        <f t="shared" si="260"/>
        <v>3.2700174552172723E-2</v>
      </c>
      <c r="H271" s="1">
        <f t="shared" si="260"/>
        <v>5.990839575946022E-2</v>
      </c>
      <c r="I271" s="1">
        <f t="shared" si="260"/>
        <v>0.12368463152032894</v>
      </c>
      <c r="J271" s="1">
        <f t="shared" si="260"/>
        <v>0.18602435808104043</v>
      </c>
      <c r="K271" s="1">
        <f t="shared" si="260"/>
        <v>0.134782032639126</v>
      </c>
      <c r="L271" s="1">
        <f t="shared" ref="L271:O271" si="270">L249*IFERROR(L128/L96,0)</f>
        <v>9.9316087855792906E-2</v>
      </c>
      <c r="M271" s="1">
        <f t="shared" si="270"/>
        <v>6.2505762774205054E-2</v>
      </c>
      <c r="N271" s="1">
        <f t="shared" si="270"/>
        <v>5.7416925581454711E-2</v>
      </c>
      <c r="O271" s="1">
        <f t="shared" si="270"/>
        <v>5.6319873526422447E-2</v>
      </c>
      <c r="P271" s="1">
        <f t="shared" si="262"/>
        <v>6.1941757721051413E-2</v>
      </c>
      <c r="Q271" s="1">
        <f t="shared" si="262"/>
        <v>7.1894047030357219E-2</v>
      </c>
      <c r="S271" s="3"/>
    </row>
    <row r="272" spans="1:19" x14ac:dyDescent="0.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60"/>
        <v>0</v>
      </c>
      <c r="G272" s="1">
        <f t="shared" si="260"/>
        <v>0</v>
      </c>
      <c r="H272" s="1">
        <f t="shared" si="260"/>
        <v>0</v>
      </c>
      <c r="I272" s="1">
        <f t="shared" si="260"/>
        <v>1.9271086804260996E-5</v>
      </c>
      <c r="J272" s="1">
        <f t="shared" si="260"/>
        <v>4.9675806111888573E-5</v>
      </c>
      <c r="K272" s="1">
        <f t="shared" si="260"/>
        <v>3.4277448787115561E-5</v>
      </c>
      <c r="L272" s="1">
        <f t="shared" ref="L272:O272" si="271">L250*IFERROR(L129/L97,0)</f>
        <v>1.9324505107782952E-5</v>
      </c>
      <c r="M272" s="1">
        <f t="shared" si="271"/>
        <v>3.774812254186622E-5</v>
      </c>
      <c r="N272" s="1">
        <f t="shared" si="271"/>
        <v>3.4695519487352819E-5</v>
      </c>
      <c r="O272" s="1">
        <f t="shared" si="271"/>
        <v>7.0730484022925129E-5</v>
      </c>
      <c r="P272" s="1">
        <f t="shared" si="262"/>
        <v>5.5717768818205573E-5</v>
      </c>
      <c r="Q272" s="1">
        <f t="shared" si="262"/>
        <v>1.4046040430601119E-4</v>
      </c>
      <c r="S272" s="3"/>
    </row>
    <row r="273" spans="1:19" x14ac:dyDescent="0.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1.9348736538659803</v>
      </c>
      <c r="G273" s="1">
        <f t="shared" ref="G273:K273" si="272">SUM(G274:G275)</f>
        <v>1.8587811183256313</v>
      </c>
      <c r="H273" s="1">
        <f t="shared" si="272"/>
        <v>2.5503153117250594</v>
      </c>
      <c r="I273" s="1">
        <f t="shared" si="272"/>
        <v>2.2433372211164957</v>
      </c>
      <c r="J273" s="1">
        <f t="shared" si="272"/>
        <v>1.9426765966661987</v>
      </c>
      <c r="K273" s="1">
        <f t="shared" si="272"/>
        <v>1.6589290504082113</v>
      </c>
      <c r="L273" s="1">
        <f t="shared" ref="L273:O273" si="273">SUM(L274:L275)</f>
        <v>1.3779617515931764</v>
      </c>
      <c r="M273" s="1">
        <f t="shared" si="273"/>
        <v>1.0997828432070569</v>
      </c>
      <c r="N273" s="1">
        <f t="shared" si="273"/>
        <v>1.0997740431057907</v>
      </c>
      <c r="O273" s="1">
        <f t="shared" si="273"/>
        <v>1.099782216820606</v>
      </c>
      <c r="P273" s="1">
        <f>SUM(P274:P275)</f>
        <v>1.0997758406667328</v>
      </c>
      <c r="Q273" s="1">
        <f>SUM(Q274:Q275)</f>
        <v>1.0998002814186338</v>
      </c>
      <c r="S273" s="3"/>
    </row>
    <row r="274" spans="1:19" x14ac:dyDescent="0.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1.9348736538659803</v>
      </c>
      <c r="G274" s="1">
        <f>'[1]Electricity and CHPs'!C$106-G275</f>
        <v>1.8587811183256313</v>
      </c>
      <c r="H274" s="1">
        <f>'[1]Electricity and CHPs'!D$106-H275</f>
        <v>2.5503153117250594</v>
      </c>
      <c r="I274" s="1">
        <f>'[1]Electricity and CHPs'!E$106-I275</f>
        <v>2.2433372211164957</v>
      </c>
      <c r="J274" s="1">
        <f>'[1]Electricity and CHPs'!F$106-J275</f>
        <v>1.9426765966661987</v>
      </c>
      <c r="K274" s="1">
        <f>'[1]Electricity and CHPs'!G$106-K275</f>
        <v>1.6589290504082113</v>
      </c>
      <c r="L274" s="1">
        <f>'[1]Electricity and CHPs'!H$106-L275</f>
        <v>1.3779617515931764</v>
      </c>
      <c r="M274" s="1">
        <f>'[1]Electricity and CHPs'!I$106-M275</f>
        <v>1.0997828432070569</v>
      </c>
      <c r="N274" s="1">
        <f>'[1]Electricity and CHPs'!J$106-N275</f>
        <v>1.0997740431057907</v>
      </c>
      <c r="O274" s="1">
        <f>'[1]Electricity and CHPs'!K$106-O275</f>
        <v>1.099782216820606</v>
      </c>
      <c r="P274" s="1">
        <f>'[1]Electricity and CHPs'!L$106-P275</f>
        <v>1.0997758406667328</v>
      </c>
      <c r="Q274" s="1">
        <f>'[1]Electricity and CHPs'!M$106-Q275</f>
        <v>1.0998002814186338</v>
      </c>
      <c r="S274" s="3"/>
    </row>
    <row r="275" spans="1:19" x14ac:dyDescent="0.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SUMPRODUCT((ISNUMBER(SEARCH("itot*CHPWST*ccs*",[1]OUT_Electricity_CHP!$B$1:$B$10000)))*1,([1]OUT_Electricity_CHP!$C$1:$C$10000="Var_Fout")*1,+([1]OUT_Electricity_CHP!$D$1:$D$10000="ITOT_LTH_CHP")*1,[1]OUT_Electricity_CHP!I$1:I$10000)</f>
        <v>0</v>
      </c>
      <c r="K275" s="10" cm="1">
        <f t="array" ref="K275">SUMPRODUCT((ISNUMBER(SEARCH("itot*CHPWST*ccs*",[1]OUT_Electricity_CHP!$B$1:$B$10000)))*1,([1]OUT_Electricity_CHP!$C$1:$C$10000="Var_Fout")*1,+([1]OUT_Electricity_CHP!$D$1:$D$10000="ITOT_LTH_CHP")*1,[1]OUT_Electricity_CHP!J$1:J$10000)</f>
        <v>0</v>
      </c>
      <c r="L275" s="10" cm="1">
        <f t="array" ref="L275">SUMPRODUCT((ISNUMBER(SEARCH("itot*CHPWST*ccs*",[1]OUT_Electricity_CHP!$B$1:$B$10000)))*1,([1]OUT_Electricity_CHP!$C$1:$C$10000="Var_Fout")*1,+([1]OUT_Electricity_CHP!$D$1:$D$10000="ITOT_LTH_CHP")*1,[1]OUT_Electricity_CHP!K$1:K$10000)</f>
        <v>0</v>
      </c>
      <c r="M275" s="10" cm="1">
        <f t="array" ref="M275">SUMPRODUCT((ISNUMBER(SEARCH("itot*CHPWST*ccs*",[1]OUT_Electricity_CHP!$B$1:$B$10000)))*1,([1]OUT_Electricity_CHP!$C$1:$C$10000="Var_Fout")*1,+([1]OUT_Electricity_CHP!$D$1:$D$10000="ITOT_LTH_CHP")*1,[1]OUT_Electricity_CHP!L$1:L$10000)</f>
        <v>0</v>
      </c>
      <c r="N275" s="10" cm="1">
        <f t="array" ref="N275">SUMPRODUCT((ISNUMBER(SEARCH("itot*CHPWST*ccs*",[1]OUT_Electricity_CHP!$B$1:$B$10000)))*1,([1]OUT_Electricity_CHP!$C$1:$C$10000="Var_Fout")*1,+([1]OUT_Electricity_CHP!$D$1:$D$10000="ITOT_LTH_CHP")*1,[1]OUT_Electricity_CHP!M$1:M$10000)</f>
        <v>0</v>
      </c>
      <c r="O275" s="10" cm="1">
        <f t="array" ref="O275">SUMPRODUCT((ISNUMBER(SEARCH("itot*CHPWST*ccs*",[1]OUT_Electricity_CHP!$B$1:$B$10000)))*1,([1]OUT_Electricity_CHP!$C$1:$C$10000="Var_Fout")*1,+([1]OUT_Electricity_CHP!$D$1:$D$10000="ITOT_LTH_CHP")*1,[1]OUT_Electricity_CHP!N$1:N$10000)</f>
        <v>0</v>
      </c>
      <c r="P275" s="10" cm="1">
        <f t="array" ref="P275">SUMPRODUCT((ISNUMBER(SEARCH("itot*CHPWST*ccs*",[1]OUT_Electricity_CHP!$B$1:$B$10000)))*1,([1]OUT_Electricity_CHP!$C$1:$C$10000="Var_Fout")*1,+([1]OUT_Electricity_CHP!$D$1:$D$10000="ITOT_LTH_CHP")*1,[1]OUT_Electricity_CHP!O$1:O$10000)</f>
        <v>0</v>
      </c>
      <c r="Q275" s="10" cm="1">
        <f t="array" ref="Q275">SUMPRODUCT((ISNUMBER(SEARCH("itot*CHPWST*ccs*",[1]OUT_Electricity_CHP!$B$1:$B$10000)))*1,([1]OUT_Electricity_CHP!$C$1:$C$10000="Var_Fout")*1,+([1]OUT_Electricity_CHP!$D$1:$D$10000="ITOT_LTH_CHP")*1,[1]OUT_Electricity_CHP!P$1:P$10000)</f>
        <v>0</v>
      </c>
      <c r="S275" s="3"/>
    </row>
    <row r="276" spans="1:19" x14ac:dyDescent="0.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74">SUM(G277:G278)</f>
        <v>0</v>
      </c>
      <c r="H276" s="10">
        <f t="shared" si="274"/>
        <v>0</v>
      </c>
      <c r="I276" s="10">
        <f t="shared" si="274"/>
        <v>0</v>
      </c>
      <c r="J276" s="10">
        <f t="shared" si="274"/>
        <v>0</v>
      </c>
      <c r="K276" s="10">
        <f t="shared" si="274"/>
        <v>0</v>
      </c>
      <c r="L276" s="10">
        <f t="shared" ref="L276:O276" si="275">SUM(L277:L278)</f>
        <v>0</v>
      </c>
      <c r="M276" s="10">
        <f t="shared" si="275"/>
        <v>0</v>
      </c>
      <c r="N276" s="10">
        <f t="shared" si="275"/>
        <v>0</v>
      </c>
      <c r="O276" s="10">
        <f t="shared" si="275"/>
        <v>0</v>
      </c>
      <c r="P276" s="10">
        <f>SUM(P277:P278)</f>
        <v>0</v>
      </c>
      <c r="Q276" s="10">
        <f>SUM(Q277:Q278)</f>
        <v>0</v>
      </c>
      <c r="S276" s="3"/>
    </row>
    <row r="277" spans="1:19" x14ac:dyDescent="0.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S277" s="3"/>
    </row>
    <row r="278" spans="1:19" x14ac:dyDescent="0.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S278" s="3"/>
    </row>
    <row r="279" spans="1:19" x14ac:dyDescent="0.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1.9348736538659803</v>
      </c>
      <c r="G279" s="1">
        <f t="shared" ref="G279:K279" si="276">SUM(G280:G281)</f>
        <v>1.8587811183256313</v>
      </c>
      <c r="H279" s="1">
        <f t="shared" si="276"/>
        <v>2.5503153117250594</v>
      </c>
      <c r="I279" s="1">
        <f t="shared" si="276"/>
        <v>2.2433372211164957</v>
      </c>
      <c r="J279" s="1">
        <f t="shared" si="276"/>
        <v>1.9426765966661987</v>
      </c>
      <c r="K279" s="1">
        <f t="shared" si="276"/>
        <v>1.6589290504082113</v>
      </c>
      <c r="L279" s="1">
        <f t="shared" ref="L279:O279" si="277">SUM(L280:L281)</f>
        <v>1.3779617515931764</v>
      </c>
      <c r="M279" s="1">
        <f t="shared" si="277"/>
        <v>1.0997828432070569</v>
      </c>
      <c r="N279" s="1">
        <f t="shared" si="277"/>
        <v>1.0997740431057907</v>
      </c>
      <c r="O279" s="1">
        <f t="shared" si="277"/>
        <v>1.099782216820606</v>
      </c>
      <c r="P279" s="1">
        <f>SUM(P280:P281)</f>
        <v>1.0997758406667328</v>
      </c>
      <c r="Q279" s="1">
        <f>SUM(Q280:Q281)</f>
        <v>1.0998002814186338</v>
      </c>
      <c r="S279" s="3"/>
    </row>
    <row r="280" spans="1:19" x14ac:dyDescent="0.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1.9348736538659803</v>
      </c>
      <c r="G280" s="1">
        <f t="shared" ref="G280:K280" si="278">G274</f>
        <v>1.8587811183256313</v>
      </c>
      <c r="H280" s="1">
        <f t="shared" si="278"/>
        <v>2.5503153117250594</v>
      </c>
      <c r="I280" s="1">
        <f t="shared" si="278"/>
        <v>2.2433372211164957</v>
      </c>
      <c r="J280" s="1">
        <f t="shared" si="278"/>
        <v>1.9426765966661987</v>
      </c>
      <c r="K280" s="1">
        <f t="shared" si="278"/>
        <v>1.6589290504082113</v>
      </c>
      <c r="L280" s="1">
        <f t="shared" ref="L280:O280" si="279">L274</f>
        <v>1.3779617515931764</v>
      </c>
      <c r="M280" s="1">
        <f t="shared" si="279"/>
        <v>1.0997828432070569</v>
      </c>
      <c r="N280" s="1">
        <f t="shared" si="279"/>
        <v>1.0997740431057907</v>
      </c>
      <c r="O280" s="1">
        <f t="shared" si="279"/>
        <v>1.099782216820606</v>
      </c>
      <c r="P280" s="1">
        <f>P274</f>
        <v>1.0997758406667328</v>
      </c>
      <c r="Q280" s="1">
        <f>Q274</f>
        <v>1.0998002814186338</v>
      </c>
      <c r="S280" s="3"/>
    </row>
    <row r="281" spans="1:19" x14ac:dyDescent="0.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80">F275</f>
        <v>0</v>
      </c>
      <c r="G281" s="1">
        <f t="shared" si="280"/>
        <v>0</v>
      </c>
      <c r="H281" s="1">
        <f t="shared" si="280"/>
        <v>0</v>
      </c>
      <c r="I281" s="1">
        <f t="shared" si="280"/>
        <v>0</v>
      </c>
      <c r="J281" s="1">
        <f t="shared" si="280"/>
        <v>0</v>
      </c>
      <c r="K281" s="1">
        <f t="shared" si="280"/>
        <v>0</v>
      </c>
      <c r="L281" s="1">
        <f t="shared" ref="L281:O281" si="281">L275</f>
        <v>0</v>
      </c>
      <c r="M281" s="1">
        <f t="shared" si="281"/>
        <v>0</v>
      </c>
      <c r="N281" s="1">
        <f t="shared" si="281"/>
        <v>0</v>
      </c>
      <c r="O281" s="1">
        <f t="shared" si="281"/>
        <v>0</v>
      </c>
      <c r="P281" s="1">
        <f>P275</f>
        <v>0</v>
      </c>
      <c r="Q281" s="1">
        <f>Q275</f>
        <v>0</v>
      </c>
      <c r="S281" s="3"/>
    </row>
    <row r="282" spans="1:19" x14ac:dyDescent="0.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0.65988362536169198</v>
      </c>
      <c r="G282" s="1">
        <f t="shared" ref="G282:K282" si="282">SUM(G283:G287)</f>
        <v>1.8165910149088584</v>
      </c>
      <c r="H282" s="1">
        <f t="shared" si="282"/>
        <v>3.4334172848948183</v>
      </c>
      <c r="I282" s="1">
        <f t="shared" si="282"/>
        <v>4.3540428568348473</v>
      </c>
      <c r="J282" s="1">
        <f t="shared" si="282"/>
        <v>5.3900506391256728</v>
      </c>
      <c r="K282" s="1">
        <f t="shared" si="282"/>
        <v>6.3376289561428027</v>
      </c>
      <c r="L282" s="1">
        <f t="shared" ref="L282:O282" si="283">SUM(L283:L287)</f>
        <v>8.3743760675606378</v>
      </c>
      <c r="M282" s="1">
        <f t="shared" si="283"/>
        <v>10.729815275604624</v>
      </c>
      <c r="N282" s="1">
        <f t="shared" si="283"/>
        <v>11.681975244983891</v>
      </c>
      <c r="O282" s="1">
        <f t="shared" si="283"/>
        <v>11.664371402247117</v>
      </c>
      <c r="P282" s="1">
        <f>SUM(P283:P287)</f>
        <v>11.597926339956485</v>
      </c>
      <c r="Q282" s="1">
        <f>SUM(Q283:Q287)</f>
        <v>11.723042929763141</v>
      </c>
      <c r="S282" s="3"/>
    </row>
    <row r="283" spans="1:19" x14ac:dyDescent="0.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0.65988362536169198</v>
      </c>
      <c r="G283" s="1">
        <f>'[1]Electricity and CHPs'!C$105-G284</f>
        <v>1.8165910149088584</v>
      </c>
      <c r="H283" s="1">
        <f>'[1]Electricity and CHPs'!D$105-H284</f>
        <v>3.4334172848948183</v>
      </c>
      <c r="I283" s="1">
        <f>'[1]Electricity and CHPs'!E$105-I284</f>
        <v>4.3340595226111684</v>
      </c>
      <c r="J283" s="1">
        <f>'[1]Electricity and CHPs'!F$105-J284</f>
        <v>5.3649708129766145</v>
      </c>
      <c r="K283" s="1">
        <f>'[1]Electricity and CHPs'!G$105-K284</f>
        <v>6.3150029916097248</v>
      </c>
      <c r="L283" s="1">
        <f>'[1]Electricity and CHPs'!H$105-L284</f>
        <v>8.34982844492799</v>
      </c>
      <c r="M283" s="1">
        <f>'[1]Electricity and CHPs'!I$105-M284</f>
        <v>10.6718039876924</v>
      </c>
      <c r="N283" s="1">
        <f>'[1]Electricity and CHPs'!J$105-N284</f>
        <v>11.627270334370458</v>
      </c>
      <c r="O283" s="1">
        <f>'[1]Electricity and CHPs'!K$105-O284</f>
        <v>11.60727045854185</v>
      </c>
      <c r="P283" s="1">
        <f>'[1]Electricity and CHPs'!L$105-P284</f>
        <v>11.549141238348669</v>
      </c>
      <c r="Q283" s="1">
        <f>'[1]Electricity and CHPs'!M$105-Q284</f>
        <v>11.627512601713196</v>
      </c>
      <c r="S283" s="3"/>
    </row>
    <row r="284" spans="1:19" x14ac:dyDescent="0.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SUMPRODUCT((ISNUMBER(SEARCH("itot*CHPWOD*ccs",[1]OUT_Electricity_CHP!$B$1:$B$10000)))*1,([1]OUT_Electricity_CHP!$C$1:$C$10000="Var_Fout")*1,([1]OUT_Electricity_CHP!$D$1:$D$10000="ITOT_LTH_CHP")*1,[1]OUT_Electricity_CHP!I$1:I$10000)</f>
        <v>0</v>
      </c>
      <c r="K284" s="1" cm="1">
        <f t="array" ref="K284">SUMPRODUCT((ISNUMBER(SEARCH("itot*CHPWOD*ccs",[1]OUT_Electricity_CHP!$B$1:$B$10000)))*1,([1]OUT_Electricity_CHP!$C$1:$C$10000="Var_Fout")*1,([1]OUT_Electricity_CHP!$D$1:$D$10000="ITOT_LTH_CHP")*1,[1]OUT_Electricity_CHP!J$1:J$10000)</f>
        <v>0</v>
      </c>
      <c r="L284" s="1" cm="1">
        <f t="array" ref="L284">SUMPRODUCT((ISNUMBER(SEARCH("itot*CHPWOD*ccs",[1]OUT_Electricity_CHP!$B$1:$B$10000)))*1,([1]OUT_Electricity_CHP!$C$1:$C$10000="Var_Fout")*1,([1]OUT_Electricity_CHP!$D$1:$D$10000="ITOT_LTH_CHP")*1,[1]OUT_Electricity_CHP!K$1:K$10000)</f>
        <v>0</v>
      </c>
      <c r="M284" s="1" cm="1">
        <f t="array" ref="M284">SUMPRODUCT((ISNUMBER(SEARCH("itot*CHPWOD*ccs",[1]OUT_Electricity_CHP!$B$1:$B$10000)))*1,([1]OUT_Electricity_CHP!$C$1:$C$10000="Var_Fout")*1,([1]OUT_Electricity_CHP!$D$1:$D$10000="ITOT_LTH_CHP")*1,[1]OUT_Electricity_CHP!L$1:L$10000)</f>
        <v>0</v>
      </c>
      <c r="N284" s="1" cm="1">
        <f t="array" ref="N284">SUMPRODUCT((ISNUMBER(SEARCH("itot*CHPWOD*ccs",[1]OUT_Electricity_CHP!$B$1:$B$10000)))*1,([1]OUT_Electricity_CHP!$C$1:$C$10000="Var_Fout")*1,([1]OUT_Electricity_CHP!$D$1:$D$10000="ITOT_LTH_CHP")*1,[1]OUT_Electricity_CHP!M$1:M$10000)</f>
        <v>0</v>
      </c>
      <c r="O284" s="1" cm="1">
        <f t="array" ref="O284">SUMPRODUCT((ISNUMBER(SEARCH("itot*CHPWOD*ccs",[1]OUT_Electricity_CHP!$B$1:$B$10000)))*1,([1]OUT_Electricity_CHP!$C$1:$C$10000="Var_Fout")*1,([1]OUT_Electricity_CHP!$D$1:$D$10000="ITOT_LTH_CHP")*1,[1]OUT_Electricity_CHP!N$1:N$10000)</f>
        <v>0</v>
      </c>
      <c r="P284" s="1" cm="1">
        <f t="array" ref="P284">SUMPRODUCT((ISNUMBER(SEARCH("itot*CHPWOD*ccs",[1]OUT_Electricity_CHP!$B$1:$B$10000)))*1,([1]OUT_Electricity_CHP!$C$1:$C$10000="Var_Fout")*1,([1]OUT_Electricity_CHP!$D$1:$D$10000="ITOT_LTH_CHP")*1,[1]OUT_Electricity_CHP!O$1:O$10000)</f>
        <v>0</v>
      </c>
      <c r="Q284" s="1" cm="1">
        <f t="array" ref="Q284">SUMPRODUCT((ISNUMBER(SEARCH("itot*CHPWOD*ccs",[1]OUT_Electricity_CHP!$B$1:$B$10000)))*1,([1]OUT_Electricity_CHP!$C$1:$C$10000="Var_Fout")*1,([1]OUT_Electricity_CHP!$D$1:$D$10000="ITOT_LTH_CHP")*1,[1]OUT_Electricity_CHP!P$1:P$10000)</f>
        <v>0</v>
      </c>
      <c r="S284" s="3"/>
    </row>
    <row r="285" spans="1:19" x14ac:dyDescent="0.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3.6451928445676617E-3</v>
      </c>
      <c r="J285" s="1">
        <f>'[1]Electricity and CHPs'!F$110</f>
        <v>7.2538161992657304E-3</v>
      </c>
      <c r="K285" s="1">
        <f>'[1]Electricity and CHPs'!G$110</f>
        <v>7.2224207267141353E-3</v>
      </c>
      <c r="L285" s="1">
        <f>'[1]Electricity and CHPs'!H$110</f>
        <v>6.998103463586423E-3</v>
      </c>
      <c r="M285" s="1">
        <f>'[1]Electricity and CHPs'!I$110</f>
        <v>1.6037596461400197E-2</v>
      </c>
      <c r="N285" s="1">
        <f>'[1]Electricity and CHPs'!J$110</f>
        <v>1.5093351130045202E-2</v>
      </c>
      <c r="O285" s="1">
        <f>'[1]Electricity and CHPs'!K$110</f>
        <v>1.9187547653730555E-2</v>
      </c>
      <c r="P285" s="1">
        <f>'[1]Electricity and CHPs'!L$110</f>
        <v>1.237060574137577E-2</v>
      </c>
      <c r="Q285" s="1">
        <f>'[1]Electricity and CHPs'!M$110</f>
        <v>2.3031138019378387E-2</v>
      </c>
      <c r="S285" s="3"/>
    </row>
    <row r="286" spans="1:19" x14ac:dyDescent="0.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9.9855404635309664E-3</v>
      </c>
      <c r="J286" s="1">
        <f>'[1]Electricity and CHPs'!F$113</f>
        <v>1.2979527565768621E-2</v>
      </c>
      <c r="K286" s="1">
        <f>'[1]Electricity and CHPs'!G$113</f>
        <v>1.1679286392965452E-2</v>
      </c>
      <c r="L286" s="1">
        <f>'[1]Electricity and CHPs'!H$113</f>
        <v>1.2083051046638718E-2</v>
      </c>
      <c r="M286" s="1">
        <f>'[1]Electricity and CHPs'!I$113</f>
        <v>3.3261065198608761E-2</v>
      </c>
      <c r="N286" s="1">
        <f>'[1]Electricity and CHPs'!J$113</f>
        <v>3.1748991165537956E-2</v>
      </c>
      <c r="O286" s="1">
        <f>'[1]Electricity and CHPs'!K$113</f>
        <v>2.7595772880800319E-2</v>
      </c>
      <c r="P286" s="1">
        <f>'[1]Electricity and CHPs'!L$113</f>
        <v>2.6091436156744391E-2</v>
      </c>
      <c r="Q286" s="1">
        <f>'[1]Electricity and CHPs'!M$113</f>
        <v>4.9903611777248863E-2</v>
      </c>
      <c r="S286" s="3"/>
    </row>
    <row r="287" spans="1:19" x14ac:dyDescent="0.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6.3526009155800431E-3</v>
      </c>
      <c r="J287" s="1">
        <f>'[1]Electricity and CHPs'!F$117</f>
        <v>4.8464823840237477E-3</v>
      </c>
      <c r="K287" s="1">
        <f>'[1]Electricity and CHPs'!G$117</f>
        <v>3.7242574133983064E-3</v>
      </c>
      <c r="L287" s="1">
        <f>'[1]Electricity and CHPs'!H$117</f>
        <v>5.4664681224232993E-3</v>
      </c>
      <c r="M287" s="1">
        <f>'[1]Electricity and CHPs'!I$117</f>
        <v>8.7126262522155412E-3</v>
      </c>
      <c r="N287" s="1">
        <f>'[1]Electricity and CHPs'!J$117</f>
        <v>7.8625683178506003E-3</v>
      </c>
      <c r="O287" s="1">
        <f>'[1]Electricity and CHPs'!K$117</f>
        <v>1.0317623170735051E-2</v>
      </c>
      <c r="P287" s="1">
        <f>'[1]Electricity and CHPs'!L$117</f>
        <v>1.0323059709696934E-2</v>
      </c>
      <c r="Q287" s="1">
        <f>'[1]Electricity and CHPs'!M$117</f>
        <v>2.2595578253317736E-2</v>
      </c>
      <c r="S287" s="3"/>
    </row>
    <row r="288" spans="1:19" x14ac:dyDescent="0.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84">SUM(G289:G290)</f>
        <v>0</v>
      </c>
      <c r="H288" s="1">
        <f t="shared" si="284"/>
        <v>0</v>
      </c>
      <c r="I288" s="1">
        <f t="shared" si="284"/>
        <v>2.2154215934450366E-3</v>
      </c>
      <c r="J288" s="1">
        <f t="shared" si="284"/>
        <v>5.7838091678679513E-3</v>
      </c>
      <c r="K288" s="1">
        <f t="shared" si="284"/>
        <v>7.6815772756588319E-3</v>
      </c>
      <c r="L288" s="1">
        <f t="shared" ref="L288:O288" si="285">SUM(L289:L290)</f>
        <v>7.4477102163307048E-3</v>
      </c>
      <c r="M288" s="1">
        <f t="shared" si="285"/>
        <v>1.9835935712358678E-2</v>
      </c>
      <c r="N288" s="1">
        <f t="shared" si="285"/>
        <v>1.7089416781534143E-2</v>
      </c>
      <c r="O288" s="1">
        <f t="shared" si="285"/>
        <v>4.7993421073594916E-2</v>
      </c>
      <c r="P288" s="1">
        <f>SUM(P289:P290)</f>
        <v>4.6666255168417811E-2</v>
      </c>
      <c r="Q288" s="1">
        <f>SUM(Q289:Q290)</f>
        <v>6.2628504293440301E-2</v>
      </c>
      <c r="S288" s="3"/>
    </row>
    <row r="289" spans="1:19" x14ac:dyDescent="0.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1.327989840028848E-3</v>
      </c>
      <c r="J289" s="1">
        <f>'[1]Electricity and CHPs'!F$108</f>
        <v>3.7827351381642042E-3</v>
      </c>
      <c r="K289" s="1">
        <f>'[1]Electricity and CHPs'!G$108</f>
        <v>5.6334770383172838E-3</v>
      </c>
      <c r="L289" s="1">
        <f>'[1]Electricity and CHPs'!H$108</f>
        <v>5.1191833240696333E-3</v>
      </c>
      <c r="M289" s="1">
        <f>'[1]Electricity and CHPs'!I$108</f>
        <v>1.4130128054023808E-2</v>
      </c>
      <c r="N289" s="1">
        <f>'[1]Electricity and CHPs'!J$108</f>
        <v>1.1842125280817789E-2</v>
      </c>
      <c r="O289" s="1">
        <f>'[1]Electricity and CHPs'!K$108</f>
        <v>3.5182211445740991E-2</v>
      </c>
      <c r="P289" s="1">
        <f>'[1]Electricity and CHPs'!L$108</f>
        <v>3.6987152064979677E-2</v>
      </c>
      <c r="Q289" s="1">
        <f>'[1]Electricity and CHPs'!M$108</f>
        <v>4.4139890219299795E-2</v>
      </c>
      <c r="S289" s="3"/>
    </row>
    <row r="290" spans="1:19" x14ac:dyDescent="0.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8.8743175341618832E-4</v>
      </c>
      <c r="J290" s="1">
        <f>'[1]Electricity and CHPs'!F$119</f>
        <v>2.0010740297037467E-3</v>
      </c>
      <c r="K290" s="1">
        <f>'[1]Electricity and CHPs'!G$119</f>
        <v>2.0481002373415481E-3</v>
      </c>
      <c r="L290" s="1">
        <f>'[1]Electricity and CHPs'!H$119</f>
        <v>2.3285268922610715E-3</v>
      </c>
      <c r="M290" s="1">
        <f>'[1]Electricity and CHPs'!I$119</f>
        <v>5.7058076583348695E-3</v>
      </c>
      <c r="N290" s="1">
        <f>'[1]Electricity and CHPs'!J$119</f>
        <v>5.2472915007163523E-3</v>
      </c>
      <c r="O290" s="1">
        <f>'[1]Electricity and CHPs'!K$119</f>
        <v>1.2811209627853924E-2</v>
      </c>
      <c r="P290" s="1">
        <f>'[1]Electricity and CHPs'!L$119</f>
        <v>9.6791031034381379E-3</v>
      </c>
      <c r="Q290" s="1">
        <f>'[1]Electricity and CHPs'!M$119</f>
        <v>1.8488614074140507E-2</v>
      </c>
      <c r="S290" s="3"/>
    </row>
    <row r="291" spans="1:19" x14ac:dyDescent="0.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437.67567574854451</v>
      </c>
      <c r="G291" s="3">
        <f t="shared" ref="G291" si="286">SUM(G292,G294,G302,G310,G358,G379,G387,G389,G397,G401,G395)</f>
        <v>420.70932023411325</v>
      </c>
      <c r="H291" s="3">
        <f t="shared" ref="H291" si="287">SUM(H292,H294,H302,H310,H358,H379,H387,H389,H397,H401,H395)</f>
        <v>424.33946715762113</v>
      </c>
      <c r="I291" s="3">
        <f t="shared" ref="I291" si="288">SUM(I292,I294,I302,I310,I358,I379,I387,I389,I397,I401,I395)</f>
        <v>458.56170797348074</v>
      </c>
      <c r="J291" s="3">
        <f t="shared" ref="J291" si="289">SUM(J292,J294,J302,J310,J358,J379,J387,J389,J397,J401,J395)</f>
        <v>416.50777442421935</v>
      </c>
      <c r="K291" s="3">
        <f t="shared" ref="K291" si="290">SUM(K292,K294,K302,K310,K358,K379,K387,K389,K397,K401,K395)</f>
        <v>347.60510297452413</v>
      </c>
      <c r="L291" s="3">
        <f t="shared" ref="L291:O291" si="291">SUM(L292,L294,L302,L310,L358,L379,L387,L389,L397,L401,L395)</f>
        <v>262.08675017688751</v>
      </c>
      <c r="M291" s="3">
        <f t="shared" si="291"/>
        <v>290.57695026160326</v>
      </c>
      <c r="N291" s="3">
        <f t="shared" si="291"/>
        <v>295.98727635009215</v>
      </c>
      <c r="O291" s="3">
        <f t="shared" si="291"/>
        <v>302.05782883203972</v>
      </c>
      <c r="P291" s="3">
        <f>SUM(P292,P294,P302,P310,P358,P379,P387,P389,P397,P401,P395)</f>
        <v>305.3325840129387</v>
      </c>
      <c r="Q291" s="3">
        <f>SUM(Q292,Q294,Q302,Q310,Q358,Q379,Q387,Q389,Q397,Q401,Q395)</f>
        <v>309.7085271084847</v>
      </c>
      <c r="S291" s="3"/>
    </row>
    <row r="292" spans="1:19" x14ac:dyDescent="0.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250.94822217467998</v>
      </c>
      <c r="G292" s="1">
        <f t="shared" ref="G292:O292" si="292">G293</f>
        <v>254.39252495563562</v>
      </c>
      <c r="H292" s="1">
        <f t="shared" si="292"/>
        <v>224.15584756872414</v>
      </c>
      <c r="I292" s="1">
        <f t="shared" si="292"/>
        <v>221.52789535729713</v>
      </c>
      <c r="J292" s="1">
        <f t="shared" si="292"/>
        <v>173.71236014282653</v>
      </c>
      <c r="K292" s="1">
        <f t="shared" si="292"/>
        <v>100.02410055867948</v>
      </c>
      <c r="L292" s="1">
        <f t="shared" si="292"/>
        <v>3.3856668300036867</v>
      </c>
      <c r="M292" s="1">
        <f t="shared" si="292"/>
        <v>21.582477861567504</v>
      </c>
      <c r="N292" s="1">
        <f t="shared" si="292"/>
        <v>21.619862978763727</v>
      </c>
      <c r="O292" s="1">
        <f t="shared" si="292"/>
        <v>21.477319190718941</v>
      </c>
      <c r="P292" s="1">
        <f>P293</f>
        <v>20.433440479585226</v>
      </c>
      <c r="Q292" s="1">
        <f>Q293</f>
        <v>20.660262600323637</v>
      </c>
      <c r="S292" s="3"/>
    </row>
    <row r="293" spans="1:19" x14ac:dyDescent="0.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250.94822217467998</v>
      </c>
      <c r="G293" s="1">
        <f>'[1]Electricity and CHPs_IN'!C$14</f>
        <v>254.39252495563562</v>
      </c>
      <c r="H293" s="1">
        <f>'[1]Electricity and CHPs_IN'!D$14</f>
        <v>224.15584756872414</v>
      </c>
      <c r="I293" s="1">
        <f>'[1]Electricity and CHPs_IN'!E$14</f>
        <v>221.52789535729713</v>
      </c>
      <c r="J293" s="1">
        <f>'[1]Electricity and CHPs_IN'!F$14</f>
        <v>173.71236014282653</v>
      </c>
      <c r="K293" s="1">
        <f>'[1]Electricity and CHPs_IN'!G$14</f>
        <v>100.02410055867948</v>
      </c>
      <c r="L293" s="1">
        <f>'[1]Electricity and CHPs_IN'!H$14</f>
        <v>3.3856668300036867</v>
      </c>
      <c r="M293" s="1">
        <f>'[1]Electricity and CHPs_IN'!I$14</f>
        <v>21.582477861567504</v>
      </c>
      <c r="N293" s="1">
        <f>'[1]Electricity and CHPs_IN'!J$14</f>
        <v>21.619862978763727</v>
      </c>
      <c r="O293" s="1">
        <f>'[1]Electricity and CHPs_IN'!K$14</f>
        <v>21.477319190718941</v>
      </c>
      <c r="P293" s="1">
        <f>'[1]Electricity and CHPs_IN'!L$14</f>
        <v>20.433440479585226</v>
      </c>
      <c r="Q293" s="1">
        <f>'[1]Electricity and CHPs_IN'!M$14</f>
        <v>20.660262600323637</v>
      </c>
      <c r="S293" s="3"/>
    </row>
    <row r="294" spans="1:19" x14ac:dyDescent="0.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93">E293</f>
        <v>PJ/yr.</v>
      </c>
      <c r="F294" s="1">
        <f>SUM(F295:F297)</f>
        <v>149.43049454864359</v>
      </c>
      <c r="G294" s="1">
        <f t="shared" ref="G294:K294" si="294">SUM(G295:G297)</f>
        <v>125.60620572036886</v>
      </c>
      <c r="H294" s="1">
        <f t="shared" si="294"/>
        <v>141.33423289116055</v>
      </c>
      <c r="I294" s="1">
        <f t="shared" si="294"/>
        <v>150.00973086657521</v>
      </c>
      <c r="J294" s="1">
        <f t="shared" si="294"/>
        <v>150.05639720402141</v>
      </c>
      <c r="K294" s="1">
        <f t="shared" si="294"/>
        <v>150.09441559717823</v>
      </c>
      <c r="L294" s="1">
        <f t="shared" ref="L294:O294" si="295">SUM(L295:L297)</f>
        <v>150.13173386403054</v>
      </c>
      <c r="M294" s="1">
        <f t="shared" si="295"/>
        <v>150.17228287618377</v>
      </c>
      <c r="N294" s="1">
        <f t="shared" si="295"/>
        <v>150.20913736728946</v>
      </c>
      <c r="O294" s="1">
        <f t="shared" si="295"/>
        <v>150.25352472289927</v>
      </c>
      <c r="P294" s="1">
        <f>SUM(P295:P297)</f>
        <v>150.30249343745535</v>
      </c>
      <c r="Q294" s="1">
        <f>SUM(Q295:Q297)</f>
        <v>150.55047619797529</v>
      </c>
      <c r="S294" s="3"/>
    </row>
    <row r="295" spans="1:19" x14ac:dyDescent="0.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93"/>
        <v>PJ/yr.</v>
      </c>
      <c r="F295" s="1">
        <f>'[1]Electricity and CHPs_IN'!B$15</f>
        <v>66.745679999996938</v>
      </c>
      <c r="G295" s="1">
        <f>'[1]Electricity and CHPs_IN'!C$15</f>
        <v>49.79880272042594</v>
      </c>
      <c r="H295" s="1">
        <f>'[1]Electricity and CHPs_IN'!D$15</f>
        <v>68.534766593212652</v>
      </c>
      <c r="I295" s="1">
        <f>'[1]Electricity and CHPs_IN'!E$15</f>
        <v>69.617936454117398</v>
      </c>
      <c r="J295" s="1">
        <f>'[1]Electricity and CHPs_IN'!F$15</f>
        <v>70.70230294535466</v>
      </c>
      <c r="K295" s="1">
        <f>'[1]Electricity and CHPs_IN'!G$15</f>
        <v>71.787070620196403</v>
      </c>
      <c r="L295" s="1">
        <f>'[1]Electricity and CHPs_IN'!H$15</f>
        <v>72.871347957925721</v>
      </c>
      <c r="M295" s="1">
        <f>'[1]Electricity and CHPs_IN'!I$15</f>
        <v>73.956372894292386</v>
      </c>
      <c r="N295" s="1">
        <f>'[1]Electricity and CHPs_IN'!J$15</f>
        <v>73.956376943374877</v>
      </c>
      <c r="O295" s="1">
        <f>'[1]Electricity and CHPs_IN'!K$15</f>
        <v>73.956432969456429</v>
      </c>
      <c r="P295" s="1">
        <f>'[1]Electricity and CHPs_IN'!L$15</f>
        <v>73.956436818231353</v>
      </c>
      <c r="Q295" s="1">
        <f>'[1]Electricity and CHPs_IN'!M$15</f>
        <v>73.955970595593016</v>
      </c>
      <c r="S295" s="3"/>
    </row>
    <row r="296" spans="1:19" x14ac:dyDescent="0.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93"/>
        <v>PJ/yr.</v>
      </c>
      <c r="F296" s="1">
        <f>'[1]Electricity and CHPs_IN'!B$16</f>
        <v>66.632400513568854</v>
      </c>
      <c r="G296" s="1">
        <f>'[1]Electricity and CHPs_IN'!C$16</f>
        <v>55.764004154854931</v>
      </c>
      <c r="H296" s="1">
        <f>'[1]Electricity and CHPs_IN'!D$16</f>
        <v>65.551417749832652</v>
      </c>
      <c r="I296" s="1">
        <f>'[1]Electricity and CHPs_IN'!E$16</f>
        <v>64.468275679026817</v>
      </c>
      <c r="J296" s="1">
        <f>'[1]Electricity and CHPs_IN'!F$16</f>
        <v>63.383969368795363</v>
      </c>
      <c r="K296" s="1">
        <f>'[1]Electricity and CHPs_IN'!G$16</f>
        <v>62.299204126580534</v>
      </c>
      <c r="L296" s="1">
        <f>'[1]Electricity and CHPs_IN'!H$16</f>
        <v>61.21492577383524</v>
      </c>
      <c r="M296" s="1">
        <f>'[1]Electricity and CHPs_IN'!I$16</f>
        <v>60.129903182655362</v>
      </c>
      <c r="N296" s="1">
        <f>'[1]Electricity and CHPs_IN'!J$16</f>
        <v>60.129900586362993</v>
      </c>
      <c r="O296" s="1">
        <f>'[1]Electricity and CHPs_IN'!K$16</f>
        <v>60.129843003729704</v>
      </c>
      <c r="P296" s="1">
        <f>'[1]Electricity and CHPs_IN'!L$16</f>
        <v>60.129842330749057</v>
      </c>
      <c r="Q296" s="1">
        <f>'[1]Electricity and CHPs_IN'!M$16</f>
        <v>60.130335854346129</v>
      </c>
      <c r="S296" s="3"/>
    </row>
    <row r="297" spans="1:19" x14ac:dyDescent="0.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93"/>
        <v>PJ/yr.</v>
      </c>
      <c r="F297" s="1">
        <f>'[1]Electricity and CHPs_IN'!B$13</f>
        <v>16.052414035077803</v>
      </c>
      <c r="G297" s="1">
        <f>'[1]Electricity and CHPs_IN'!C$13</f>
        <v>20.043398845087996</v>
      </c>
      <c r="H297" s="1">
        <f>'[1]Electricity and CHPs_IN'!D$13</f>
        <v>7.2480485481152455</v>
      </c>
      <c r="I297" s="1">
        <f>'[1]Electricity and CHPs_IN'!E$13</f>
        <v>15.923518733431001</v>
      </c>
      <c r="J297" s="1">
        <f>'[1]Electricity and CHPs_IN'!F$13</f>
        <v>15.970124889871377</v>
      </c>
      <c r="K297" s="1">
        <f>'[1]Electricity and CHPs_IN'!G$13</f>
        <v>16.008140850401265</v>
      </c>
      <c r="L297" s="1">
        <f>'[1]Electricity and CHPs_IN'!H$13</f>
        <v>16.045460132269557</v>
      </c>
      <c r="M297" s="1">
        <f>'[1]Electricity and CHPs_IN'!I$13</f>
        <v>16.086006799236031</v>
      </c>
      <c r="N297" s="1">
        <f>'[1]Electricity and CHPs_IN'!J$13</f>
        <v>16.122859837551609</v>
      </c>
      <c r="O297" s="1">
        <f>'[1]Electricity and CHPs_IN'!K$13</f>
        <v>16.167248749713149</v>
      </c>
      <c r="P297" s="1">
        <f>'[1]Electricity and CHPs_IN'!L$13</f>
        <v>16.216214288474951</v>
      </c>
      <c r="Q297" s="1">
        <f>'[1]Electricity and CHPs_IN'!M$13</f>
        <v>16.464169748036145</v>
      </c>
      <c r="S297" s="3"/>
    </row>
    <row r="298" spans="1:19" x14ac:dyDescent="0.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93"/>
        <v>PJ/yr.</v>
      </c>
      <c r="F298" s="1">
        <f>SUM(F299:F301)</f>
        <v>0.14454611142361162</v>
      </c>
      <c r="G298" s="1">
        <f t="shared" ref="G298:K298" si="296">SUM(G299:G301)</f>
        <v>5.3430297417250375E-2</v>
      </c>
      <c r="H298" s="1">
        <f t="shared" si="296"/>
        <v>1.5397376085166243E-2</v>
      </c>
      <c r="I298" s="1">
        <f t="shared" si="296"/>
        <v>8.088281449133411E-2</v>
      </c>
      <c r="J298" s="1">
        <f t="shared" si="296"/>
        <v>0.11630932804407677</v>
      </c>
      <c r="K298" s="1">
        <f t="shared" si="296"/>
        <v>3.3314943952508405E-2</v>
      </c>
      <c r="L298" s="1">
        <f t="shared" ref="L298:O298" si="297">SUM(L299:L301)</f>
        <v>5.5952708954627575E-2</v>
      </c>
      <c r="M298" s="1">
        <f t="shared" si="297"/>
        <v>9.3095978605656382E-2</v>
      </c>
      <c r="N298" s="1">
        <f t="shared" si="297"/>
        <v>6.669311667993405E-2</v>
      </c>
      <c r="O298" s="1">
        <f t="shared" si="297"/>
        <v>7.338923900595562E-2</v>
      </c>
      <c r="P298" s="1">
        <f>SUM(P299:P301)</f>
        <v>7.9544377995684368E-2</v>
      </c>
      <c r="Q298" s="1">
        <f>SUM(Q299:Q301)</f>
        <v>0.10092608573512157</v>
      </c>
      <c r="S298" s="3"/>
    </row>
    <row r="299" spans="1:19" x14ac:dyDescent="0.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93"/>
        <v>PJ/yr.</v>
      </c>
      <c r="F299" s="1">
        <f>'[1]Electricity and CHPs_IN'!B$18</f>
        <v>0.12014311757477594</v>
      </c>
      <c r="G299" s="1">
        <f>'[1]Electricity and CHPs_IN'!C$18</f>
        <v>2.4314785029788349E-4</v>
      </c>
      <c r="H299" s="1">
        <f>'[1]Electricity and CHPs_IN'!D$18</f>
        <v>1.2479674432142186E-2</v>
      </c>
      <c r="I299" s="1">
        <f>'[1]Electricity and CHPs_IN'!E$18</f>
        <v>5.7518808445952531E-3</v>
      </c>
      <c r="J299" s="1">
        <f>'[1]Electricity and CHPs_IN'!F$18</f>
        <v>7.3286854263023525E-3</v>
      </c>
      <c r="K299" s="1">
        <f>'[1]Electricity and CHPs_IN'!G$18</f>
        <v>9.1064137074630697E-3</v>
      </c>
      <c r="L299" s="1">
        <f>'[1]Electricity and CHPs_IN'!H$18</f>
        <v>2.9283525330750418E-2</v>
      </c>
      <c r="M299" s="1">
        <f>'[1]Electricity and CHPs_IN'!I$18</f>
        <v>5.8934645744346335E-2</v>
      </c>
      <c r="N299" s="1">
        <f>'[1]Electricity and CHPs_IN'!J$18</f>
        <v>3.1417712278630605E-2</v>
      </c>
      <c r="O299" s="1">
        <f>'[1]Electricity and CHPs_IN'!K$18</f>
        <v>3.7460669324218779E-2</v>
      </c>
      <c r="P299" s="1">
        <f>'[1]Electricity and CHPs_IN'!L$18</f>
        <v>4.4734000185088607E-2</v>
      </c>
      <c r="Q299" s="1">
        <f>'[1]Electricity and CHPs_IN'!M$18</f>
        <v>6.3923853850533119E-2</v>
      </c>
      <c r="S299" s="3"/>
    </row>
    <row r="300" spans="1:19" x14ac:dyDescent="0.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93"/>
        <v>PJ/yr.</v>
      </c>
      <c r="F300" s="1">
        <f>IFERROR(F72/SUM(F72,F185),0)*'[1]Electricity and CHPs_IN'!B$28</f>
        <v>3.5579310475888901E-3</v>
      </c>
      <c r="G300" s="1">
        <f>IFERROR(G72/SUM(G72,G185),0)*'[1]Electricity and CHPs_IN'!C$28</f>
        <v>6.3706543603700563E-5</v>
      </c>
      <c r="H300" s="1">
        <f>IFERROR(H72/SUM(H72,H185),0)*'[1]Electricity and CHPs_IN'!D$28</f>
        <v>1.8717559125277284E-3</v>
      </c>
      <c r="I300" s="1">
        <f>IFERROR(I72/SUM(I72,I185),0)*'[1]Electricity and CHPs_IN'!E$28</f>
        <v>1.1462137555903133E-3</v>
      </c>
      <c r="J300" s="1">
        <f>IFERROR(J72/SUM(J72,J185),0)*'[1]Electricity and CHPs_IN'!F$28</f>
        <v>1.6208853682506685E-3</v>
      </c>
      <c r="K300" s="1">
        <f>IFERROR(K72/SUM(K72,K185),0)*'[1]Electricity and CHPs_IN'!G$28</f>
        <v>1.7349729209605858E-3</v>
      </c>
      <c r="L300" s="1">
        <f>IFERROR(L72/SUM(L72,L185),0)*'[1]Electricity and CHPs_IN'!H$28</f>
        <v>1.7981889648900034E-3</v>
      </c>
      <c r="M300" s="1">
        <f>IFERROR(M72/SUM(M72,M185),0)*'[1]Electricity and CHPs_IN'!I$28</f>
        <v>2.8438904527482278E-3</v>
      </c>
      <c r="N300" s="1">
        <f>IFERROR(N72/SUM(N72,N185),0)*'[1]Electricity and CHPs_IN'!J$28</f>
        <v>2.0058849372507894E-3</v>
      </c>
      <c r="O300" s="1">
        <f>IFERROR(O72/SUM(O72,O185),0)*'[1]Electricity and CHPs_IN'!K$28</f>
        <v>2.8306169257543198E-3</v>
      </c>
      <c r="P300" s="1">
        <f>IFERROR(P72/SUM(P72,P185),0)*'[1]Electricity and CHPs_IN'!L$28</f>
        <v>2.1575270999156649E-3</v>
      </c>
      <c r="Q300" s="1">
        <f>IFERROR(Q72/SUM(Q72,Q185),0)*'[1]Electricity and CHPs_IN'!M$28</f>
        <v>2.9740254822765398E-3</v>
      </c>
      <c r="S300" s="3"/>
    </row>
    <row r="301" spans="1:19" x14ac:dyDescent="0.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93"/>
        <v>PJ/yr.</v>
      </c>
      <c r="F301" s="1">
        <f>IFERROR(F73/SUM(F73,F235),0)*'[1]Electricity and CHPs_IN'!B$41</f>
        <v>2.0845062801246789E-2</v>
      </c>
      <c r="G301" s="1">
        <f>IFERROR(G73/SUM(G73,G235),0)*'[1]Electricity and CHPs_IN'!C$41</f>
        <v>5.3123443023348788E-2</v>
      </c>
      <c r="H301" s="1">
        <f>IFERROR(H73/SUM(H73,H235),0)*'[1]Electricity and CHPs_IN'!D$41</f>
        <v>1.0459457404963296E-3</v>
      </c>
      <c r="I301" s="1">
        <f>IFERROR(I73/SUM(I73,I235),0)*'[1]Electricity and CHPs_IN'!E$41</f>
        <v>7.3984719891148548E-2</v>
      </c>
      <c r="J301" s="1">
        <f>IFERROR(J73/SUM(J73,J235),0)*'[1]Electricity and CHPs_IN'!F$41</f>
        <v>0.10735975724952375</v>
      </c>
      <c r="K301" s="1">
        <f>IFERROR(K73/SUM(K73,K235),0)*'[1]Electricity and CHPs_IN'!G$41</f>
        <v>2.247355732408475E-2</v>
      </c>
      <c r="L301" s="1">
        <f>IFERROR(L73/SUM(L73,L235),0)*'[1]Electricity and CHPs_IN'!H$41</f>
        <v>2.4870994658987157E-2</v>
      </c>
      <c r="M301" s="1">
        <f>IFERROR(M73/SUM(M73,M235),0)*'[1]Electricity and CHPs_IN'!I$41</f>
        <v>3.1317442408561817E-2</v>
      </c>
      <c r="N301" s="1">
        <f>IFERROR(N73/SUM(N73,N235),0)*'[1]Electricity and CHPs_IN'!J$41</f>
        <v>3.3269519464052655E-2</v>
      </c>
      <c r="O301" s="1">
        <f>IFERROR(O73/SUM(O73,O235),0)*'[1]Electricity and CHPs_IN'!K$41</f>
        <v>3.3097952755982513E-2</v>
      </c>
      <c r="P301" s="1">
        <f>IFERROR(P73/SUM(P73,P235),0)*'[1]Electricity and CHPs_IN'!L$41</f>
        <v>3.2652850710680102E-2</v>
      </c>
      <c r="Q301" s="1">
        <f>IFERROR(Q73/SUM(Q73,Q235),0)*'[1]Electricity and CHPs_IN'!M$41</f>
        <v>3.4028206402311918E-2</v>
      </c>
      <c r="S301" s="3"/>
    </row>
    <row r="302" spans="1:19" x14ac:dyDescent="0.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93"/>
        <v>PJ/yr.</v>
      </c>
      <c r="F302" s="1">
        <f>F298</f>
        <v>0.14454611142361162</v>
      </c>
      <c r="G302" s="1">
        <f t="shared" ref="G302:K302" si="298">G298</f>
        <v>5.3430297417250375E-2</v>
      </c>
      <c r="H302" s="1">
        <f t="shared" si="298"/>
        <v>1.5397376085166243E-2</v>
      </c>
      <c r="I302" s="1">
        <f t="shared" si="298"/>
        <v>8.088281449133411E-2</v>
      </c>
      <c r="J302" s="1">
        <f t="shared" si="298"/>
        <v>0.11630932804407677</v>
      </c>
      <c r="K302" s="1">
        <f t="shared" si="298"/>
        <v>3.3314943952508405E-2</v>
      </c>
      <c r="L302" s="1">
        <f t="shared" ref="L302:O302" si="299">L298</f>
        <v>5.5952708954627575E-2</v>
      </c>
      <c r="M302" s="1">
        <f t="shared" si="299"/>
        <v>9.3095978605656382E-2</v>
      </c>
      <c r="N302" s="1">
        <f t="shared" si="299"/>
        <v>6.669311667993405E-2</v>
      </c>
      <c r="O302" s="1">
        <f t="shared" si="299"/>
        <v>7.338923900595562E-2</v>
      </c>
      <c r="P302" s="1">
        <f t="shared" ref="P302:Q305" si="300">P298</f>
        <v>7.9544377995684368E-2</v>
      </c>
      <c r="Q302" s="1">
        <f t="shared" si="300"/>
        <v>0.10092608573512157</v>
      </c>
      <c r="S302" s="3"/>
    </row>
    <row r="303" spans="1:19" x14ac:dyDescent="0.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93"/>
        <v>PJ/yr.</v>
      </c>
      <c r="F303" s="1">
        <f t="shared" ref="F303:K303" si="301">F299</f>
        <v>0.12014311757477594</v>
      </c>
      <c r="G303" s="1">
        <f t="shared" si="301"/>
        <v>2.4314785029788349E-4</v>
      </c>
      <c r="H303" s="1">
        <f t="shared" si="301"/>
        <v>1.2479674432142186E-2</v>
      </c>
      <c r="I303" s="1">
        <f t="shared" si="301"/>
        <v>5.7518808445952531E-3</v>
      </c>
      <c r="J303" s="1">
        <f t="shared" si="301"/>
        <v>7.3286854263023525E-3</v>
      </c>
      <c r="K303" s="1">
        <f t="shared" si="301"/>
        <v>9.1064137074630697E-3</v>
      </c>
      <c r="L303" s="1">
        <f t="shared" ref="L303:O303" si="302">L299</f>
        <v>2.9283525330750418E-2</v>
      </c>
      <c r="M303" s="1">
        <f t="shared" si="302"/>
        <v>5.8934645744346335E-2</v>
      </c>
      <c r="N303" s="1">
        <f t="shared" si="302"/>
        <v>3.1417712278630605E-2</v>
      </c>
      <c r="O303" s="1">
        <f t="shared" si="302"/>
        <v>3.7460669324218779E-2</v>
      </c>
      <c r="P303" s="1">
        <f t="shared" si="300"/>
        <v>4.4734000185088607E-2</v>
      </c>
      <c r="Q303" s="1">
        <f t="shared" si="300"/>
        <v>6.3923853850533119E-2</v>
      </c>
      <c r="S303" s="3"/>
    </row>
    <row r="304" spans="1:19" x14ac:dyDescent="0.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93"/>
        <v>PJ/yr.</v>
      </c>
      <c r="F304" s="1">
        <f t="shared" ref="F304:K304" si="303">F300</f>
        <v>3.5579310475888901E-3</v>
      </c>
      <c r="G304" s="1">
        <f t="shared" si="303"/>
        <v>6.3706543603700563E-5</v>
      </c>
      <c r="H304" s="1">
        <f t="shared" si="303"/>
        <v>1.8717559125277284E-3</v>
      </c>
      <c r="I304" s="1">
        <f t="shared" si="303"/>
        <v>1.1462137555903133E-3</v>
      </c>
      <c r="J304" s="1">
        <f t="shared" si="303"/>
        <v>1.6208853682506685E-3</v>
      </c>
      <c r="K304" s="1">
        <f t="shared" si="303"/>
        <v>1.7349729209605858E-3</v>
      </c>
      <c r="L304" s="1">
        <f t="shared" ref="L304:O304" si="304">L300</f>
        <v>1.7981889648900034E-3</v>
      </c>
      <c r="M304" s="1">
        <f t="shared" si="304"/>
        <v>2.8438904527482278E-3</v>
      </c>
      <c r="N304" s="1">
        <f t="shared" si="304"/>
        <v>2.0058849372507894E-3</v>
      </c>
      <c r="O304" s="1">
        <f t="shared" si="304"/>
        <v>2.8306169257543198E-3</v>
      </c>
      <c r="P304" s="1">
        <f t="shared" si="300"/>
        <v>2.1575270999156649E-3</v>
      </c>
      <c r="Q304" s="1">
        <f t="shared" si="300"/>
        <v>2.9740254822765398E-3</v>
      </c>
      <c r="S304" s="3"/>
    </row>
    <row r="305" spans="1:19" x14ac:dyDescent="0.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93"/>
        <v>PJ/yr.</v>
      </c>
      <c r="F305" s="1">
        <f t="shared" ref="F305:K305" si="305">F301</f>
        <v>2.0845062801246789E-2</v>
      </c>
      <c r="G305" s="1">
        <f t="shared" si="305"/>
        <v>5.3123443023348788E-2</v>
      </c>
      <c r="H305" s="1">
        <f t="shared" si="305"/>
        <v>1.0459457404963296E-3</v>
      </c>
      <c r="I305" s="1">
        <f t="shared" si="305"/>
        <v>7.3984719891148548E-2</v>
      </c>
      <c r="J305" s="1">
        <f t="shared" si="305"/>
        <v>0.10735975724952375</v>
      </c>
      <c r="K305" s="1">
        <f t="shared" si="305"/>
        <v>2.247355732408475E-2</v>
      </c>
      <c r="L305" s="1">
        <f t="shared" ref="L305:O305" si="306">L301</f>
        <v>2.4870994658987157E-2</v>
      </c>
      <c r="M305" s="1">
        <f t="shared" si="306"/>
        <v>3.1317442408561817E-2</v>
      </c>
      <c r="N305" s="1">
        <f t="shared" si="306"/>
        <v>3.3269519464052655E-2</v>
      </c>
      <c r="O305" s="1">
        <f t="shared" si="306"/>
        <v>3.3097952755982513E-2</v>
      </c>
      <c r="P305" s="1">
        <f t="shared" si="300"/>
        <v>3.2652850710680102E-2</v>
      </c>
      <c r="Q305" s="1">
        <f t="shared" si="300"/>
        <v>3.4028206402311918E-2</v>
      </c>
      <c r="S305" s="3"/>
    </row>
    <row r="306" spans="1:19" x14ac:dyDescent="0.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93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S306" s="3"/>
    </row>
    <row r="307" spans="1:19" x14ac:dyDescent="0.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93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S307" s="3"/>
    </row>
    <row r="308" spans="1:19" x14ac:dyDescent="0.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93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S308" s="3"/>
    </row>
    <row r="309" spans="1:19" x14ac:dyDescent="0.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93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S309" s="3"/>
    </row>
    <row r="310" spans="1:19" x14ac:dyDescent="0.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93"/>
        <v>PJ/yr.</v>
      </c>
      <c r="F310" s="1">
        <f>SUM(F311:F325)</f>
        <v>4.0646965673773474</v>
      </c>
      <c r="G310" s="1">
        <f t="shared" ref="G310:K310" si="307">SUM(G311:G325)</f>
        <v>2.1956001435025283</v>
      </c>
      <c r="H310" s="1">
        <f t="shared" si="307"/>
        <v>2.1760787737876237</v>
      </c>
      <c r="I310" s="1">
        <f t="shared" si="307"/>
        <v>6.7799827403167896</v>
      </c>
      <c r="J310" s="1">
        <f t="shared" si="307"/>
        <v>7.9666876972836995</v>
      </c>
      <c r="K310" s="1">
        <f t="shared" si="307"/>
        <v>8.6587220068922637</v>
      </c>
      <c r="L310" s="1">
        <f t="shared" ref="L310:O310" si="308">SUM(L311:L325)</f>
        <v>15.476240762520812</v>
      </c>
      <c r="M310" s="1">
        <f t="shared" si="308"/>
        <v>20.980059642935398</v>
      </c>
      <c r="N310" s="1">
        <f t="shared" si="308"/>
        <v>22.951643840837061</v>
      </c>
      <c r="O310" s="1">
        <f t="shared" si="308"/>
        <v>25.138172129831968</v>
      </c>
      <c r="P310" s="1">
        <f>SUM(P311:P325)</f>
        <v>25.686509224316136</v>
      </c>
      <c r="Q310" s="1">
        <f>SUM(Q311:Q325)</f>
        <v>24.585960368347962</v>
      </c>
      <c r="S310" s="3"/>
    </row>
    <row r="311" spans="1:19" x14ac:dyDescent="0.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93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'[1]Electricity and CHPs_IN'!F$21</f>
        <v>0</v>
      </c>
      <c r="K311" s="1">
        <f>'[1]Electricity and CHPs_IN'!G$21</f>
        <v>3.4459778137166407E-2</v>
      </c>
      <c r="L311" s="1">
        <f>'[1]Electricity and CHPs_IN'!H$21</f>
        <v>5.7741354631919357</v>
      </c>
      <c r="M311" s="1">
        <f>'[1]Electricity and CHPs_IN'!I$21</f>
        <v>13.799016547763605</v>
      </c>
      <c r="N311" s="1">
        <f>'[1]Electricity and CHPs_IN'!J$21</f>
        <v>15.668451146307762</v>
      </c>
      <c r="O311" s="1">
        <f>'[1]Electricity and CHPs_IN'!K$21</f>
        <v>18.444272956242767</v>
      </c>
      <c r="P311" s="1">
        <f>'[1]Electricity and CHPs_IN'!L$21</f>
        <v>19.929522084317163</v>
      </c>
      <c r="Q311" s="1">
        <f>'[1]Electricity and CHPs_IN'!M$21</f>
        <v>18.265649600195914</v>
      </c>
      <c r="S311" s="3"/>
    </row>
    <row r="312" spans="1:19" x14ac:dyDescent="0.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93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'[1]Electricity and CHPs_IN'!F$22</f>
        <v>2.2435665478696441E-2</v>
      </c>
      <c r="K312" s="1">
        <f>'[1]Electricity and CHPs_IN'!G$22</f>
        <v>0.17580958664071275</v>
      </c>
      <c r="L312" s="1">
        <f>'[1]Electricity and CHPs_IN'!H$22</f>
        <v>1.0895195851271506</v>
      </c>
      <c r="M312" s="1">
        <f>'[1]Electricity and CHPs_IN'!I$22</f>
        <v>0.6048138526893333</v>
      </c>
      <c r="N312" s="1">
        <f>'[1]Electricity and CHPs_IN'!J$22</f>
        <v>0.90487101720048624</v>
      </c>
      <c r="O312" s="1">
        <f>'[1]Electricity and CHPs_IN'!K$22</f>
        <v>0.69614258335823864</v>
      </c>
      <c r="P312" s="1">
        <f>'[1]Electricity and CHPs_IN'!L$22</f>
        <v>0.11854752906936897</v>
      </c>
      <c r="Q312" s="1">
        <f>'[1]Electricity and CHPs_IN'!M$22</f>
        <v>0.39052382810097619</v>
      </c>
      <c r="S312" s="3"/>
    </row>
    <row r="313" spans="1:19" x14ac:dyDescent="0.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93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'[1]Electricity and CHPs_IN'!F$23</f>
        <v>0</v>
      </c>
      <c r="K313" s="1">
        <f>'[1]Electricity and CHPs_IN'!G$23</f>
        <v>3.3359347242219411E-4</v>
      </c>
      <c r="L313" s="1">
        <f>'[1]Electricity and CHPs_IN'!H$23</f>
        <v>4.4884129702485519E-4</v>
      </c>
      <c r="M313" s="1">
        <f>'[1]Electricity and CHPs_IN'!I$23</f>
        <v>1.2338593843568128E-3</v>
      </c>
      <c r="N313" s="1">
        <f>'[1]Electricity and CHPs_IN'!J$23</f>
        <v>5.8252915038135194E-4</v>
      </c>
      <c r="O313" s="1">
        <f>'[1]Electricity and CHPs_IN'!K$23</f>
        <v>1.0001801831018059E-3</v>
      </c>
      <c r="P313" s="1">
        <f>'[1]Electricity and CHPs_IN'!L$23</f>
        <v>7.2748034793334779E-4</v>
      </c>
      <c r="Q313" s="1">
        <f>'[1]Electricity and CHPs_IN'!M$23</f>
        <v>1.4545768348946167E-3</v>
      </c>
      <c r="S313" s="3"/>
    </row>
    <row r="314" spans="1:19" x14ac:dyDescent="0.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93"/>
        <v>PJ/yr.</v>
      </c>
      <c r="F314" s="1">
        <f>IFERROR(F86/SUM(F86+F189),0)*'[1]Electricity and CHPs_IN'!B$24</f>
        <v>1.2834023761697799</v>
      </c>
      <c r="G314" s="1">
        <f>IFERROR(G86/SUM(G86+G189),0)*'[1]Electricity and CHPs_IN'!C$24</f>
        <v>2.5988598312359545E-4</v>
      </c>
      <c r="H314" s="1">
        <f>IFERROR(H86/SUM(H86+H189),0)*'[1]Electricity and CHPs_IN'!D$24</f>
        <v>2.1639504641871522E-2</v>
      </c>
      <c r="I314" s="1">
        <f>IFERROR(I86/SUM(I86+I189),0)*'[1]Electricity and CHPs_IN'!E$24</f>
        <v>1.1554555896660217</v>
      </c>
      <c r="J314" s="1">
        <f>IFERROR(J86/SUM(J86+J189),0)*'[1]Electricity and CHPs_IN'!F$24</f>
        <v>0.50324652176442597</v>
      </c>
      <c r="K314" s="1">
        <f>IFERROR(K86/SUM(K86+K189),0)*'[1]Electricity and CHPs_IN'!G$24</f>
        <v>1.1248246106935489</v>
      </c>
      <c r="L314" s="1">
        <f>IFERROR(L86/SUM(L86+L189),0)*'[1]Electricity and CHPs_IN'!H$24</f>
        <v>0.91653954153853778</v>
      </c>
      <c r="M314" s="1">
        <f>IFERROR(M86/SUM(M86+M189),0)*'[1]Electricity and CHPs_IN'!I$24</f>
        <v>0.1479735218150387</v>
      </c>
      <c r="N314" s="1">
        <f>IFERROR(N86/SUM(N86+N189),0)*'[1]Electricity and CHPs_IN'!J$24</f>
        <v>0.1541707417041335</v>
      </c>
      <c r="O314" s="1">
        <f>IFERROR(O86/SUM(O86+O189),0)*'[1]Electricity and CHPs_IN'!K$24</f>
        <v>2.1142261244926266E-2</v>
      </c>
      <c r="P314" s="1">
        <f>IFERROR(P86/SUM(P86+P189),0)*'[1]Electricity and CHPs_IN'!L$24</f>
        <v>7.2882812054136529E-3</v>
      </c>
      <c r="Q314" s="1">
        <f>IFERROR(Q86/SUM(Q86+Q189),0)*'[1]Electricity and CHPs_IN'!M$24</f>
        <v>8.9004495212603469E-3</v>
      </c>
      <c r="S314" s="3"/>
    </row>
    <row r="315" spans="1:19" x14ac:dyDescent="0.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93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IFERROR(J87/SUM(J87+J190),0)*'[1]Electricity and CHPs_IN'!F$29</f>
        <v>0</v>
      </c>
      <c r="K315" s="1">
        <f>IFERROR(K87/SUM(K87+K190),0)*'[1]Electricity and CHPs_IN'!G$29</f>
        <v>0.50651589897012594</v>
      </c>
      <c r="L315" s="1">
        <f>IFERROR(L87/SUM(L87+L190),0)*'[1]Electricity and CHPs_IN'!H$29</f>
        <v>1.1028011041160468</v>
      </c>
      <c r="M315" s="1">
        <f>IFERROR(M87/SUM(M87+M190),0)*'[1]Electricity and CHPs_IN'!I$29</f>
        <v>1.091030227882716</v>
      </c>
      <c r="N315" s="1">
        <f>IFERROR(N87/SUM(N87+N190),0)*'[1]Electricity and CHPs_IN'!J$29</f>
        <v>0.9501805804953033</v>
      </c>
      <c r="O315" s="1">
        <f>IFERROR(O87/SUM(O87+O190),0)*'[1]Electricity and CHPs_IN'!K$29</f>
        <v>0.63303519160609723</v>
      </c>
      <c r="P315" s="1">
        <f>IFERROR(P87/SUM(P87+P190),0)*'[1]Electricity and CHPs_IN'!L$29</f>
        <v>3.1398378572569684E-2</v>
      </c>
      <c r="Q315" s="1">
        <f>IFERROR(Q87/SUM(Q87+Q190),0)*'[1]Electricity and CHPs_IN'!M$29</f>
        <v>2.1389397814848696E-2</v>
      </c>
      <c r="S315" s="3"/>
    </row>
    <row r="316" spans="1:19" x14ac:dyDescent="0.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93"/>
        <v>PJ/yr.</v>
      </c>
      <c r="F316" s="1">
        <f>F88/SUM(F88,F241)*'[1]Electricity and CHPs_IN'!B$39</f>
        <v>0.89330723691784475</v>
      </c>
      <c r="G316" s="1">
        <f>G88/SUM(G88,G241)*'[1]Electricity and CHPs_IN'!C$39</f>
        <v>0.12047966305220111</v>
      </c>
      <c r="H316" s="1">
        <f>H88/SUM(H88,H241)*'[1]Electricity and CHPs_IN'!D$39</f>
        <v>7.6662567876749368E-2</v>
      </c>
      <c r="I316" s="1">
        <f>I88/SUM(I88,I241)*'[1]Electricity and CHPs_IN'!E$39</f>
        <v>0.87130472119969282</v>
      </c>
      <c r="J316" s="1">
        <f>J88/SUM(J88,J241)*'[1]Electricity and CHPs_IN'!F$39</f>
        <v>0.68004431367637785</v>
      </c>
      <c r="K316" s="1">
        <f>K88/SUM(K88,K241)*'[1]Electricity and CHPs_IN'!G$39</f>
        <v>0.2119966266544463</v>
      </c>
      <c r="L316" s="1">
        <f>L88/SUM(L88,L241)*'[1]Electricity and CHPs_IN'!H$39</f>
        <v>0.1377964217903031</v>
      </c>
      <c r="M316" s="1">
        <f>M88/SUM(M88,M241)*'[1]Electricity and CHPs_IN'!I$39</f>
        <v>8.4315122565279413E-2</v>
      </c>
      <c r="N316" s="1">
        <f>N88/SUM(N88,N241)*'[1]Electricity and CHPs_IN'!J$39</f>
        <v>4.2209264384231733E-2</v>
      </c>
      <c r="O316" s="1">
        <f>O88/SUM(O88,O241)*'[1]Electricity and CHPs_IN'!K$39</f>
        <v>4.6256903144017543E-2</v>
      </c>
      <c r="P316" s="1">
        <f>P88/SUM(P88,P241)*'[1]Electricity and CHPs_IN'!L$39</f>
        <v>6.6844149692779145E-2</v>
      </c>
      <c r="Q316" s="1">
        <f>Q88/SUM(Q88,Q241)*'[1]Electricity and CHPs_IN'!M$39</f>
        <v>0.11378488133012321</v>
      </c>
      <c r="S316" s="3"/>
    </row>
    <row r="317" spans="1:19" x14ac:dyDescent="0.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93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IFERROR(J89/SUM(J89,J242),0)*'[1]Electricity and CHPs_IN'!F$40</f>
        <v>0</v>
      </c>
      <c r="K317" s="1">
        <f>IFERROR(K89/SUM(K89,K242),0)*'[1]Electricity and CHPs_IN'!G$40</f>
        <v>0</v>
      </c>
      <c r="L317" s="1">
        <f>IFERROR(L89/SUM(L89,L242),0)*'[1]Electricity and CHPs_IN'!H$40</f>
        <v>0</v>
      </c>
      <c r="M317" s="1">
        <f>IFERROR(M89/SUM(M89,M242),0)*'[1]Electricity and CHPs_IN'!I$40</f>
        <v>0</v>
      </c>
      <c r="N317" s="1">
        <f>IFERROR(N89/SUM(N89,N242),0)*'[1]Electricity and CHPs_IN'!J$40</f>
        <v>0</v>
      </c>
      <c r="O317" s="1">
        <f>IFERROR(O89/SUM(O89,O242),0)*'[1]Electricity and CHPs_IN'!K$40</f>
        <v>0</v>
      </c>
      <c r="P317" s="1">
        <f>IFERROR(P89/SUM(P89,P242),0)*'[1]Electricity and CHPs_IN'!L$40</f>
        <v>0</v>
      </c>
      <c r="Q317" s="1">
        <f>IFERROR(Q89/SUM(Q89,Q242),0)*'[1]Electricity and CHPs_IN'!M$40</f>
        <v>0</v>
      </c>
      <c r="S317" s="3"/>
    </row>
    <row r="318" spans="1:19" x14ac:dyDescent="0.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93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IFERROR(J90/SUM(J90,J243),0)*'[1]Electricity and CHPs_IN'!$B$47</f>
        <v>0</v>
      </c>
      <c r="K318" s="1">
        <f>IFERROR(K90/SUM(K90,K243),0)*'[1]Electricity and CHPs_IN'!$B$47</f>
        <v>0</v>
      </c>
      <c r="L318" s="1">
        <f>IFERROR(L90/SUM(L90,L243),0)*'[1]Electricity and CHPs_IN'!$B$47</f>
        <v>0</v>
      </c>
      <c r="M318" s="1">
        <f>IFERROR(M90/SUM(M90,M243),0)*'[1]Electricity and CHPs_IN'!$B$47</f>
        <v>0</v>
      </c>
      <c r="N318" s="1">
        <f>IFERROR(N90/SUM(N90,N243),0)*'[1]Electricity and CHPs_IN'!$B$47</f>
        <v>0</v>
      </c>
      <c r="O318" s="1">
        <f>IFERROR(O90/SUM(O90,O243),0)*'[1]Electricity and CHPs_IN'!$B$47</f>
        <v>0</v>
      </c>
      <c r="P318" s="1">
        <f>IFERROR(P90/SUM(P90,P243),0)*'[1]Electricity and CHPs_IN'!$B$47</f>
        <v>0</v>
      </c>
      <c r="Q318" s="1">
        <f>IFERROR(Q90/SUM(Q90,Q243),0)*'[1]Electricity and CHPs_IN'!$B$47</f>
        <v>0</v>
      </c>
      <c r="S318" s="3"/>
    </row>
    <row r="319" spans="1:19" x14ac:dyDescent="0.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93"/>
        <v>PJ/yr.</v>
      </c>
      <c r="F319" s="1">
        <f>F91/SUM(F91,F244)*'[1]Electricity and CHPs_IN'!B$48</f>
        <v>1.9556204944449585E-2</v>
      </c>
      <c r="G319" s="1">
        <f>G91/SUM(G91,G244)*'[1]Electricity and CHPs_IN'!C$48</f>
        <v>3.2706254900715477E-3</v>
      </c>
      <c r="H319" s="1">
        <f>H91/SUM(H91,H244)*'[1]Electricity and CHPs_IN'!D$48</f>
        <v>1.2572611403277823E-2</v>
      </c>
      <c r="I319" s="1">
        <f>IFERROR(I91/SUM(I91,I244)*'[1]Electricity and CHPs_IN'!E$48,0)</f>
        <v>1.12930963269612E-2</v>
      </c>
      <c r="J319" s="1">
        <f>IFERROR(J91/SUM(J91,J244)*'[1]Electricity and CHPs_IN'!F$48,0)</f>
        <v>1.5559836589322452E-2</v>
      </c>
      <c r="K319" s="1">
        <f>IFERROR(K91/SUM(K91,K244)*'[1]Electricity and CHPs_IN'!G$48,0)</f>
        <v>1.6728297773246359E-2</v>
      </c>
      <c r="L319" s="1">
        <f>IFERROR(L91/SUM(L91,L244)*'[1]Electricity and CHPs_IN'!H$48,0)</f>
        <v>2.1231681276963458E-2</v>
      </c>
      <c r="M319" s="1">
        <f>IFERROR(M91/SUM(M91,M244)*'[1]Electricity and CHPs_IN'!I$48,0)</f>
        <v>2.7229157209187668E-2</v>
      </c>
      <c r="N319" s="1">
        <f>IFERROR(N91/SUM(N91,N244)*'[1]Electricity and CHPs_IN'!J$48,0)</f>
        <v>2.2509889381318954E-2</v>
      </c>
      <c r="O319" s="1">
        <f>IFERROR(O91/SUM(O91,O244)*'[1]Electricity and CHPs_IN'!K$48,0)</f>
        <v>2.4531349751575348E-2</v>
      </c>
      <c r="P319" s="1">
        <f>IFERROR(P91/SUM(P91,P244)*'[1]Electricity and CHPs_IN'!L$48,0)</f>
        <v>0.10966036374066938</v>
      </c>
      <c r="Q319" s="1">
        <f>IFERROR(Q91/SUM(Q91,Q244)*'[1]Electricity and CHPs_IN'!M$48,0)</f>
        <v>0.12348002500103086</v>
      </c>
      <c r="S319" s="3"/>
    </row>
    <row r="320" spans="1:19" x14ac:dyDescent="0.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93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6.2549638372449284E-4</v>
      </c>
      <c r="J320" s="1">
        <f>IFERROR(J92/SUM(J92,J245),0)*'[1]Electricity and CHPs_IN'!F$49</f>
        <v>2.1817558862114632E-3</v>
      </c>
      <c r="K320" s="1">
        <f>IFERROR(K92/SUM(K92,K245),0)*'[1]Electricity and CHPs_IN'!G$49</f>
        <v>2.1738475974483525E-3</v>
      </c>
      <c r="L320" s="1">
        <f>IFERROR(L92/SUM(L92,L245),0)*'[1]Electricity and CHPs_IN'!H$49</f>
        <v>2.2674502790602877E-3</v>
      </c>
      <c r="M320" s="1">
        <f>IFERROR(M92/SUM(M92,M245),0)*'[1]Electricity and CHPs_IN'!I$49</f>
        <v>5.3566570621827007E-3</v>
      </c>
      <c r="N320" s="1">
        <f>IFERROR(N92/SUM(N92,N245),0)*'[1]Electricity and CHPs_IN'!J$49</f>
        <v>4.3382499214481215E-3</v>
      </c>
      <c r="O320" s="1">
        <f>IFERROR(O92/SUM(O92,O245),0)*'[1]Electricity and CHPs_IN'!K$49</f>
        <v>6.9658570967597085E-3</v>
      </c>
      <c r="P320" s="1">
        <f>IFERROR(P92/SUM(P92,P245),0)*'[1]Electricity and CHPs_IN'!L$49</f>
        <v>6.7048204335702797E-3</v>
      </c>
      <c r="Q320" s="1">
        <f>IFERROR(Q92/SUM(Q92,Q245),0)*'[1]Electricity and CHPs_IN'!M$49</f>
        <v>1.2441590483849848E-2</v>
      </c>
      <c r="S320" s="3"/>
    </row>
    <row r="321" spans="1:19" x14ac:dyDescent="0.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93"/>
        <v>PJ/yr.</v>
      </c>
      <c r="F321" s="1">
        <f>IFERROR(F93/SUM(F93,F246),0)*'[1]Electricity and CHPs_IN'!B$51</f>
        <v>3.5065712030078529E-2</v>
      </c>
      <c r="G321" s="1">
        <f>IFERROR(G93/SUM(G93,G246),0)*'[1]Electricity and CHPs_IN'!C$51</f>
        <v>2.575931857330829E-2</v>
      </c>
      <c r="H321" s="1">
        <f>IFERROR(H93/SUM(H93,H246),0)*'[1]Electricity and CHPs_IN'!D$51</f>
        <v>0.11433484736317977</v>
      </c>
      <c r="I321" s="1">
        <f>IFERROR(I93/SUM(I93,I246),0)*'[1]Electricity and CHPs_IN'!E$51</f>
        <v>0.68470398426089363</v>
      </c>
      <c r="J321" s="1">
        <f>IFERROR(J93/SUM(J93,J246),0)*'[1]Electricity and CHPs_IN'!F$51</f>
        <v>0.71545860451172794</v>
      </c>
      <c r="K321" s="1">
        <f>IFERROR(K93/SUM(K93,K246),0)*'[1]Electricity and CHPs_IN'!G$51</f>
        <v>0.8083709167201315</v>
      </c>
      <c r="L321" s="1">
        <f>IFERROR(L93/SUM(L93,L246),0)*'[1]Electricity and CHPs_IN'!H$51</f>
        <v>0.73298958507359913</v>
      </c>
      <c r="M321" s="1">
        <f>IFERROR(M93/SUM(M93,M246),0)*'[1]Electricity and CHPs_IN'!I$51</f>
        <v>0.78752493302870186</v>
      </c>
      <c r="N321" s="1">
        <f>IFERROR(N93/SUM(N93,N246),0)*'[1]Electricity and CHPs_IN'!J$51</f>
        <v>0.77020755603407631</v>
      </c>
      <c r="O321" s="1">
        <f>IFERROR(O93/SUM(O93,O246),0)*'[1]Electricity and CHPs_IN'!K$51</f>
        <v>0.72245571939433639</v>
      </c>
      <c r="P321" s="1">
        <f>IFERROR(P93/SUM(P93,P246),0)*'[1]Electricity and CHPs_IN'!L$51</f>
        <v>0.65619004928131641</v>
      </c>
      <c r="Q321" s="1">
        <f>IFERROR(Q93/SUM(Q93,Q246),0)*'[1]Electricity and CHPs_IN'!M$51</f>
        <v>0.56706838076752797</v>
      </c>
      <c r="S321" s="3"/>
    </row>
    <row r="322" spans="1:19" x14ac:dyDescent="0.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93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2.7474342190712559E-3</v>
      </c>
      <c r="J322" s="1">
        <f>IFERROR(J94/SUM(J94,J247),0)*'[1]Electricity and CHPs_IN'!F$52</f>
        <v>1.0717979884706481E-2</v>
      </c>
      <c r="K322" s="1">
        <f>IFERROR(K94/SUM(K94,K247),0)*'[1]Electricity and CHPs_IN'!G$52</f>
        <v>1.0738823039253742E-2</v>
      </c>
      <c r="L322" s="1">
        <f>IFERROR(L94/SUM(L94,L247),0)*'[1]Electricity and CHPs_IN'!H$52</f>
        <v>1.1978173799335025E-2</v>
      </c>
      <c r="M322" s="1">
        <f>IFERROR(M94/SUM(M94,M247),0)*'[1]Electricity and CHPs_IN'!I$52</f>
        <v>3.256734609488901E-2</v>
      </c>
      <c r="N322" s="1">
        <f>IFERROR(N94/SUM(N94,N247),0)*'[1]Electricity and CHPs_IN'!J$52</f>
        <v>2.8060305758697709E-2</v>
      </c>
      <c r="O322" s="1">
        <f>IFERROR(O94/SUM(O94,O247),0)*'[1]Electricity and CHPs_IN'!K$52</f>
        <v>5.7362139832201189E-2</v>
      </c>
      <c r="P322" s="1">
        <f>IFERROR(P94/SUM(P94,P247),0)*'[1]Electricity and CHPs_IN'!L$52</f>
        <v>5.5726902685012736E-2</v>
      </c>
      <c r="Q322" s="1">
        <f>IFERROR(Q94/SUM(Q94,Q247),0)*'[1]Electricity and CHPs_IN'!M$52</f>
        <v>9.8121959456009128E-2</v>
      </c>
      <c r="S322" s="3"/>
    </row>
    <row r="323" spans="1:19" x14ac:dyDescent="0.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93"/>
        <v>PJ/yr.</v>
      </c>
      <c r="F323" s="1">
        <f>IFERROR(F95/SUM(F95,F248),0)*'[1]Electricity and CHPs_IN'!B$54</f>
        <v>1.0647088632609321</v>
      </c>
      <c r="G323" s="1">
        <f>IFERROR(G95/SUM(G95,G248),0)*'[1]Electricity and CHPs_IN'!C$54</f>
        <v>1.2550838619256732</v>
      </c>
      <c r="H323" s="1">
        <f>IFERROR(H95/SUM(H95,H248),0)*'[1]Electricity and CHPs_IN'!D$54</f>
        <v>1.2997673676082089</v>
      </c>
      <c r="I323" s="1">
        <f>IFERROR(I95/SUM(I95,I248),0)*'[1]Electricity and CHPs_IN'!E$54</f>
        <v>1.3814536202996692</v>
      </c>
      <c r="J323" s="1">
        <f>IFERROR(J95/SUM(J95,J248),0)*'[1]Electricity and CHPs_IN'!F$54</f>
        <v>1.4573042207871751</v>
      </c>
      <c r="K323" s="1">
        <f>IFERROR(K95/SUM(K95,K248),0)*'[1]Electricity and CHPs_IN'!G$54</f>
        <v>1.5468305223591206</v>
      </c>
      <c r="L323" s="1">
        <f>IFERROR(L95/SUM(L95,L248),0)*'[1]Electricity and CHPs_IN'!H$54</f>
        <v>1.5306963280451609</v>
      </c>
      <c r="M323" s="1">
        <f>IFERROR(M95/SUM(M95,M248),0)*'[1]Electricity and CHPs_IN'!I$54</f>
        <v>1.508724091047164</v>
      </c>
      <c r="N323" s="1">
        <f>IFERROR(N95/SUM(N95,N248),0)*'[1]Electricity and CHPs_IN'!J$54</f>
        <v>1.5077866852613613</v>
      </c>
      <c r="O323" s="1">
        <f>IFERROR(O95/SUM(O95,O248),0)*'[1]Electricity and CHPs_IN'!K$54</f>
        <v>1.5115113819503447</v>
      </c>
      <c r="P323" s="1">
        <f>IFERROR(P95/SUM(P95,P248),0)*'[1]Electricity and CHPs_IN'!L$54</f>
        <v>1.5118040626744353</v>
      </c>
      <c r="Q323" s="1">
        <f>IFERROR(Q95/SUM(Q95,Q248),0)*'[1]Electricity and CHPs_IN'!M$54</f>
        <v>1.5856651587230051</v>
      </c>
      <c r="S323" s="3"/>
    </row>
    <row r="324" spans="1:19" x14ac:dyDescent="0.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93"/>
        <v>PJ/yr.</v>
      </c>
      <c r="F324" s="1">
        <f>IFERROR(F96/SUM(F96,F249),0)*'[1]Electricity and CHPs_IN'!B$55</f>
        <v>0.76865617405426279</v>
      </c>
      <c r="G324" s="1">
        <f>IFERROR(G96/SUM(G96,G249),0)*'[1]Electricity and CHPs_IN'!C$55</f>
        <v>0.79074678847815061</v>
      </c>
      <c r="H324" s="1">
        <f>IFERROR(H96/SUM(H96,H249),0)*'[1]Electricity and CHPs_IN'!D$55</f>
        <v>0.65110187489433646</v>
      </c>
      <c r="I324" s="1">
        <f>IFERROR(I96/SUM(I96,I249),0)*'[1]Electricity and CHPs_IN'!E$55</f>
        <v>2.6704138366826555</v>
      </c>
      <c r="J324" s="1">
        <f>IFERROR(J96/SUM(J96,J249),0)*'[1]Electricity and CHPs_IN'!F$55</f>
        <v>4.5533490316630942</v>
      </c>
      <c r="K324" s="1">
        <f>IFERROR(K96/SUM(K96,K249),0)*'[1]Electricity and CHPs_IN'!G$55</f>
        <v>4.2137810050199045</v>
      </c>
      <c r="L324" s="1">
        <f>IFERROR(L96/SUM(L96,L249),0)*'[1]Electricity and CHPs_IN'!H$55</f>
        <v>4.1511906297083092</v>
      </c>
      <c r="M324" s="1">
        <f>IFERROR(M96/SUM(M96,M249),0)*'[1]Electricity and CHPs_IN'!I$55</f>
        <v>2.8802241573888097</v>
      </c>
      <c r="N324" s="1">
        <f>IFERROR(N96/SUM(N96,N249),0)*'[1]Electricity and CHPs_IN'!J$55</f>
        <v>2.8882029960243543</v>
      </c>
      <c r="O324" s="1">
        <f>IFERROR(O96/SUM(O96,O249),0)*'[1]Electricity and CHPs_IN'!K$55</f>
        <v>2.9521180957187778</v>
      </c>
      <c r="P324" s="1">
        <f>IFERROR(P96/SUM(P96,P249),0)*'[1]Electricity and CHPs_IN'!L$55</f>
        <v>3.1755923589016199</v>
      </c>
      <c r="Q324" s="1">
        <f>IFERROR(Q96/SUM(Q96,Q249),0)*'[1]Electricity and CHPs_IN'!M$55</f>
        <v>3.3595801983094757</v>
      </c>
      <c r="S324" s="3"/>
    </row>
    <row r="325" spans="1:19" x14ac:dyDescent="0.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93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1.9849612781003556E-3</v>
      </c>
      <c r="J325" s="1">
        <f>IFERROR(J97/SUM(J97,J250),0)*'[1]Electricity and CHPs_IN'!F$58</f>
        <v>6.38976704196066E-3</v>
      </c>
      <c r="K325" s="1">
        <f>IFERROR(K97/SUM(K97,K250),0)*'[1]Electricity and CHPs_IN'!G$58</f>
        <v>6.1584998147355026E-3</v>
      </c>
      <c r="L325" s="1">
        <f>IFERROR(L97/SUM(L97,L250),0)*'[1]Electricity and CHPs_IN'!H$58</f>
        <v>4.6459572773846405E-3</v>
      </c>
      <c r="M325" s="1">
        <f>IFERROR(M97/SUM(M97,M250),0)*'[1]Electricity and CHPs_IN'!I$58</f>
        <v>1.0050169004135251E-2</v>
      </c>
      <c r="N325" s="1">
        <f>IFERROR(N97/SUM(N97,N250),0)*'[1]Electricity and CHPs_IN'!J$58</f>
        <v>1.0072879213502865E-2</v>
      </c>
      <c r="O325" s="1">
        <f>IFERROR(O97/SUM(O97,O250),0)*'[1]Electricity and CHPs_IN'!K$58</f>
        <v>2.1377510308825863E-2</v>
      </c>
      <c r="P325" s="1">
        <f>IFERROR(P97/SUM(P97,P250),0)*'[1]Electricity and CHPs_IN'!L$58</f>
        <v>1.6502763394283637E-2</v>
      </c>
      <c r="Q325" s="1">
        <f>IFERROR(Q97/SUM(Q97,Q250),0)*'[1]Electricity and CHPs_IN'!M$58</f>
        <v>3.790032180905141E-2</v>
      </c>
      <c r="S325" s="3"/>
    </row>
    <row r="326" spans="1:19" x14ac:dyDescent="0.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93"/>
        <v>PJ/yr.</v>
      </c>
      <c r="F326" s="1">
        <f>F310-F342</f>
        <v>2.9214031305753796</v>
      </c>
      <c r="G326" s="1">
        <f t="shared" ref="G326:K326" si="309">G310-G342</f>
        <v>0.89952178281062034</v>
      </c>
      <c r="H326" s="1">
        <f t="shared" si="309"/>
        <v>0.79646044506509028</v>
      </c>
      <c r="I326" s="1">
        <f t="shared" si="309"/>
        <v>5.1745467893443999</v>
      </c>
      <c r="J326" s="1">
        <f t="shared" si="309"/>
        <v>6.2927245922138679</v>
      </c>
      <c r="K326" s="1">
        <f t="shared" si="309"/>
        <v>6.9417614644191206</v>
      </c>
      <c r="L326" s="1">
        <f t="shared" ref="L326:O326" si="310">L310-L342</f>
        <v>13.69583424505355</v>
      </c>
      <c r="M326" s="1">
        <f t="shared" si="310"/>
        <v>19.155240302376541</v>
      </c>
      <c r="N326" s="1">
        <f t="shared" si="310"/>
        <v>21.125265141582723</v>
      </c>
      <c r="O326" s="1">
        <f t="shared" si="310"/>
        <v>23.289100440578444</v>
      </c>
      <c r="P326" s="1">
        <f>P310-P342</f>
        <v>23.822567485298201</v>
      </c>
      <c r="Q326" s="1">
        <f>Q310-Q342</f>
        <v>22.63185745424958</v>
      </c>
      <c r="S326" s="3"/>
    </row>
    <row r="327" spans="1:19" x14ac:dyDescent="0.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93"/>
        <v>PJ/yr.</v>
      </c>
      <c r="F327" s="1">
        <f>IFERROR(F99/F83,0)*F311</f>
        <v>0</v>
      </c>
      <c r="G327" s="1">
        <f t="shared" ref="G327:K327" si="311">IFERROR(G99/G83,0)*G311</f>
        <v>0</v>
      </c>
      <c r="H327" s="1">
        <f t="shared" si="311"/>
        <v>0</v>
      </c>
      <c r="I327" s="1">
        <f t="shared" si="311"/>
        <v>0</v>
      </c>
      <c r="J327" s="1">
        <f t="shared" si="311"/>
        <v>0</v>
      </c>
      <c r="K327" s="1">
        <f t="shared" si="311"/>
        <v>3.3637012256583741E-2</v>
      </c>
      <c r="L327" s="1">
        <f t="shared" ref="L327:O327" si="312">IFERROR(L99/L83,0)*L311</f>
        <v>5.6709257877762962</v>
      </c>
      <c r="M327" s="1">
        <f t="shared" si="312"/>
        <v>13.575865297644981</v>
      </c>
      <c r="N327" s="1">
        <f t="shared" si="312"/>
        <v>15.436083834685574</v>
      </c>
      <c r="O327" s="1">
        <f t="shared" si="312"/>
        <v>18.181524457295922</v>
      </c>
      <c r="P327" s="1">
        <f t="shared" ref="P327:Q341" si="313">IFERROR(P99/P83,0)*P311</f>
        <v>19.639812324753379</v>
      </c>
      <c r="Q327" s="1">
        <f t="shared" si="313"/>
        <v>17.974192032598804</v>
      </c>
      <c r="S327" s="3"/>
    </row>
    <row r="328" spans="1:19" x14ac:dyDescent="0.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93"/>
        <v>PJ/yr.</v>
      </c>
      <c r="F328" s="1">
        <f t="shared" ref="F328:K328" si="314">IFERROR(F100/F84,0)*F312</f>
        <v>0</v>
      </c>
      <c r="G328" s="1">
        <f t="shared" si="314"/>
        <v>0</v>
      </c>
      <c r="H328" s="1">
        <f t="shared" si="314"/>
        <v>0</v>
      </c>
      <c r="I328" s="1">
        <f t="shared" si="314"/>
        <v>0</v>
      </c>
      <c r="J328" s="1">
        <f t="shared" si="314"/>
        <v>2.1688914842740749E-2</v>
      </c>
      <c r="K328" s="1">
        <f t="shared" si="314"/>
        <v>0.1716119354314814</v>
      </c>
      <c r="L328" s="1">
        <f t="shared" ref="L328:O328" si="315">IFERROR(L100/L84,0)*L312</f>
        <v>1.0700449878550953</v>
      </c>
      <c r="M328" s="1">
        <f t="shared" si="315"/>
        <v>0.59503308557092882</v>
      </c>
      <c r="N328" s="1">
        <f t="shared" si="315"/>
        <v>0.8914515385507884</v>
      </c>
      <c r="O328" s="1">
        <f t="shared" si="315"/>
        <v>0.68622566121854278</v>
      </c>
      <c r="P328" s="1">
        <f t="shared" si="313"/>
        <v>0.11682423756251475</v>
      </c>
      <c r="Q328" s="1">
        <f t="shared" si="313"/>
        <v>0.38429239765539264</v>
      </c>
      <c r="S328" s="3"/>
    </row>
    <row r="329" spans="1:19" x14ac:dyDescent="0.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93"/>
        <v>PJ/yr.</v>
      </c>
      <c r="F329" s="1">
        <f t="shared" ref="F329:K329" si="316">IFERROR(F101/F85,0)*F313</f>
        <v>0</v>
      </c>
      <c r="G329" s="1">
        <f t="shared" si="316"/>
        <v>0</v>
      </c>
      <c r="H329" s="1">
        <f t="shared" si="316"/>
        <v>0</v>
      </c>
      <c r="I329" s="1">
        <f t="shared" si="316"/>
        <v>0</v>
      </c>
      <c r="J329" s="1">
        <f t="shared" si="316"/>
        <v>0</v>
      </c>
      <c r="K329" s="1">
        <f t="shared" si="316"/>
        <v>0</v>
      </c>
      <c r="L329" s="1">
        <f t="shared" ref="L329:O329" si="317">IFERROR(L101/L85,0)*L313</f>
        <v>0</v>
      </c>
      <c r="M329" s="1">
        <f t="shared" si="317"/>
        <v>0</v>
      </c>
      <c r="N329" s="1">
        <f t="shared" si="317"/>
        <v>0</v>
      </c>
      <c r="O329" s="1">
        <f t="shared" si="317"/>
        <v>0</v>
      </c>
      <c r="P329" s="1">
        <f t="shared" si="313"/>
        <v>0</v>
      </c>
      <c r="Q329" s="1">
        <f t="shared" si="313"/>
        <v>0</v>
      </c>
      <c r="S329" s="3"/>
    </row>
    <row r="330" spans="1:19" x14ac:dyDescent="0.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93"/>
        <v>PJ/yr.</v>
      </c>
      <c r="F330" s="1">
        <f t="shared" ref="F330:K330" si="318">IFERROR(F102/F86,0)*F314</f>
        <v>1.2497836955750343</v>
      </c>
      <c r="G330" s="1">
        <f t="shared" si="318"/>
        <v>2.4855827320170048E-4</v>
      </c>
      <c r="H330" s="1">
        <f t="shared" si="318"/>
        <v>1.9667676783068605E-2</v>
      </c>
      <c r="I330" s="1">
        <f t="shared" si="318"/>
        <v>1.1075163028327597</v>
      </c>
      <c r="J330" s="1">
        <f t="shared" si="318"/>
        <v>0.4864964208803263</v>
      </c>
      <c r="K330" s="1">
        <f t="shared" si="318"/>
        <v>1.097968160613269</v>
      </c>
      <c r="L330" s="1">
        <f t="shared" ref="L330:O330" si="319">IFERROR(L102/L86,0)*L314</f>
        <v>0.90015687279257472</v>
      </c>
      <c r="M330" s="1">
        <f t="shared" si="319"/>
        <v>0.14558056313836887</v>
      </c>
      <c r="N330" s="1">
        <f t="shared" si="319"/>
        <v>0.15188434846423562</v>
      </c>
      <c r="O330" s="1">
        <f t="shared" si="319"/>
        <v>2.0841078464795795E-2</v>
      </c>
      <c r="P330" s="1">
        <f t="shared" si="313"/>
        <v>7.1823335471245869E-3</v>
      </c>
      <c r="Q330" s="1">
        <f t="shared" si="313"/>
        <v>8.758428655604434E-3</v>
      </c>
      <c r="S330" s="3"/>
    </row>
    <row r="331" spans="1:19" x14ac:dyDescent="0.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93"/>
        <v>PJ/yr.</v>
      </c>
      <c r="F331" s="1">
        <f t="shared" ref="F331:K331" si="320">IFERROR(F103/F87,0)*F315</f>
        <v>0</v>
      </c>
      <c r="G331" s="1">
        <f t="shared" si="320"/>
        <v>0</v>
      </c>
      <c r="H331" s="1">
        <f t="shared" si="320"/>
        <v>0</v>
      </c>
      <c r="I331" s="1">
        <f t="shared" si="320"/>
        <v>0</v>
      </c>
      <c r="J331" s="1">
        <f t="shared" si="320"/>
        <v>0</v>
      </c>
      <c r="K331" s="1">
        <f t="shared" si="320"/>
        <v>0.4944222633701974</v>
      </c>
      <c r="L331" s="1">
        <f t="shared" ref="L331:O331" si="321">IFERROR(L103/L87,0)*L315</f>
        <v>1.0830891065833623</v>
      </c>
      <c r="M331" s="1">
        <f t="shared" si="321"/>
        <v>1.0733865966553373</v>
      </c>
      <c r="N331" s="1">
        <f t="shared" si="321"/>
        <v>0.93608914893109718</v>
      </c>
      <c r="O331" s="1">
        <f t="shared" si="321"/>
        <v>0.62401726789776613</v>
      </c>
      <c r="P331" s="1">
        <f t="shared" si="313"/>
        <v>3.0941949328131862E-2</v>
      </c>
      <c r="Q331" s="1">
        <f t="shared" si="313"/>
        <v>2.1048095863046453E-2</v>
      </c>
      <c r="S331" s="3"/>
    </row>
    <row r="332" spans="1:19" x14ac:dyDescent="0.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93"/>
        <v>PJ/yr.</v>
      </c>
      <c r="F332" s="1">
        <f t="shared" ref="F332:K332" si="322">IFERROR(F104/F88,0)*F316</f>
        <v>0.86990708492455981</v>
      </c>
      <c r="G332" s="1">
        <f t="shared" si="322"/>
        <v>0.11522828836034657</v>
      </c>
      <c r="H332" s="1">
        <f t="shared" si="322"/>
        <v>6.9676946460340172E-2</v>
      </c>
      <c r="I332" s="1">
        <f t="shared" si="322"/>
        <v>0.83515471481057613</v>
      </c>
      <c r="J332" s="1">
        <f t="shared" si="322"/>
        <v>0.65740965975010635</v>
      </c>
      <c r="K332" s="1">
        <f t="shared" si="322"/>
        <v>0.2069349692486554</v>
      </c>
      <c r="L332" s="1">
        <f t="shared" ref="L332:O332" si="323">IFERROR(L104/L88,0)*L316</f>
        <v>0.13533338224835376</v>
      </c>
      <c r="M332" s="1">
        <f t="shared" si="323"/>
        <v>8.2951617786571369E-2</v>
      </c>
      <c r="N332" s="1">
        <f t="shared" si="323"/>
        <v>4.1583289729881463E-2</v>
      </c>
      <c r="O332" s="1">
        <f t="shared" si="323"/>
        <v>4.5597948904083321E-2</v>
      </c>
      <c r="P332" s="1">
        <f t="shared" si="313"/>
        <v>6.5872455416628922E-2</v>
      </c>
      <c r="Q332" s="1">
        <f t="shared" si="313"/>
        <v>0.11196926209578471</v>
      </c>
      <c r="S332" s="3"/>
    </row>
    <row r="333" spans="1:19" x14ac:dyDescent="0.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93"/>
        <v>PJ/yr.</v>
      </c>
      <c r="F333" s="1">
        <f t="shared" ref="F333:K333" si="324">IFERROR(F105/F89,0)*F317</f>
        <v>0</v>
      </c>
      <c r="G333" s="1">
        <f t="shared" si="324"/>
        <v>0</v>
      </c>
      <c r="H333" s="1">
        <f t="shared" si="324"/>
        <v>0</v>
      </c>
      <c r="I333" s="1">
        <f t="shared" si="324"/>
        <v>0</v>
      </c>
      <c r="J333" s="1">
        <f t="shared" si="324"/>
        <v>0</v>
      </c>
      <c r="K333" s="1">
        <f t="shared" si="324"/>
        <v>0</v>
      </c>
      <c r="L333" s="1">
        <f t="shared" ref="L333:O333" si="325">IFERROR(L105/L89,0)*L317</f>
        <v>0</v>
      </c>
      <c r="M333" s="1">
        <f t="shared" si="325"/>
        <v>0</v>
      </c>
      <c r="N333" s="1">
        <f t="shared" si="325"/>
        <v>0</v>
      </c>
      <c r="O333" s="1">
        <f t="shared" si="325"/>
        <v>0</v>
      </c>
      <c r="P333" s="1">
        <f t="shared" si="313"/>
        <v>0</v>
      </c>
      <c r="Q333" s="1">
        <f t="shared" si="313"/>
        <v>0</v>
      </c>
      <c r="S333" s="3"/>
    </row>
    <row r="334" spans="1:19" x14ac:dyDescent="0.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93"/>
        <v>PJ/yr.</v>
      </c>
      <c r="F334" s="1">
        <f t="shared" ref="F334:K334" si="326">IFERROR(F106/F90,0)*F318</f>
        <v>0</v>
      </c>
      <c r="G334" s="1">
        <f t="shared" si="326"/>
        <v>0</v>
      </c>
      <c r="H334" s="1">
        <f t="shared" si="326"/>
        <v>0</v>
      </c>
      <c r="I334" s="1">
        <f t="shared" si="326"/>
        <v>0</v>
      </c>
      <c r="J334" s="1">
        <f t="shared" si="326"/>
        <v>0</v>
      </c>
      <c r="K334" s="1">
        <f t="shared" si="326"/>
        <v>0</v>
      </c>
      <c r="L334" s="1">
        <f t="shared" ref="L334:O334" si="327">IFERROR(L106/L90,0)*L318</f>
        <v>0</v>
      </c>
      <c r="M334" s="1">
        <f t="shared" si="327"/>
        <v>0</v>
      </c>
      <c r="N334" s="1">
        <f t="shared" si="327"/>
        <v>0</v>
      </c>
      <c r="O334" s="1">
        <f t="shared" si="327"/>
        <v>0</v>
      </c>
      <c r="P334" s="1">
        <f t="shared" si="313"/>
        <v>0</v>
      </c>
      <c r="Q334" s="1">
        <f t="shared" si="313"/>
        <v>0</v>
      </c>
      <c r="S334" s="3"/>
    </row>
    <row r="335" spans="1:19" x14ac:dyDescent="0.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93"/>
        <v>PJ/yr.</v>
      </c>
      <c r="F335" s="1">
        <f t="shared" ref="F335:K335" si="328">IFERROR(F107/F91,0)*F319</f>
        <v>1.9043930836281763E-2</v>
      </c>
      <c r="G335" s="1">
        <f t="shared" si="328"/>
        <v>3.1280679870873771E-3</v>
      </c>
      <c r="H335" s="1">
        <f t="shared" si="328"/>
        <v>1.1426974022331643E-2</v>
      </c>
      <c r="I335" s="1">
        <f t="shared" si="328"/>
        <v>1.0824551288193993E-2</v>
      </c>
      <c r="J335" s="1">
        <f t="shared" si="328"/>
        <v>1.5041941638558622E-2</v>
      </c>
      <c r="K335" s="1">
        <f t="shared" si="328"/>
        <v>1.632889088811585E-2</v>
      </c>
      <c r="L335" s="1">
        <f t="shared" ref="L335:O335" si="329">IFERROR(L107/L91,0)*L319</f>
        <v>2.0852175990485063E-2</v>
      </c>
      <c r="M335" s="1">
        <f t="shared" si="329"/>
        <v>2.6788819997483147E-2</v>
      </c>
      <c r="N335" s="1">
        <f t="shared" si="329"/>
        <v>2.2176061715035389E-2</v>
      </c>
      <c r="O335" s="1">
        <f t="shared" si="329"/>
        <v>2.4181887599304126E-2</v>
      </c>
      <c r="P335" s="1">
        <f t="shared" si="313"/>
        <v>0.10806626241307225</v>
      </c>
      <c r="Q335" s="1">
        <f t="shared" si="313"/>
        <v>0.12150970428858028</v>
      </c>
      <c r="S335" s="3"/>
    </row>
    <row r="336" spans="1:19" x14ac:dyDescent="0.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93"/>
        <v>PJ/yr.</v>
      </c>
      <c r="F336" s="1">
        <f t="shared" ref="F336:K336" si="330">IFERROR(F108/F92,0)*F320</f>
        <v>0</v>
      </c>
      <c r="G336" s="1">
        <f t="shared" si="330"/>
        <v>0</v>
      </c>
      <c r="H336" s="1">
        <f t="shared" si="330"/>
        <v>0</v>
      </c>
      <c r="I336" s="1">
        <f t="shared" si="330"/>
        <v>5.9954484493691907E-4</v>
      </c>
      <c r="J336" s="1">
        <f t="shared" si="330"/>
        <v>2.1091381340402381E-3</v>
      </c>
      <c r="K336" s="1">
        <f t="shared" si="330"/>
        <v>2.1219445461388591E-3</v>
      </c>
      <c r="L336" s="1">
        <f t="shared" ref="L336:O336" si="331">IFERROR(L108/L92,0)*L320</f>
        <v>2.226920781819579E-3</v>
      </c>
      <c r="M336" s="1">
        <f t="shared" si="331"/>
        <v>5.2700317062564081E-3</v>
      </c>
      <c r="N336" s="1">
        <f t="shared" si="331"/>
        <v>4.2739125174520911E-3</v>
      </c>
      <c r="O336" s="1">
        <f t="shared" si="331"/>
        <v>6.8666247496569528E-3</v>
      </c>
      <c r="P336" s="1">
        <f t="shared" si="313"/>
        <v>6.6073543775600095E-3</v>
      </c>
      <c r="Q336" s="1">
        <f t="shared" si="313"/>
        <v>1.2243065067079379E-2</v>
      </c>
      <c r="S336" s="3"/>
    </row>
    <row r="337" spans="1:19" x14ac:dyDescent="0.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93"/>
        <v>PJ/yr.</v>
      </c>
      <c r="F337" s="1">
        <f t="shared" ref="F337:K337" si="332">IFERROR(F109/F93,0)*F321</f>
        <v>3.4147166923371795E-2</v>
      </c>
      <c r="G337" s="1">
        <f t="shared" si="332"/>
        <v>2.4636541249664225E-2</v>
      </c>
      <c r="H337" s="1">
        <f t="shared" si="332"/>
        <v>0.10391646482652671</v>
      </c>
      <c r="I337" s="1">
        <f t="shared" si="332"/>
        <v>0.65629595110849182</v>
      </c>
      <c r="J337" s="1">
        <f t="shared" si="332"/>
        <v>0.69164521825731007</v>
      </c>
      <c r="K337" s="1">
        <f t="shared" si="332"/>
        <v>0.78907015377020073</v>
      </c>
      <c r="L337" s="1">
        <f t="shared" ref="L337:O337" si="333">IFERROR(L109/L93,0)*L321</f>
        <v>0.71988777656204916</v>
      </c>
      <c r="M337" s="1">
        <f t="shared" si="333"/>
        <v>0.77478944766301316</v>
      </c>
      <c r="N337" s="1">
        <f t="shared" si="333"/>
        <v>0.75878517244838872</v>
      </c>
      <c r="O337" s="1">
        <f t="shared" si="333"/>
        <v>0.71216395260706511</v>
      </c>
      <c r="P337" s="1">
        <f t="shared" si="313"/>
        <v>0.64665120230841111</v>
      </c>
      <c r="Q337" s="1">
        <f t="shared" si="313"/>
        <v>0.55801990044860394</v>
      </c>
      <c r="S337" s="3"/>
    </row>
    <row r="338" spans="1:19" x14ac:dyDescent="0.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93"/>
        <v>PJ/yr.</v>
      </c>
      <c r="F338" s="1">
        <f t="shared" ref="F338:K338" si="334">IFERROR(F110/F94,0)*F322</f>
        <v>0</v>
      </c>
      <c r="G338" s="1">
        <f t="shared" si="334"/>
        <v>0</v>
      </c>
      <c r="H338" s="1">
        <f t="shared" si="334"/>
        <v>0</v>
      </c>
      <c r="I338" s="1">
        <f t="shared" si="334"/>
        <v>2.6334445181588687E-3</v>
      </c>
      <c r="J338" s="1">
        <f t="shared" si="334"/>
        <v>1.0361241712501841E-2</v>
      </c>
      <c r="K338" s="1">
        <f t="shared" si="334"/>
        <v>1.0482421585966859E-2</v>
      </c>
      <c r="L338" s="1">
        <f t="shared" ref="L338:O338" si="335">IFERROR(L110/L94,0)*L322</f>
        <v>1.1764070157710711E-2</v>
      </c>
      <c r="M338" s="1">
        <f t="shared" si="335"/>
        <v>3.2040682185981807E-2</v>
      </c>
      <c r="N338" s="1">
        <f t="shared" si="335"/>
        <v>2.7644163936410338E-2</v>
      </c>
      <c r="O338" s="1">
        <f t="shared" si="335"/>
        <v>5.6544985576620264E-2</v>
      </c>
      <c r="P338" s="1">
        <f t="shared" si="313"/>
        <v>5.4916816647334304E-2</v>
      </c>
      <c r="Q338" s="1">
        <f t="shared" si="313"/>
        <v>9.6556267117828956E-2</v>
      </c>
      <c r="S338" s="3"/>
    </row>
    <row r="339" spans="1:19" x14ac:dyDescent="0.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93"/>
        <v>PJ/yr.</v>
      </c>
      <c r="F339" s="1">
        <f t="shared" ref="F339:K339" si="336">IFERROR(F111/F95,0)*F323</f>
        <v>0</v>
      </c>
      <c r="G339" s="1">
        <f t="shared" si="336"/>
        <v>0</v>
      </c>
      <c r="H339" s="1">
        <f t="shared" si="336"/>
        <v>0</v>
      </c>
      <c r="I339" s="1">
        <f t="shared" si="336"/>
        <v>0</v>
      </c>
      <c r="J339" s="1">
        <f t="shared" si="336"/>
        <v>0</v>
      </c>
      <c r="K339" s="1">
        <f t="shared" si="336"/>
        <v>0</v>
      </c>
      <c r="L339" s="1">
        <f t="shared" ref="L339:O339" si="337">IFERROR(L111/L95,0)*L323</f>
        <v>0</v>
      </c>
      <c r="M339" s="1">
        <f t="shared" si="337"/>
        <v>0</v>
      </c>
      <c r="N339" s="1">
        <f t="shared" si="337"/>
        <v>0</v>
      </c>
      <c r="O339" s="1">
        <f t="shared" si="337"/>
        <v>0</v>
      </c>
      <c r="P339" s="1">
        <f t="shared" si="313"/>
        <v>0</v>
      </c>
      <c r="Q339" s="1">
        <f t="shared" si="313"/>
        <v>0</v>
      </c>
      <c r="S339" s="3"/>
    </row>
    <row r="340" spans="1:19" x14ac:dyDescent="0.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93"/>
        <v>PJ/yr.</v>
      </c>
      <c r="F340" s="1">
        <f t="shared" ref="F340:K340" si="338">IFERROR(F112/F96,0)*F324</f>
        <v>0.74852125231613209</v>
      </c>
      <c r="G340" s="1">
        <f t="shared" si="338"/>
        <v>0.75628032694032066</v>
      </c>
      <c r="H340" s="1">
        <f t="shared" si="338"/>
        <v>0.59177238297282331</v>
      </c>
      <c r="I340" s="1">
        <f t="shared" si="338"/>
        <v>2.5596196737349959</v>
      </c>
      <c r="J340" s="1">
        <f t="shared" si="338"/>
        <v>4.401794967516822</v>
      </c>
      <c r="K340" s="1">
        <f t="shared" si="338"/>
        <v>4.1131722539891351</v>
      </c>
      <c r="L340" s="1">
        <f t="shared" ref="L340:O340" si="339">IFERROR(L112/L96,0)*L324</f>
        <v>4.0769902511041334</v>
      </c>
      <c r="M340" s="1">
        <f t="shared" si="339"/>
        <v>2.8336465176622063</v>
      </c>
      <c r="N340" s="1">
        <f t="shared" si="339"/>
        <v>2.8453701748770341</v>
      </c>
      <c r="O340" s="1">
        <f t="shared" si="339"/>
        <v>2.9100635999842961</v>
      </c>
      <c r="P340" s="1">
        <f t="shared" si="313"/>
        <v>3.1294296814988369</v>
      </c>
      <c r="Q340" s="1">
        <f t="shared" si="313"/>
        <v>3.3059727387239053</v>
      </c>
      <c r="S340" s="3"/>
    </row>
    <row r="341" spans="1:19" x14ac:dyDescent="0.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93"/>
        <v>PJ/yr.</v>
      </c>
      <c r="F341" s="1">
        <f t="shared" ref="F341:K341" si="340">IFERROR(F113/F97,0)*F325</f>
        <v>0</v>
      </c>
      <c r="G341" s="1">
        <f t="shared" si="340"/>
        <v>0</v>
      </c>
      <c r="H341" s="1">
        <f t="shared" si="340"/>
        <v>0</v>
      </c>
      <c r="I341" s="1">
        <f t="shared" si="340"/>
        <v>1.9026062062872744E-3</v>
      </c>
      <c r="J341" s="1">
        <f t="shared" si="340"/>
        <v>6.1770894814611212E-3</v>
      </c>
      <c r="K341" s="1">
        <f t="shared" si="340"/>
        <v>6.0114587193758652E-3</v>
      </c>
      <c r="L341" s="1">
        <f t="shared" ref="L341:O341" si="341">IFERROR(L113/L97,0)*L325</f>
        <v>4.5629132016696723E-3</v>
      </c>
      <c r="M341" s="1">
        <f t="shared" si="341"/>
        <v>9.8876423654133266E-3</v>
      </c>
      <c r="N341" s="1">
        <f t="shared" si="341"/>
        <v>9.9234957268212048E-3</v>
      </c>
      <c r="O341" s="1">
        <f t="shared" si="341"/>
        <v>2.1072976280393823E-2</v>
      </c>
      <c r="P341" s="1">
        <f t="shared" si="313"/>
        <v>1.6262867445205251E-2</v>
      </c>
      <c r="Q341" s="1">
        <f t="shared" si="313"/>
        <v>3.729556173495608E-2</v>
      </c>
      <c r="S341" s="3"/>
    </row>
    <row r="342" spans="1:19" x14ac:dyDescent="0.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93"/>
        <v>PJ/yr.</v>
      </c>
      <c r="F342" s="1">
        <f>SUM(F343:F357)</f>
        <v>1.1432934368019678</v>
      </c>
      <c r="G342" s="1">
        <f t="shared" ref="G342:K342" si="342">SUM(G343:G357)</f>
        <v>1.296078360691908</v>
      </c>
      <c r="H342" s="1">
        <f t="shared" si="342"/>
        <v>1.3796183287225334</v>
      </c>
      <c r="I342" s="1">
        <f t="shared" si="342"/>
        <v>1.6054359509723894</v>
      </c>
      <c r="J342" s="1">
        <f t="shared" si="342"/>
        <v>1.6739631050698314</v>
      </c>
      <c r="K342" s="1">
        <f t="shared" si="342"/>
        <v>1.7169605424731429</v>
      </c>
      <c r="L342" s="1">
        <f t="shared" ref="L342:O342" si="343">SUM(L343:L357)</f>
        <v>1.7804065174672616</v>
      </c>
      <c r="M342" s="1">
        <f t="shared" si="343"/>
        <v>1.824819340558858</v>
      </c>
      <c r="N342" s="1">
        <f t="shared" si="343"/>
        <v>1.8263786992543387</v>
      </c>
      <c r="O342" s="1">
        <f t="shared" si="343"/>
        <v>1.8490716892535231</v>
      </c>
      <c r="P342" s="1">
        <f>SUM(P343:P357)</f>
        <v>1.8639417390179371</v>
      </c>
      <c r="Q342" s="1">
        <f>SUM(Q343:Q357)</f>
        <v>1.9541029140983808</v>
      </c>
      <c r="S342" s="3"/>
    </row>
    <row r="343" spans="1:19" x14ac:dyDescent="0.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93"/>
        <v>PJ/yr.</v>
      </c>
      <c r="F343" s="1">
        <f>F311-F327</f>
        <v>0</v>
      </c>
      <c r="G343" s="1">
        <f t="shared" ref="G343:K343" si="344">G311-G327</f>
        <v>0</v>
      </c>
      <c r="H343" s="1">
        <f t="shared" si="344"/>
        <v>0</v>
      </c>
      <c r="I343" s="1">
        <f t="shared" si="344"/>
        <v>0</v>
      </c>
      <c r="J343" s="1">
        <f t="shared" si="344"/>
        <v>0</v>
      </c>
      <c r="K343" s="1">
        <f t="shared" si="344"/>
        <v>8.2276588058266542E-4</v>
      </c>
      <c r="L343" s="1">
        <f t="shared" ref="L343:O343" si="345">L311-L327</f>
        <v>0.10320967541563952</v>
      </c>
      <c r="M343" s="1">
        <f t="shared" si="345"/>
        <v>0.22315125011862413</v>
      </c>
      <c r="N343" s="1">
        <f t="shared" si="345"/>
        <v>0.2323673116221876</v>
      </c>
      <c r="O343" s="1">
        <f t="shared" si="345"/>
        <v>0.26274849894684493</v>
      </c>
      <c r="P343" s="1">
        <f t="shared" ref="P343:Q357" si="346">P311-P327</f>
        <v>0.28970975956378453</v>
      </c>
      <c r="Q343" s="1">
        <f t="shared" si="346"/>
        <v>0.29145756759711006</v>
      </c>
      <c r="S343" s="3"/>
    </row>
    <row r="344" spans="1:19" x14ac:dyDescent="0.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93"/>
        <v>PJ/yr.</v>
      </c>
      <c r="F344" s="1">
        <f t="shared" ref="F344:K344" si="347">F312-F328</f>
        <v>0</v>
      </c>
      <c r="G344" s="1">
        <f t="shared" si="347"/>
        <v>0</v>
      </c>
      <c r="H344" s="1">
        <f t="shared" si="347"/>
        <v>0</v>
      </c>
      <c r="I344" s="1">
        <f t="shared" si="347"/>
        <v>0</v>
      </c>
      <c r="J344" s="1">
        <f t="shared" si="347"/>
        <v>7.4675063595569177E-4</v>
      </c>
      <c r="K344" s="1">
        <f t="shared" si="347"/>
        <v>4.1976512092313512E-3</v>
      </c>
      <c r="L344" s="1">
        <f t="shared" ref="L344:O344" si="348">L312-L328</f>
        <v>1.9474597272055361E-2</v>
      </c>
      <c r="M344" s="1">
        <f t="shared" si="348"/>
        <v>9.7807671184044764E-3</v>
      </c>
      <c r="N344" s="1">
        <f t="shared" si="348"/>
        <v>1.3419478649697836E-2</v>
      </c>
      <c r="O344" s="1">
        <f t="shared" si="348"/>
        <v>9.9169221396958607E-3</v>
      </c>
      <c r="P344" s="1">
        <f t="shared" si="346"/>
        <v>1.7232915068542132E-3</v>
      </c>
      <c r="Q344" s="1">
        <f t="shared" si="346"/>
        <v>6.2314304455835523E-3</v>
      </c>
      <c r="S344" s="3"/>
    </row>
    <row r="345" spans="1:19" x14ac:dyDescent="0.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93"/>
        <v>PJ/yr.</v>
      </c>
      <c r="F345" s="1">
        <f t="shared" ref="F345:K345" si="349">F313-F329</f>
        <v>0</v>
      </c>
      <c r="G345" s="1">
        <f t="shared" si="349"/>
        <v>0</v>
      </c>
      <c r="H345" s="1">
        <f t="shared" si="349"/>
        <v>0</v>
      </c>
      <c r="I345" s="1">
        <f t="shared" si="349"/>
        <v>0</v>
      </c>
      <c r="J345" s="1">
        <f t="shared" si="349"/>
        <v>0</v>
      </c>
      <c r="K345" s="1">
        <f t="shared" si="349"/>
        <v>3.3359347242219411E-4</v>
      </c>
      <c r="L345" s="1">
        <f t="shared" ref="L345:O345" si="350">L313-L329</f>
        <v>4.4884129702485519E-4</v>
      </c>
      <c r="M345" s="1">
        <f t="shared" si="350"/>
        <v>1.2338593843568128E-3</v>
      </c>
      <c r="N345" s="1">
        <f t="shared" si="350"/>
        <v>5.8252915038135194E-4</v>
      </c>
      <c r="O345" s="1">
        <f t="shared" si="350"/>
        <v>1.0001801831018059E-3</v>
      </c>
      <c r="P345" s="1">
        <f t="shared" si="346"/>
        <v>7.2748034793334779E-4</v>
      </c>
      <c r="Q345" s="1">
        <f t="shared" si="346"/>
        <v>1.4545768348946167E-3</v>
      </c>
      <c r="S345" s="3"/>
    </row>
    <row r="346" spans="1:19" x14ac:dyDescent="0.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93"/>
        <v>PJ/yr.</v>
      </c>
      <c r="F346" s="1">
        <f t="shared" ref="F346:K346" si="351">F314-F330</f>
        <v>3.3618680594745598E-2</v>
      </c>
      <c r="G346" s="1">
        <f t="shared" si="351"/>
        <v>1.1327709921894974E-5</v>
      </c>
      <c r="H346" s="1">
        <f t="shared" si="351"/>
        <v>1.9718278588029166E-3</v>
      </c>
      <c r="I346" s="1">
        <f t="shared" si="351"/>
        <v>4.7939286833261985E-2</v>
      </c>
      <c r="J346" s="1">
        <f t="shared" si="351"/>
        <v>1.6750100884099672E-2</v>
      </c>
      <c r="K346" s="1">
        <f t="shared" si="351"/>
        <v>2.6856450080279926E-2</v>
      </c>
      <c r="L346" s="1">
        <f t="shared" ref="L346:O346" si="352">L314-L330</f>
        <v>1.6382668745963058E-2</v>
      </c>
      <c r="M346" s="1">
        <f t="shared" si="352"/>
        <v>2.3929586766698319E-3</v>
      </c>
      <c r="N346" s="1">
        <f t="shared" si="352"/>
        <v>2.286393239897877E-3</v>
      </c>
      <c r="O346" s="1">
        <f t="shared" si="352"/>
        <v>3.0118278013047117E-4</v>
      </c>
      <c r="P346" s="1">
        <f t="shared" si="346"/>
        <v>1.0594765828906595E-4</v>
      </c>
      <c r="Q346" s="1">
        <f t="shared" si="346"/>
        <v>1.4202086565591292E-4</v>
      </c>
      <c r="S346" s="3"/>
    </row>
    <row r="347" spans="1:19" x14ac:dyDescent="0.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93"/>
        <v>PJ/yr.</v>
      </c>
      <c r="F347" s="1">
        <f t="shared" ref="F347:K347" si="353">F315-F331</f>
        <v>0</v>
      </c>
      <c r="G347" s="1">
        <f t="shared" si="353"/>
        <v>0</v>
      </c>
      <c r="H347" s="1">
        <f t="shared" si="353"/>
        <v>0</v>
      </c>
      <c r="I347" s="1">
        <f t="shared" si="353"/>
        <v>0</v>
      </c>
      <c r="J347" s="1">
        <f t="shared" si="353"/>
        <v>0</v>
      </c>
      <c r="K347" s="1">
        <f t="shared" si="353"/>
        <v>1.2093635599928543E-2</v>
      </c>
      <c r="L347" s="1">
        <f t="shared" ref="L347:O347" si="354">L315-L331</f>
        <v>1.9711997532684489E-2</v>
      </c>
      <c r="M347" s="1">
        <f t="shared" si="354"/>
        <v>1.7643631227378664E-2</v>
      </c>
      <c r="N347" s="1">
        <f t="shared" si="354"/>
        <v>1.4091431564206114E-2</v>
      </c>
      <c r="O347" s="1">
        <f t="shared" si="354"/>
        <v>9.0179237083310992E-3</v>
      </c>
      <c r="P347" s="1">
        <f t="shared" si="346"/>
        <v>4.5642924443782193E-4</v>
      </c>
      <c r="Q347" s="1">
        <f t="shared" si="346"/>
        <v>3.4130195180224338E-4</v>
      </c>
      <c r="S347" s="3"/>
    </row>
    <row r="348" spans="1:19" x14ac:dyDescent="0.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93"/>
        <v>PJ/yr.</v>
      </c>
      <c r="F348" s="1">
        <f t="shared" ref="F348:K348" si="355">F316-F332</f>
        <v>2.3400151993284934E-2</v>
      </c>
      <c r="G348" s="1">
        <f t="shared" si="355"/>
        <v>5.2513746918545351E-3</v>
      </c>
      <c r="H348" s="1">
        <f t="shared" si="355"/>
        <v>6.9856214164091962E-3</v>
      </c>
      <c r="I348" s="1">
        <f t="shared" si="355"/>
        <v>3.6150006389116696E-2</v>
      </c>
      <c r="J348" s="1">
        <f t="shared" si="355"/>
        <v>2.2634653926271509E-2</v>
      </c>
      <c r="K348" s="1">
        <f t="shared" si="355"/>
        <v>5.0616574057908981E-3</v>
      </c>
      <c r="L348" s="1">
        <f t="shared" ref="L348:O348" si="356">L316-L332</f>
        <v>2.4630395419493467E-3</v>
      </c>
      <c r="M348" s="1">
        <f t="shared" si="356"/>
        <v>1.363504778708044E-3</v>
      </c>
      <c r="N348" s="1">
        <f t="shared" si="356"/>
        <v>6.2597465435026978E-4</v>
      </c>
      <c r="O348" s="1">
        <f t="shared" si="356"/>
        <v>6.5895423993422159E-4</v>
      </c>
      <c r="P348" s="1">
        <f t="shared" si="346"/>
        <v>9.7169427615022286E-4</v>
      </c>
      <c r="Q348" s="1">
        <f t="shared" si="346"/>
        <v>1.8156192343384975E-3</v>
      </c>
      <c r="S348" s="3"/>
    </row>
    <row r="349" spans="1:19" x14ac:dyDescent="0.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93"/>
        <v>PJ/yr.</v>
      </c>
      <c r="F349" s="1">
        <f t="shared" ref="F349:K349" si="357">F317-F333</f>
        <v>0</v>
      </c>
      <c r="G349" s="1">
        <f t="shared" si="357"/>
        <v>0</v>
      </c>
      <c r="H349" s="1">
        <f t="shared" si="357"/>
        <v>0</v>
      </c>
      <c r="I349" s="1">
        <f t="shared" si="357"/>
        <v>0</v>
      </c>
      <c r="J349" s="1">
        <f t="shared" si="357"/>
        <v>0</v>
      </c>
      <c r="K349" s="1">
        <f t="shared" si="357"/>
        <v>0</v>
      </c>
      <c r="L349" s="1">
        <f t="shared" ref="L349:O349" si="358">L317-L333</f>
        <v>0</v>
      </c>
      <c r="M349" s="1">
        <f t="shared" si="358"/>
        <v>0</v>
      </c>
      <c r="N349" s="1">
        <f t="shared" si="358"/>
        <v>0</v>
      </c>
      <c r="O349" s="1">
        <f t="shared" si="358"/>
        <v>0</v>
      </c>
      <c r="P349" s="1">
        <f t="shared" si="346"/>
        <v>0</v>
      </c>
      <c r="Q349" s="1">
        <f t="shared" si="346"/>
        <v>0</v>
      </c>
      <c r="S349" s="3"/>
    </row>
    <row r="350" spans="1:19" x14ac:dyDescent="0.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93"/>
        <v>PJ/yr.</v>
      </c>
      <c r="F350" s="1">
        <f t="shared" ref="F350:K350" si="359">F318-F334</f>
        <v>0</v>
      </c>
      <c r="G350" s="1">
        <f t="shared" si="359"/>
        <v>0</v>
      </c>
      <c r="H350" s="1">
        <f t="shared" si="359"/>
        <v>0</v>
      </c>
      <c r="I350" s="1">
        <f t="shared" si="359"/>
        <v>0</v>
      </c>
      <c r="J350" s="1">
        <f t="shared" si="359"/>
        <v>0</v>
      </c>
      <c r="K350" s="1">
        <f t="shared" si="359"/>
        <v>0</v>
      </c>
      <c r="L350" s="1">
        <f t="shared" ref="L350:O350" si="360">L318-L334</f>
        <v>0</v>
      </c>
      <c r="M350" s="1">
        <f t="shared" si="360"/>
        <v>0</v>
      </c>
      <c r="N350" s="1">
        <f t="shared" si="360"/>
        <v>0</v>
      </c>
      <c r="O350" s="1">
        <f t="shared" si="360"/>
        <v>0</v>
      </c>
      <c r="P350" s="1">
        <f t="shared" si="346"/>
        <v>0</v>
      </c>
      <c r="Q350" s="1">
        <f t="shared" si="346"/>
        <v>0</v>
      </c>
      <c r="S350" s="3"/>
    </row>
    <row r="351" spans="1:19" x14ac:dyDescent="0.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93"/>
        <v>PJ/yr.</v>
      </c>
      <c r="F351" s="1">
        <f t="shared" ref="F351:K351" si="361">F319-F335</f>
        <v>5.1227410816782198E-4</v>
      </c>
      <c r="G351" s="1">
        <f t="shared" si="361"/>
        <v>1.4255750298417056E-4</v>
      </c>
      <c r="H351" s="1">
        <f t="shared" si="361"/>
        <v>1.1456373809461805E-3</v>
      </c>
      <c r="I351" s="1">
        <f t="shared" si="361"/>
        <v>4.6854503876720723E-4</v>
      </c>
      <c r="J351" s="1">
        <f t="shared" si="361"/>
        <v>5.1789495076383016E-4</v>
      </c>
      <c r="K351" s="1">
        <f t="shared" si="361"/>
        <v>3.9940688513050854E-4</v>
      </c>
      <c r="L351" s="1">
        <f t="shared" ref="L351:O351" si="362">L319-L335</f>
        <v>3.7950528647839529E-4</v>
      </c>
      <c r="M351" s="1">
        <f t="shared" si="362"/>
        <v>4.4033721170452095E-4</v>
      </c>
      <c r="N351" s="1">
        <f t="shared" si="362"/>
        <v>3.3382766628356486E-4</v>
      </c>
      <c r="O351" s="1">
        <f t="shared" si="362"/>
        <v>3.4946215227122171E-4</v>
      </c>
      <c r="P351" s="1">
        <f t="shared" si="346"/>
        <v>1.5941013275971305E-3</v>
      </c>
      <c r="Q351" s="1">
        <f t="shared" si="346"/>
        <v>1.9703207124505823E-3</v>
      </c>
      <c r="S351" s="3"/>
    </row>
    <row r="352" spans="1:19" x14ac:dyDescent="0.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93"/>
        <v>PJ/yr.</v>
      </c>
      <c r="F352" s="1">
        <f t="shared" ref="F352:K352" si="363">F320-F336</f>
        <v>0</v>
      </c>
      <c r="G352" s="1">
        <f t="shared" si="363"/>
        <v>0</v>
      </c>
      <c r="H352" s="1">
        <f t="shared" si="363"/>
        <v>0</v>
      </c>
      <c r="I352" s="1">
        <f t="shared" si="363"/>
        <v>2.595153878757377E-5</v>
      </c>
      <c r="J352" s="1">
        <f t="shared" si="363"/>
        <v>7.2617752171225125E-5</v>
      </c>
      <c r="K352" s="1">
        <f t="shared" si="363"/>
        <v>5.1903051309493391E-5</v>
      </c>
      <c r="L352" s="1">
        <f t="shared" ref="L352:O352" si="364">L320-L336</f>
        <v>4.0529497240708763E-5</v>
      </c>
      <c r="M352" s="1">
        <f t="shared" si="364"/>
        <v>8.6625355926292676E-5</v>
      </c>
      <c r="N352" s="1">
        <f t="shared" si="364"/>
        <v>6.4337403996030454E-5</v>
      </c>
      <c r="O352" s="1">
        <f t="shared" si="364"/>
        <v>9.9232347102755705E-5</v>
      </c>
      <c r="P352" s="1">
        <f t="shared" si="346"/>
        <v>9.7466056010270252E-5</v>
      </c>
      <c r="Q352" s="1">
        <f t="shared" si="346"/>
        <v>1.9852541677046857E-4</v>
      </c>
      <c r="S352" s="3"/>
    </row>
    <row r="353" spans="1:19" x14ac:dyDescent="0.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93"/>
        <v>PJ/yr.</v>
      </c>
      <c r="F353" s="1">
        <f t="shared" ref="F353:K353" si="365">F321-F337</f>
        <v>9.1854510670673351E-4</v>
      </c>
      <c r="G353" s="1">
        <f t="shared" si="365"/>
        <v>1.1227773236440648E-3</v>
      </c>
      <c r="H353" s="1">
        <f t="shared" si="365"/>
        <v>1.0418382536653059E-2</v>
      </c>
      <c r="I353" s="1">
        <f t="shared" si="365"/>
        <v>2.8408033152401813E-2</v>
      </c>
      <c r="J353" s="1">
        <f t="shared" si="365"/>
        <v>2.3813386254417868E-2</v>
      </c>
      <c r="K353" s="1">
        <f t="shared" si="365"/>
        <v>1.9300762949930772E-2</v>
      </c>
      <c r="L353" s="1">
        <f t="shared" ref="L353:O353" si="366">L321-L337</f>
        <v>1.3101808511549962E-2</v>
      </c>
      <c r="M353" s="1">
        <f t="shared" si="366"/>
        <v>1.2735485365688692E-2</v>
      </c>
      <c r="N353" s="1">
        <f t="shared" si="366"/>
        <v>1.142238358568759E-2</v>
      </c>
      <c r="O353" s="1">
        <f t="shared" si="366"/>
        <v>1.0291766787271284E-2</v>
      </c>
      <c r="P353" s="1">
        <f t="shared" si="346"/>
        <v>9.5388469729053016E-3</v>
      </c>
      <c r="Q353" s="1">
        <f t="shared" si="346"/>
        <v>9.0484803189240237E-3</v>
      </c>
      <c r="S353" s="3"/>
    </row>
    <row r="354" spans="1:19" x14ac:dyDescent="0.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93"/>
        <v>PJ/yr.</v>
      </c>
      <c r="F354" s="1">
        <f t="shared" ref="F354:K354" si="367">F322-F338</f>
        <v>0</v>
      </c>
      <c r="G354" s="1">
        <f t="shared" si="367"/>
        <v>0</v>
      </c>
      <c r="H354" s="1">
        <f t="shared" si="367"/>
        <v>0</v>
      </c>
      <c r="I354" s="1">
        <f t="shared" si="367"/>
        <v>1.1398970091238726E-4</v>
      </c>
      <c r="J354" s="1">
        <f t="shared" si="367"/>
        <v>3.5673817220463998E-4</v>
      </c>
      <c r="K354" s="1">
        <f t="shared" si="367"/>
        <v>2.5640145328688357E-4</v>
      </c>
      <c r="L354" s="1">
        <f t="shared" ref="L354:O354" si="368">L322-L338</f>
        <v>2.1410364162431465E-4</v>
      </c>
      <c r="M354" s="1">
        <f t="shared" si="368"/>
        <v>5.266639089072031E-4</v>
      </c>
      <c r="N354" s="1">
        <f t="shared" si="368"/>
        <v>4.1614182228737195E-4</v>
      </c>
      <c r="O354" s="1">
        <f t="shared" si="368"/>
        <v>8.1715425558092497E-4</v>
      </c>
      <c r="P354" s="1">
        <f t="shared" si="346"/>
        <v>8.1008603767843135E-4</v>
      </c>
      <c r="Q354" s="1">
        <f t="shared" si="346"/>
        <v>1.5656923381801718E-3</v>
      </c>
      <c r="S354" s="3"/>
    </row>
    <row r="355" spans="1:19" x14ac:dyDescent="0.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93"/>
        <v>PJ/yr.</v>
      </c>
      <c r="F355" s="1">
        <f t="shared" ref="F355:K355" si="369">F323-F339</f>
        <v>1.0647088632609321</v>
      </c>
      <c r="G355" s="1">
        <f t="shared" si="369"/>
        <v>1.2550838619256732</v>
      </c>
      <c r="H355" s="1">
        <f t="shared" si="369"/>
        <v>1.2997673676082089</v>
      </c>
      <c r="I355" s="1">
        <f t="shared" si="369"/>
        <v>1.3814536202996692</v>
      </c>
      <c r="J355" s="1">
        <f t="shared" si="369"/>
        <v>1.4573042207871751</v>
      </c>
      <c r="K355" s="1">
        <f t="shared" si="369"/>
        <v>1.5468305223591206</v>
      </c>
      <c r="L355" s="1">
        <f t="shared" ref="L355:O355" si="370">L323-L339</f>
        <v>1.5306963280451609</v>
      </c>
      <c r="M355" s="1">
        <f t="shared" si="370"/>
        <v>1.508724091047164</v>
      </c>
      <c r="N355" s="1">
        <f t="shared" si="370"/>
        <v>1.5077866852613613</v>
      </c>
      <c r="O355" s="1">
        <f t="shared" si="370"/>
        <v>1.5115113819503447</v>
      </c>
      <c r="P355" s="1">
        <f t="shared" si="346"/>
        <v>1.5118040626744353</v>
      </c>
      <c r="Q355" s="1">
        <f t="shared" si="346"/>
        <v>1.5856651587230051</v>
      </c>
      <c r="S355" s="3"/>
    </row>
    <row r="356" spans="1:19" x14ac:dyDescent="0.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93"/>
        <v>PJ/yr.</v>
      </c>
      <c r="F356" s="1">
        <f t="shared" ref="F356:K356" si="371">F324-F340</f>
        <v>2.0134921738130696E-2</v>
      </c>
      <c r="G356" s="1">
        <f t="shared" si="371"/>
        <v>3.4466461537829951E-2</v>
      </c>
      <c r="H356" s="1">
        <f t="shared" si="371"/>
        <v>5.9329491921513156E-2</v>
      </c>
      <c r="I356" s="1">
        <f t="shared" si="371"/>
        <v>0.11079416294765965</v>
      </c>
      <c r="J356" s="1">
        <f t="shared" si="371"/>
        <v>0.15155406414627226</v>
      </c>
      <c r="K356" s="1">
        <f t="shared" si="371"/>
        <v>0.10060875103076938</v>
      </c>
      <c r="L356" s="1">
        <f t="shared" ref="L356:O356" si="372">L324-L340</f>
        <v>7.4200378604175832E-2</v>
      </c>
      <c r="M356" s="1">
        <f t="shared" si="372"/>
        <v>4.6577639726603337E-2</v>
      </c>
      <c r="N356" s="1">
        <f t="shared" si="372"/>
        <v>4.2832821147320121E-2</v>
      </c>
      <c r="O356" s="1">
        <f t="shared" si="372"/>
        <v>4.2054495734481723E-2</v>
      </c>
      <c r="P356" s="1">
        <f t="shared" si="346"/>
        <v>4.6162677402783014E-2</v>
      </c>
      <c r="Q356" s="1">
        <f t="shared" si="346"/>
        <v>5.3607459585570449E-2</v>
      </c>
      <c r="S356" s="3"/>
    </row>
    <row r="357" spans="1:19" x14ac:dyDescent="0.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93"/>
        <v>PJ/yr.</v>
      </c>
      <c r="F357" s="1">
        <f t="shared" ref="F357:K357" si="373">F325-F341</f>
        <v>0</v>
      </c>
      <c r="G357" s="1">
        <f t="shared" si="373"/>
        <v>0</v>
      </c>
      <c r="H357" s="1">
        <f t="shared" si="373"/>
        <v>0</v>
      </c>
      <c r="I357" s="1">
        <f t="shared" si="373"/>
        <v>8.2355071813081191E-5</v>
      </c>
      <c r="J357" s="1">
        <f t="shared" si="373"/>
        <v>2.126775604995388E-4</v>
      </c>
      <c r="K357" s="1">
        <f t="shared" si="373"/>
        <v>1.4704109535963739E-4</v>
      </c>
      <c r="L357" s="1">
        <f t="shared" ref="L357:O357" si="374">L325-L341</f>
        <v>8.3044075714968149E-5</v>
      </c>
      <c r="M357" s="1">
        <f t="shared" si="374"/>
        <v>1.6252663872192395E-4</v>
      </c>
      <c r="N357" s="1">
        <f t="shared" si="374"/>
        <v>1.4938348668165971E-4</v>
      </c>
      <c r="O357" s="1">
        <f t="shared" si="374"/>
        <v>3.0453402843204011E-4</v>
      </c>
      <c r="P357" s="1">
        <f t="shared" si="346"/>
        <v>2.3989594907838571E-4</v>
      </c>
      <c r="Q357" s="1">
        <f t="shared" si="346"/>
        <v>6.0476007409532989E-4</v>
      </c>
      <c r="S357" s="3"/>
    </row>
    <row r="358" spans="1:19" x14ac:dyDescent="0.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75">E357</f>
        <v>PJ/yr.</v>
      </c>
      <c r="F358" s="1">
        <f>SUM(F359:F364)</f>
        <v>22.481419765178345</v>
      </c>
      <c r="G358" s="1">
        <f t="shared" ref="G358:K358" si="376">SUM(G359:G364)</f>
        <v>24.524606630892979</v>
      </c>
      <c r="H358" s="1">
        <f t="shared" si="376"/>
        <v>25.806588970032681</v>
      </c>
      <c r="I358" s="1">
        <f t="shared" si="376"/>
        <v>25.100735192486567</v>
      </c>
      <c r="J358" s="1">
        <f t="shared" si="376"/>
        <v>25.505770372333018</v>
      </c>
      <c r="K358" s="1">
        <f t="shared" si="376"/>
        <v>26.163377188099489</v>
      </c>
      <c r="L358" s="1">
        <f t="shared" ref="L358:O358" si="377">SUM(L359:L364)</f>
        <v>26.867826716895166</v>
      </c>
      <c r="M358" s="1">
        <f t="shared" si="377"/>
        <v>27.638205462506448</v>
      </c>
      <c r="N358" s="1">
        <f t="shared" si="377"/>
        <v>27.638147118475953</v>
      </c>
      <c r="O358" s="1">
        <f t="shared" si="377"/>
        <v>27.638145092881199</v>
      </c>
      <c r="P358" s="1">
        <f>SUM(P359:P364)</f>
        <v>27.63813181697958</v>
      </c>
      <c r="Q358" s="1">
        <f>SUM(Q359:Q364)</f>
        <v>27.638106531322652</v>
      </c>
      <c r="S358" s="3"/>
    </row>
    <row r="359" spans="1:19" x14ac:dyDescent="0.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75"/>
        <v>PJ/yr.</v>
      </c>
      <c r="F359" s="1">
        <f>'[1]Electricity and CHPs_IN'!B$19</f>
        <v>18.203591518172477</v>
      </c>
      <c r="G359" s="1">
        <f>'[1]Electricity and CHPs_IN'!C$19</f>
        <v>20.42978458717597</v>
      </c>
      <c r="H359" s="1">
        <f>'[1]Electricity and CHPs_IN'!D$19</f>
        <v>21.550790171917555</v>
      </c>
      <c r="I359" s="1">
        <f>'[1]Electricity and CHPs_IN'!E$19</f>
        <v>20.69659417128959</v>
      </c>
      <c r="J359" s="1">
        <f>'[1]Electricity and CHPs_IN'!F$19</f>
        <v>20.958781822520375</v>
      </c>
      <c r="K359" s="1">
        <f>'[1]Electricity and CHPs_IN'!G$19</f>
        <v>21.451614429755175</v>
      </c>
      <c r="L359" s="1">
        <f>'[1]Electricity and CHPs_IN'!H$19</f>
        <v>21.956352013254126</v>
      </c>
      <c r="M359" s="1">
        <f>'[1]Electricity and CHPs_IN'!I$19</f>
        <v>22.47346106597216</v>
      </c>
      <c r="N359" s="1">
        <f>'[1]Electricity and CHPs_IN'!J$19</f>
        <v>22.473428605535837</v>
      </c>
      <c r="O359" s="1">
        <f>'[1]Electricity and CHPs_IN'!K$19</f>
        <v>22.473442803204087</v>
      </c>
      <c r="P359" s="1">
        <f>'[1]Electricity and CHPs_IN'!L$19</f>
        <v>22.473447446011438</v>
      </c>
      <c r="Q359" s="1">
        <f>'[1]Electricity and CHPs_IN'!M$19</f>
        <v>22.473548933342769</v>
      </c>
      <c r="S359" s="3"/>
    </row>
    <row r="360" spans="1:19" x14ac:dyDescent="0.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7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'[1]Electricity and CHPs_IN'!F$20</f>
        <v>0</v>
      </c>
      <c r="K360" s="1">
        <f>'[1]Electricity and CHPs_IN'!G$20</f>
        <v>0</v>
      </c>
      <c r="L360" s="1">
        <f>'[1]Electricity and CHPs_IN'!H$20</f>
        <v>0</v>
      </c>
      <c r="M360" s="1">
        <f>'[1]Electricity and CHPs_IN'!I$20</f>
        <v>0</v>
      </c>
      <c r="N360" s="1">
        <f>'[1]Electricity and CHPs_IN'!J$20</f>
        <v>0</v>
      </c>
      <c r="O360" s="1">
        <f>'[1]Electricity and CHPs_IN'!K$20</f>
        <v>0</v>
      </c>
      <c r="P360" s="1">
        <f>'[1]Electricity and CHPs_IN'!L$20</f>
        <v>0</v>
      </c>
      <c r="Q360" s="1">
        <f>'[1]Electricity and CHPs_IN'!M$20</f>
        <v>0</v>
      </c>
      <c r="S360" s="3"/>
    </row>
    <row r="361" spans="1:19" x14ac:dyDescent="0.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75"/>
        <v>PJ/yr.</v>
      </c>
      <c r="F361" s="1">
        <f>IFERROR(F133/SUM(F133,F198),0)*'[1]Electricity and CHPs_IN'!B$26</f>
        <v>3.8833840040911332</v>
      </c>
      <c r="G361" s="1">
        <f>IFERROR(G133/SUM(G133,G198),0)*'[1]Electricity and CHPs_IN'!C$26</f>
        <v>3.6856295675452766</v>
      </c>
      <c r="H361" s="1">
        <f>IFERROR(H133/SUM(H133,H198),0)*'[1]Electricity and CHPs_IN'!D$26</f>
        <v>3.6221325447540984</v>
      </c>
      <c r="I361" s="1">
        <f>IFERROR(I133/SUM(I133,I198),0)*'[1]Electricity and CHPs_IN'!E$26</f>
        <v>3.7098281941999378</v>
      </c>
      <c r="J361" s="1">
        <f>IFERROR(J133/SUM(J133,J198),0)*'[1]Electricity and CHPs_IN'!F$26</f>
        <v>3.7773205317218586</v>
      </c>
      <c r="K361" s="1">
        <f>IFERROR(K133/SUM(K133,K198),0)*'[1]Electricity and CHPs_IN'!G$26</f>
        <v>3.840375189379102</v>
      </c>
      <c r="L361" s="1">
        <f>IFERROR(L133/SUM(L133,L198),0)*'[1]Electricity and CHPs_IN'!H$26</f>
        <v>3.9058242388895983</v>
      </c>
      <c r="M361" s="1">
        <f>IFERROR(M133/SUM(M133,M198),0)*'[1]Electricity and CHPs_IN'!I$26</f>
        <v>3.9736873019261107</v>
      </c>
      <c r="N361" s="1">
        <f>IFERROR(N133/SUM(N133,N198),0)*'[1]Electricity and CHPs_IN'!J$26</f>
        <v>3.9736709487798016</v>
      </c>
      <c r="O361" s="1">
        <f>IFERROR(O133/SUM(O133,O198),0)*'[1]Electricity and CHPs_IN'!K$26</f>
        <v>3.9736458734410638</v>
      </c>
      <c r="P361" s="1">
        <f>IFERROR(P133/SUM(P133,P198),0)*'[1]Electricity and CHPs_IN'!L$26</f>
        <v>3.9736348600619502</v>
      </c>
      <c r="Q361" s="1">
        <f>IFERROR(Q133/SUM(Q133,Q198),0)*'[1]Electricity and CHPs_IN'!M$26</f>
        <v>3.9734816179110526</v>
      </c>
      <c r="S361" s="3"/>
    </row>
    <row r="362" spans="1:19" x14ac:dyDescent="0.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7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IFERROR(J134/SUM(J134,J199),0)*'[1]Electricity and CHPs_IN'!F$27</f>
        <v>0</v>
      </c>
      <c r="K362" s="1">
        <f>IFERROR(K134/SUM(K134,K199),0)*'[1]Electricity and CHPs_IN'!G$27</f>
        <v>0</v>
      </c>
      <c r="L362" s="1">
        <f>IFERROR(L134/SUM(L134,L199),0)*'[1]Electricity and CHPs_IN'!H$27</f>
        <v>0</v>
      </c>
      <c r="M362" s="1">
        <f>IFERROR(M134/SUM(M134,M199),0)*'[1]Electricity and CHPs_IN'!I$27</f>
        <v>0</v>
      </c>
      <c r="N362" s="1">
        <f>IFERROR(N134/SUM(N134,N199),0)*'[1]Electricity and CHPs_IN'!J$27</f>
        <v>0</v>
      </c>
      <c r="O362" s="1">
        <f>IFERROR(O134/SUM(O134,O199),0)*'[1]Electricity and CHPs_IN'!K$27</f>
        <v>0</v>
      </c>
      <c r="P362" s="1">
        <f>IFERROR(P134/SUM(P134,P199),0)*'[1]Electricity and CHPs_IN'!L$27</f>
        <v>0</v>
      </c>
      <c r="Q362" s="1">
        <f>IFERROR(Q134/SUM(Q134,Q199),0)*'[1]Electricity and CHPs_IN'!M$27</f>
        <v>0</v>
      </c>
      <c r="S362" s="3"/>
    </row>
    <row r="363" spans="1:19" x14ac:dyDescent="0.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75"/>
        <v>PJ/yr.</v>
      </c>
      <c r="F363" s="1">
        <f>IFERROR(F135/SUM(F135,F274),0)*'[1]Electricity and CHPs_IN'!B$44</f>
        <v>0.39444424291473229</v>
      </c>
      <c r="G363" s="1">
        <f>IFERROR(G135/SUM(G135,G274),0)*'[1]Electricity and CHPs_IN'!C$44</f>
        <v>0.40919247617173254</v>
      </c>
      <c r="H363" s="1">
        <f>IFERROR(H135/SUM(H135,H274),0)*'[1]Electricity and CHPs_IN'!D$44</f>
        <v>0.63366625336102855</v>
      </c>
      <c r="I363" s="1">
        <f>IFERROR(I135/SUM(I135,I274),0)*'[1]Electricity and CHPs_IN'!E$44</f>
        <v>0.69431282699704255</v>
      </c>
      <c r="J363" s="1">
        <f>IFERROR(J135/SUM(J135,J274),0)*'[1]Electricity and CHPs_IN'!F$44</f>
        <v>0.76966801809078467</v>
      </c>
      <c r="K363" s="1">
        <f>IFERROR(K135/SUM(K135,K274),0)*'[1]Electricity and CHPs_IN'!G$44</f>
        <v>0.87138756896521186</v>
      </c>
      <c r="L363" s="1">
        <f>IFERROR(L135/SUM(L135,L274),0)*'[1]Electricity and CHPs_IN'!H$44</f>
        <v>1.0056504647514453</v>
      </c>
      <c r="M363" s="1">
        <f>IFERROR(M135/SUM(M135,M274),0)*'[1]Electricity and CHPs_IN'!I$44</f>
        <v>1.1910570946081778</v>
      </c>
      <c r="N363" s="1">
        <f>IFERROR(N135/SUM(N135,N274),0)*'[1]Electricity and CHPs_IN'!J$44</f>
        <v>1.1910475641603158</v>
      </c>
      <c r="O363" s="1">
        <f>IFERROR(O135/SUM(O135,O274),0)*'[1]Electricity and CHPs_IN'!K$44</f>
        <v>1.191056416236048</v>
      </c>
      <c r="P363" s="1">
        <f>IFERROR(P135/SUM(P135,P274),0)*'[1]Electricity and CHPs_IN'!L$44</f>
        <v>1.1910495109061918</v>
      </c>
      <c r="Q363" s="1">
        <f>IFERROR(Q135/SUM(Q135,Q274),0)*'[1]Electricity and CHPs_IN'!M$44</f>
        <v>1.1910759800688324</v>
      </c>
      <c r="S363" s="3"/>
    </row>
    <row r="364" spans="1:19" x14ac:dyDescent="0.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7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IFERROR(J136/SUM(J136,J275),0)*'[1]Electricity and CHPs_IN'!F$45</f>
        <v>0</v>
      </c>
      <c r="K364" s="1">
        <f>IFERROR(K136/SUM(K136,K275),0)*'[1]Electricity and CHPs_IN'!G$45</f>
        <v>0</v>
      </c>
      <c r="L364" s="1">
        <f>IFERROR(L136/SUM(L136,L275),0)*'[1]Electricity and CHPs_IN'!H$45</f>
        <v>0</v>
      </c>
      <c r="M364" s="1">
        <f>IFERROR(M136/SUM(M136,M275),0)*'[1]Electricity and CHPs_IN'!I$45</f>
        <v>0</v>
      </c>
      <c r="N364" s="1">
        <f>IFERROR(N136/SUM(N136,N275),0)*'[1]Electricity and CHPs_IN'!J$45</f>
        <v>0</v>
      </c>
      <c r="O364" s="1">
        <f>IFERROR(O136/SUM(O136,O275),0)*'[1]Electricity and CHPs_IN'!K$45</f>
        <v>0</v>
      </c>
      <c r="P364" s="1">
        <f>IFERROR(P136/SUM(P136,P275),0)*'[1]Electricity and CHPs_IN'!L$45</f>
        <v>0</v>
      </c>
      <c r="Q364" s="1">
        <f>IFERROR(Q136/SUM(Q136,Q275),0)*'[1]Electricity and CHPs_IN'!M$45</f>
        <v>0</v>
      </c>
      <c r="S364" s="3"/>
    </row>
    <row r="365" spans="1:19" x14ac:dyDescent="0.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75"/>
        <v>PJ/yr.</v>
      </c>
      <c r="F365" s="1">
        <f>SUM(F366:F369)</f>
        <v>11.043487761131805</v>
      </c>
      <c r="G365" s="1">
        <f t="shared" ref="G365:K365" si="378">SUM(G366:G369)</f>
        <v>12.057707077360622</v>
      </c>
      <c r="H365" s="1">
        <f t="shared" si="378"/>
        <v>12.586461358335825</v>
      </c>
      <c r="I365" s="1">
        <f t="shared" si="378"/>
        <v>12.203211182744763</v>
      </c>
      <c r="J365" s="1">
        <f t="shared" si="378"/>
        <v>12.368051177121115</v>
      </c>
      <c r="K365" s="1">
        <f t="shared" si="378"/>
        <v>12.645994809567139</v>
      </c>
      <c r="L365" s="1">
        <f t="shared" ref="L365:O365" si="379">SUM(L366:L369)</f>
        <v>12.931088126071861</v>
      </c>
      <c r="M365" s="1">
        <f t="shared" si="379"/>
        <v>13.223574183949136</v>
      </c>
      <c r="N365" s="1">
        <f t="shared" si="379"/>
        <v>13.223549777157819</v>
      </c>
      <c r="O365" s="1">
        <f t="shared" si="379"/>
        <v>13.223544338322576</v>
      </c>
      <c r="P365" s="1">
        <f>SUM(P366:P369)</f>
        <v>13.223541153036694</v>
      </c>
      <c r="Q365" s="1">
        <f>SUM(Q366:Q369)</f>
        <v>13.223515275626911</v>
      </c>
      <c r="S365" s="3"/>
    </row>
    <row r="366" spans="1:19" x14ac:dyDescent="0.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75"/>
        <v>PJ/yr.</v>
      </c>
      <c r="F366" s="1">
        <f>F359*IFERROR(F138/F131,0)</f>
        <v>9.1017957590862384</v>
      </c>
      <c r="G366" s="1">
        <f t="shared" ref="G366:K366" si="380">G359*IFERROR(G138/G131,0)</f>
        <v>10.214892293587983</v>
      </c>
      <c r="H366" s="1">
        <f t="shared" si="380"/>
        <v>10.775395085958776</v>
      </c>
      <c r="I366" s="1">
        <f t="shared" si="380"/>
        <v>10.348297085644795</v>
      </c>
      <c r="J366" s="1">
        <f t="shared" si="380"/>
        <v>10.479390911260186</v>
      </c>
      <c r="K366" s="1">
        <f t="shared" si="380"/>
        <v>10.725807214877587</v>
      </c>
      <c r="L366" s="1">
        <f t="shared" ref="L366:O366" si="381">L359*IFERROR(L138/L131,0)</f>
        <v>10.978176006627063</v>
      </c>
      <c r="M366" s="1">
        <f t="shared" si="381"/>
        <v>11.23673053298608</v>
      </c>
      <c r="N366" s="1">
        <f t="shared" si="381"/>
        <v>11.236714302767918</v>
      </c>
      <c r="O366" s="1">
        <f t="shared" si="381"/>
        <v>11.236721401602043</v>
      </c>
      <c r="P366" s="1">
        <f t="shared" ref="P366:Q371" si="382">P359*IFERROR(P138/P131,0)</f>
        <v>11.236723723005719</v>
      </c>
      <c r="Q366" s="1">
        <f t="shared" si="382"/>
        <v>11.236774466671385</v>
      </c>
      <c r="S366" s="3"/>
    </row>
    <row r="367" spans="1:19" x14ac:dyDescent="0.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75"/>
        <v>PJ/yr.</v>
      </c>
      <c r="F367" s="1">
        <f t="shared" ref="F367:K367" si="383">F360*IFERROR(F139/F132,0)</f>
        <v>0</v>
      </c>
      <c r="G367" s="1">
        <f t="shared" si="383"/>
        <v>0</v>
      </c>
      <c r="H367" s="1">
        <f t="shared" si="383"/>
        <v>0</v>
      </c>
      <c r="I367" s="1">
        <f t="shared" si="383"/>
        <v>0</v>
      </c>
      <c r="J367" s="1">
        <f t="shared" si="383"/>
        <v>0</v>
      </c>
      <c r="K367" s="1">
        <f t="shared" si="383"/>
        <v>0</v>
      </c>
      <c r="L367" s="1">
        <f t="shared" ref="L367:O367" si="384">L360*IFERROR(L139/L132,0)</f>
        <v>0</v>
      </c>
      <c r="M367" s="1">
        <f t="shared" si="384"/>
        <v>0</v>
      </c>
      <c r="N367" s="1">
        <f t="shared" si="384"/>
        <v>0</v>
      </c>
      <c r="O367" s="1">
        <f t="shared" si="384"/>
        <v>0</v>
      </c>
      <c r="P367" s="1">
        <f t="shared" si="382"/>
        <v>0</v>
      </c>
      <c r="Q367" s="1">
        <f t="shared" si="382"/>
        <v>0</v>
      </c>
      <c r="S367" s="3"/>
    </row>
    <row r="368" spans="1:19" x14ac:dyDescent="0.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75"/>
        <v>PJ/yr.</v>
      </c>
      <c r="F368" s="1">
        <f t="shared" ref="F368:K368" si="385">F361*IFERROR(F140/F133,0)</f>
        <v>1.9416920020455666</v>
      </c>
      <c r="G368" s="1">
        <f t="shared" si="385"/>
        <v>1.8428147837726383</v>
      </c>
      <c r="H368" s="1">
        <f t="shared" si="385"/>
        <v>1.8110662723770492</v>
      </c>
      <c r="I368" s="1">
        <f t="shared" si="385"/>
        <v>1.8549140970999687</v>
      </c>
      <c r="J368" s="1">
        <f t="shared" si="385"/>
        <v>1.8886602658609293</v>
      </c>
      <c r="K368" s="1">
        <f t="shared" si="385"/>
        <v>1.920187594689551</v>
      </c>
      <c r="L368" s="1">
        <f t="shared" ref="L368:O368" si="386">L361*IFERROR(L140/L133,0)</f>
        <v>1.9529121194447991</v>
      </c>
      <c r="M368" s="1">
        <f t="shared" si="386"/>
        <v>1.9868436509630554</v>
      </c>
      <c r="N368" s="1">
        <f t="shared" si="386"/>
        <v>1.9868354743899008</v>
      </c>
      <c r="O368" s="1">
        <f t="shared" si="386"/>
        <v>1.9868229367205319</v>
      </c>
      <c r="P368" s="1">
        <f t="shared" si="382"/>
        <v>1.9868174300309751</v>
      </c>
      <c r="Q368" s="1">
        <f t="shared" si="382"/>
        <v>1.9867408089555263</v>
      </c>
      <c r="S368" s="3"/>
    </row>
    <row r="369" spans="1:19" x14ac:dyDescent="0.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75"/>
        <v>PJ/yr.</v>
      </c>
      <c r="F369" s="1">
        <f t="shared" ref="F369:K369" si="387">F362*IFERROR(F141/F134,0)</f>
        <v>0</v>
      </c>
      <c r="G369" s="1">
        <f t="shared" si="387"/>
        <v>0</v>
      </c>
      <c r="H369" s="1">
        <f t="shared" si="387"/>
        <v>0</v>
      </c>
      <c r="I369" s="1">
        <f t="shared" si="387"/>
        <v>0</v>
      </c>
      <c r="J369" s="1">
        <f t="shared" si="387"/>
        <v>0</v>
      </c>
      <c r="K369" s="1">
        <f t="shared" si="387"/>
        <v>0</v>
      </c>
      <c r="L369" s="1">
        <f t="shared" ref="L369:O369" si="388">L362*IFERROR(L141/L134,0)</f>
        <v>0</v>
      </c>
      <c r="M369" s="1">
        <f t="shared" si="388"/>
        <v>0</v>
      </c>
      <c r="N369" s="1">
        <f t="shared" si="388"/>
        <v>0</v>
      </c>
      <c r="O369" s="1">
        <f t="shared" si="388"/>
        <v>0</v>
      </c>
      <c r="P369" s="1">
        <f t="shared" si="382"/>
        <v>0</v>
      </c>
      <c r="Q369" s="1">
        <f t="shared" si="382"/>
        <v>0</v>
      </c>
      <c r="S369" s="3"/>
    </row>
    <row r="370" spans="1:19" x14ac:dyDescent="0.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75"/>
        <v>PJ/yr.</v>
      </c>
      <c r="F370" s="1">
        <f t="shared" ref="F370:K370" si="389">F363*IFERROR(F142/F135,0)</f>
        <v>0</v>
      </c>
      <c r="G370" s="1">
        <f t="shared" si="389"/>
        <v>0</v>
      </c>
      <c r="H370" s="1">
        <f t="shared" si="389"/>
        <v>0</v>
      </c>
      <c r="I370" s="1">
        <f t="shared" si="389"/>
        <v>0</v>
      </c>
      <c r="J370" s="1">
        <f t="shared" si="389"/>
        <v>0</v>
      </c>
      <c r="K370" s="1">
        <f t="shared" si="389"/>
        <v>0</v>
      </c>
      <c r="L370" s="1">
        <f t="shared" ref="L370:O370" si="390">L363*IFERROR(L142/L135,0)</f>
        <v>0</v>
      </c>
      <c r="M370" s="1">
        <f t="shared" si="390"/>
        <v>0</v>
      </c>
      <c r="N370" s="1">
        <f t="shared" si="390"/>
        <v>0</v>
      </c>
      <c r="O370" s="1">
        <f t="shared" si="390"/>
        <v>0</v>
      </c>
      <c r="P370" s="1">
        <f t="shared" si="382"/>
        <v>0</v>
      </c>
      <c r="Q370" s="1">
        <f t="shared" si="382"/>
        <v>0</v>
      </c>
      <c r="S370" s="3"/>
    </row>
    <row r="371" spans="1:19" x14ac:dyDescent="0.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75"/>
        <v>PJ/yr.</v>
      </c>
      <c r="F371" s="1">
        <f t="shared" ref="F371:K371" si="391">F364*IFERROR(F143/F136,0)</f>
        <v>0</v>
      </c>
      <c r="G371" s="1">
        <f t="shared" si="391"/>
        <v>0</v>
      </c>
      <c r="H371" s="1">
        <f t="shared" si="391"/>
        <v>0</v>
      </c>
      <c r="I371" s="1">
        <f t="shared" si="391"/>
        <v>0</v>
      </c>
      <c r="J371" s="1">
        <f t="shared" si="391"/>
        <v>0</v>
      </c>
      <c r="K371" s="1">
        <f t="shared" si="391"/>
        <v>0</v>
      </c>
      <c r="L371" s="1">
        <f t="shared" ref="L371:O371" si="392">L364*IFERROR(L143/L136,0)</f>
        <v>0</v>
      </c>
      <c r="M371" s="1">
        <f t="shared" si="392"/>
        <v>0</v>
      </c>
      <c r="N371" s="1">
        <f t="shared" si="392"/>
        <v>0</v>
      </c>
      <c r="O371" s="1">
        <f t="shared" si="392"/>
        <v>0</v>
      </c>
      <c r="P371" s="1">
        <f t="shared" si="382"/>
        <v>0</v>
      </c>
      <c r="Q371" s="1">
        <f t="shared" si="382"/>
        <v>0</v>
      </c>
      <c r="S371" s="3"/>
    </row>
    <row r="372" spans="1:19" x14ac:dyDescent="0.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75"/>
        <v>PJ/yr.</v>
      </c>
      <c r="F372" s="1">
        <f>SUM(F373:F378)</f>
        <v>11.437932004046537</v>
      </c>
      <c r="G372" s="1">
        <f t="shared" ref="G372:K372" si="393">SUM(G373:G378)</f>
        <v>12.466899553532356</v>
      </c>
      <c r="H372" s="1">
        <f t="shared" si="393"/>
        <v>13.220127611696855</v>
      </c>
      <c r="I372" s="1">
        <f t="shared" si="393"/>
        <v>12.897524009741808</v>
      </c>
      <c r="J372" s="1">
        <f t="shared" si="393"/>
        <v>13.137719195211902</v>
      </c>
      <c r="K372" s="1">
        <f t="shared" si="393"/>
        <v>13.51738237853235</v>
      </c>
      <c r="L372" s="1">
        <f t="shared" ref="L372:O372" si="394">SUM(L373:L378)</f>
        <v>13.936738590823307</v>
      </c>
      <c r="M372" s="1">
        <f t="shared" si="394"/>
        <v>14.414631278557314</v>
      </c>
      <c r="N372" s="1">
        <f t="shared" si="394"/>
        <v>14.414597341318135</v>
      </c>
      <c r="O372" s="1">
        <f t="shared" si="394"/>
        <v>14.414600754558624</v>
      </c>
      <c r="P372" s="1">
        <f>SUM(P373:P378)</f>
        <v>14.414590663942885</v>
      </c>
      <c r="Q372" s="1">
        <f>SUM(Q373:Q378)</f>
        <v>14.414591255695743</v>
      </c>
      <c r="S372" s="3"/>
    </row>
    <row r="373" spans="1:19" x14ac:dyDescent="0.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75"/>
        <v>PJ/yr.</v>
      </c>
      <c r="F373" s="1">
        <f t="shared" ref="F373:K373" si="395">F366*IFERROR(F145/F138,0)</f>
        <v>9.1017957590862384</v>
      </c>
      <c r="G373" s="1">
        <f t="shared" si="395"/>
        <v>10.214892293587985</v>
      </c>
      <c r="H373" s="1">
        <f t="shared" si="395"/>
        <v>10.775395085958777</v>
      </c>
      <c r="I373" s="1">
        <f t="shared" si="395"/>
        <v>10.348297085644795</v>
      </c>
      <c r="J373" s="1">
        <f t="shared" si="395"/>
        <v>10.479390911260188</v>
      </c>
      <c r="K373" s="1">
        <f t="shared" si="395"/>
        <v>10.725807214877587</v>
      </c>
      <c r="L373" s="1">
        <f t="shared" ref="L373:O373" si="396">L366*IFERROR(L145/L138,0)</f>
        <v>10.978176006627063</v>
      </c>
      <c r="M373" s="1">
        <f t="shared" si="396"/>
        <v>11.23673053298608</v>
      </c>
      <c r="N373" s="1">
        <f t="shared" si="396"/>
        <v>11.236714302767918</v>
      </c>
      <c r="O373" s="1">
        <f t="shared" si="396"/>
        <v>11.236721401602043</v>
      </c>
      <c r="P373" s="1">
        <f t="shared" ref="P373:Q376" si="397">P366*IFERROR(P145/P138,0)</f>
        <v>11.236723723005719</v>
      </c>
      <c r="Q373" s="1">
        <f t="shared" si="397"/>
        <v>11.236774466671385</v>
      </c>
      <c r="S373" s="3"/>
    </row>
    <row r="374" spans="1:19" x14ac:dyDescent="0.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75"/>
        <v>PJ/yr.</v>
      </c>
      <c r="F374" s="1">
        <f t="shared" ref="F374:K374" si="398">F367*IFERROR(F146/F139,0)</f>
        <v>0</v>
      </c>
      <c r="G374" s="1">
        <f t="shared" si="398"/>
        <v>0</v>
      </c>
      <c r="H374" s="1">
        <f t="shared" si="398"/>
        <v>0</v>
      </c>
      <c r="I374" s="1">
        <f t="shared" si="398"/>
        <v>0</v>
      </c>
      <c r="J374" s="1">
        <f t="shared" si="398"/>
        <v>0</v>
      </c>
      <c r="K374" s="1">
        <f t="shared" si="398"/>
        <v>0</v>
      </c>
      <c r="L374" s="1">
        <f t="shared" ref="L374:O374" si="399">L367*IFERROR(L146/L139,0)</f>
        <v>0</v>
      </c>
      <c r="M374" s="1">
        <f t="shared" si="399"/>
        <v>0</v>
      </c>
      <c r="N374" s="1">
        <f t="shared" si="399"/>
        <v>0</v>
      </c>
      <c r="O374" s="1">
        <f t="shared" si="399"/>
        <v>0</v>
      </c>
      <c r="P374" s="1">
        <f t="shared" si="397"/>
        <v>0</v>
      </c>
      <c r="Q374" s="1">
        <f t="shared" si="397"/>
        <v>0</v>
      </c>
      <c r="S374" s="3"/>
    </row>
    <row r="375" spans="1:19" x14ac:dyDescent="0.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75"/>
        <v>PJ/yr.</v>
      </c>
      <c r="F375" s="1">
        <f t="shared" ref="F375:K375" si="400">F368*IFERROR(F147/F140,0)</f>
        <v>1.9416920020455666</v>
      </c>
      <c r="G375" s="1">
        <f t="shared" si="400"/>
        <v>1.8428147837726383</v>
      </c>
      <c r="H375" s="1">
        <f t="shared" si="400"/>
        <v>1.8110662723770492</v>
      </c>
      <c r="I375" s="1">
        <f t="shared" si="400"/>
        <v>1.8549140970999691</v>
      </c>
      <c r="J375" s="1">
        <f t="shared" si="400"/>
        <v>1.8886602658609293</v>
      </c>
      <c r="K375" s="1">
        <f t="shared" si="400"/>
        <v>1.920187594689551</v>
      </c>
      <c r="L375" s="1">
        <f t="shared" ref="L375:O375" si="401">L368*IFERROR(L147/L140,0)</f>
        <v>1.9529121194447991</v>
      </c>
      <c r="M375" s="1">
        <f t="shared" si="401"/>
        <v>1.9868436509630554</v>
      </c>
      <c r="N375" s="1">
        <f t="shared" si="401"/>
        <v>1.9868354743899008</v>
      </c>
      <c r="O375" s="1">
        <f t="shared" si="401"/>
        <v>1.9868229367205319</v>
      </c>
      <c r="P375" s="1">
        <f t="shared" si="397"/>
        <v>1.9868174300309751</v>
      </c>
      <c r="Q375" s="1">
        <f t="shared" si="397"/>
        <v>1.9867408089555263</v>
      </c>
      <c r="S375" s="3"/>
    </row>
    <row r="376" spans="1:19" x14ac:dyDescent="0.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75"/>
        <v>PJ/yr.</v>
      </c>
      <c r="F376" s="1">
        <f t="shared" ref="F376:K376" si="402">F369*IFERROR(F148/F141,0)</f>
        <v>0</v>
      </c>
      <c r="G376" s="1">
        <f t="shared" si="402"/>
        <v>0</v>
      </c>
      <c r="H376" s="1">
        <f t="shared" si="402"/>
        <v>0</v>
      </c>
      <c r="I376" s="1">
        <f t="shared" si="402"/>
        <v>0</v>
      </c>
      <c r="J376" s="1">
        <f t="shared" si="402"/>
        <v>0</v>
      </c>
      <c r="K376" s="1">
        <f t="shared" si="402"/>
        <v>0</v>
      </c>
      <c r="L376" s="1">
        <f t="shared" ref="L376:O376" si="403">L369*IFERROR(L148/L141,0)</f>
        <v>0</v>
      </c>
      <c r="M376" s="1">
        <f t="shared" si="403"/>
        <v>0</v>
      </c>
      <c r="N376" s="1">
        <f t="shared" si="403"/>
        <v>0</v>
      </c>
      <c r="O376" s="1">
        <f t="shared" si="403"/>
        <v>0</v>
      </c>
      <c r="P376" s="1">
        <f t="shared" si="397"/>
        <v>0</v>
      </c>
      <c r="Q376" s="1">
        <f t="shared" si="397"/>
        <v>0</v>
      </c>
      <c r="S376" s="3"/>
    </row>
    <row r="377" spans="1:19" x14ac:dyDescent="0.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75"/>
        <v>PJ/yr.</v>
      </c>
      <c r="F377" s="1">
        <f>F363</f>
        <v>0.39444424291473229</v>
      </c>
      <c r="G377" s="1">
        <f t="shared" ref="G377:K377" si="404">G363</f>
        <v>0.40919247617173254</v>
      </c>
      <c r="H377" s="1">
        <f t="shared" si="404"/>
        <v>0.63366625336102855</v>
      </c>
      <c r="I377" s="1">
        <f t="shared" si="404"/>
        <v>0.69431282699704255</v>
      </c>
      <c r="J377" s="1">
        <f t="shared" si="404"/>
        <v>0.76966801809078467</v>
      </c>
      <c r="K377" s="1">
        <f t="shared" si="404"/>
        <v>0.87138756896521186</v>
      </c>
      <c r="L377" s="1">
        <f t="shared" ref="L377:O377" si="405">L363</f>
        <v>1.0056504647514453</v>
      </c>
      <c r="M377" s="1">
        <f t="shared" si="405"/>
        <v>1.1910570946081778</v>
      </c>
      <c r="N377" s="1">
        <f t="shared" si="405"/>
        <v>1.1910475641603158</v>
      </c>
      <c r="O377" s="1">
        <f t="shared" si="405"/>
        <v>1.191056416236048</v>
      </c>
      <c r="P377" s="1">
        <f>P363</f>
        <v>1.1910495109061918</v>
      </c>
      <c r="Q377" s="1">
        <f>Q363</f>
        <v>1.1910759800688324</v>
      </c>
      <c r="S377" s="3"/>
    </row>
    <row r="378" spans="1:19" x14ac:dyDescent="0.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75"/>
        <v>PJ/yr.</v>
      </c>
      <c r="F378" s="1">
        <f t="shared" ref="F378:K378" si="406">F364</f>
        <v>0</v>
      </c>
      <c r="G378" s="1">
        <f t="shared" si="406"/>
        <v>0</v>
      </c>
      <c r="H378" s="1">
        <f t="shared" si="406"/>
        <v>0</v>
      </c>
      <c r="I378" s="1">
        <f t="shared" si="406"/>
        <v>0</v>
      </c>
      <c r="J378" s="1">
        <f t="shared" si="406"/>
        <v>0</v>
      </c>
      <c r="K378" s="1">
        <f t="shared" si="406"/>
        <v>0</v>
      </c>
      <c r="L378" s="1">
        <f t="shared" ref="L378:O378" si="407">L364</f>
        <v>0</v>
      </c>
      <c r="M378" s="1">
        <f t="shared" si="407"/>
        <v>0</v>
      </c>
      <c r="N378" s="1">
        <f t="shared" si="407"/>
        <v>0</v>
      </c>
      <c r="O378" s="1">
        <f t="shared" si="407"/>
        <v>0</v>
      </c>
      <c r="P378" s="1">
        <f>P364</f>
        <v>0</v>
      </c>
      <c r="Q378" s="1">
        <f>Q364</f>
        <v>0</v>
      </c>
      <c r="S378" s="3"/>
    </row>
    <row r="379" spans="1:19" x14ac:dyDescent="0.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75"/>
        <v>PJ/yr.</v>
      </c>
      <c r="F379" s="1">
        <f>SUM(F380:F386)</f>
        <v>0.57791864253901326</v>
      </c>
      <c r="G379" s="1">
        <f t="shared" ref="G379:K379" si="408">SUM(G380:G386)</f>
        <v>0.54524788409540625</v>
      </c>
      <c r="H379" s="1">
        <f t="shared" si="408"/>
        <v>1.3992314081532615</v>
      </c>
      <c r="I379" s="1">
        <f t="shared" si="408"/>
        <v>3.0475476259969643</v>
      </c>
      <c r="J379" s="1">
        <f t="shared" si="408"/>
        <v>3.6270895288999818</v>
      </c>
      <c r="K379" s="1">
        <f t="shared" si="408"/>
        <v>4.1240651766553027</v>
      </c>
      <c r="L379" s="1">
        <f t="shared" ref="L379:O379" si="409">SUM(L380:L386)</f>
        <v>4.6646763692262025</v>
      </c>
      <c r="M379" s="1">
        <f t="shared" si="409"/>
        <v>4.9934231113227749</v>
      </c>
      <c r="N379" s="1">
        <f t="shared" si="409"/>
        <v>5.1314578158667743</v>
      </c>
      <c r="O379" s="1">
        <f t="shared" si="409"/>
        <v>5.1205894365796345</v>
      </c>
      <c r="P379" s="1">
        <f>SUM(P380:P386)</f>
        <v>5.0648171332008518</v>
      </c>
      <c r="Q379" s="1">
        <f>SUM(Q380:Q386)</f>
        <v>5.0647804873448141</v>
      </c>
      <c r="S379" s="3"/>
    </row>
    <row r="380" spans="1:19" x14ac:dyDescent="0.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75"/>
        <v>PJ/yr.</v>
      </c>
      <c r="F380" s="1">
        <f>IFERROR(F152/SUM(F152,F207),0)*'[1]Electricity and CHPs_IN'!B$25</f>
        <v>0.39680092265173761</v>
      </c>
      <c r="G380" s="1">
        <f>IFERROR(G152/SUM(G152,G207),0)*'[1]Electricity and CHPs_IN'!C$25</f>
        <v>2.9942711548650684E-2</v>
      </c>
      <c r="H380" s="1">
        <f>IFERROR(H152/SUM(H152,H207),0)*'[1]Electricity and CHPs_IN'!D$25</f>
        <v>0.25594983415460587</v>
      </c>
      <c r="I380" s="1">
        <f>IFERROR(I152/SUM(I152,I207),0)*'[1]Electricity and CHPs_IN'!E$25</f>
        <v>1.0931102275848299</v>
      </c>
      <c r="J380" s="1">
        <f>IFERROR(J152/SUM(J152,J207),0)*'[1]Electricity and CHPs_IN'!F$25</f>
        <v>1.2594404263477033</v>
      </c>
      <c r="K380" s="1">
        <f>IFERROR(K152/SUM(K152,K207),0)*'[1]Electricity and CHPs_IN'!G$25</f>
        <v>1.3979288064551272</v>
      </c>
      <c r="L380" s="1">
        <f>IFERROR(L152/SUM(L152,L207),0)*'[1]Electricity and CHPs_IN'!H$25</f>
        <v>1.1351677416179233</v>
      </c>
      <c r="M380" s="1">
        <f>IFERROR(M152/SUM(M152,M207),0)*'[1]Electricity and CHPs_IN'!I$25</f>
        <v>0.55795719274260869</v>
      </c>
      <c r="N380" s="1">
        <f>IFERROR(N152/SUM(N152,N207),0)*'[1]Electricity and CHPs_IN'!J$25</f>
        <v>0.30604814361804206</v>
      </c>
      <c r="O380" s="1">
        <f>IFERROR(O152/SUM(O152,O207),0)*'[1]Electricity and CHPs_IN'!K$25</f>
        <v>0.29881066331705153</v>
      </c>
      <c r="P380" s="1">
        <f>IFERROR(P152/SUM(P152,P207),0)*'[1]Electricity and CHPs_IN'!L$25</f>
        <v>0.27143679180881441</v>
      </c>
      <c r="Q380" s="1">
        <f>IFERROR(Q152/SUM(Q152,Q207),0)*'[1]Electricity and CHPs_IN'!M$25</f>
        <v>0.21066161739601488</v>
      </c>
      <c r="S380" s="3"/>
    </row>
    <row r="381" spans="1:19" x14ac:dyDescent="0.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7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'[1]Electricity and CHPs_IN'!F$31</f>
        <v>0</v>
      </c>
      <c r="K381" s="1">
        <f>'[1]Electricity and CHPs_IN'!G$31</f>
        <v>4.3955422057792023E-4</v>
      </c>
      <c r="L381" s="1">
        <f>'[1]Electricity and CHPs_IN'!H$31</f>
        <v>4.9444957279225817E-4</v>
      </c>
      <c r="M381" s="1">
        <f>'[1]Electricity and CHPs_IN'!I$31</f>
        <v>1.2692832993838274E-3</v>
      </c>
      <c r="N381" s="1">
        <f>'[1]Electricity and CHPs_IN'!J$31</f>
        <v>6.1424886279085598E-4</v>
      </c>
      <c r="O381" s="1">
        <f>'[1]Electricity and CHPs_IN'!K$31</f>
        <v>1.1727706889987216E-3</v>
      </c>
      <c r="P381" s="1">
        <f>'[1]Electricity and CHPs_IN'!L$31</f>
        <v>9.7451736489516155E-4</v>
      </c>
      <c r="Q381" s="1">
        <f>'[1]Electricity and CHPs_IN'!M$31</f>
        <v>2.2967250564303889E-3</v>
      </c>
      <c r="S381" s="3"/>
    </row>
    <row r="382" spans="1:19" x14ac:dyDescent="0.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75"/>
        <v>PJ/yr.</v>
      </c>
      <c r="F382" s="1">
        <f>IFERROR(F154/SUM(F154,F283),0)*'[1]Electricity and CHPs_IN'!B$42</f>
        <v>0.1811177198872756</v>
      </c>
      <c r="G382" s="1">
        <f>IFERROR(G154/SUM(G154,G283),0)*'[1]Electricity and CHPs_IN'!C$42</f>
        <v>0.51530517254675556</v>
      </c>
      <c r="H382" s="1">
        <f>IFERROR(H154/SUM(H154,H283),0)*'[1]Electricity and CHPs_IN'!D$42</f>
        <v>1.1432815739986557</v>
      </c>
      <c r="I382" s="1">
        <f>IFERROR(I154/SUM(I154,I283),0)*'[1]Electricity and CHPs_IN'!E$42</f>
        <v>1.9434842194601756</v>
      </c>
      <c r="J382" s="1">
        <f>IFERROR(J154/SUM(J154,J283),0)*'[1]Electricity and CHPs_IN'!F$42</f>
        <v>2.3547777383802568</v>
      </c>
      <c r="K382" s="1">
        <f>IFERROR(K154/SUM(K154,K283),0)*'[1]Electricity and CHPs_IN'!G$42</f>
        <v>2.7141649963300494</v>
      </c>
      <c r="L382" s="1">
        <f>IFERROR(L154/SUM(L154,L283),0)*'[1]Electricity and CHPs_IN'!H$42</f>
        <v>3.5160102968317024</v>
      </c>
      <c r="M382" s="1">
        <f>IFERROR(M154/SUM(M154,M283),0)*'[1]Electricity and CHPs_IN'!I$42</f>
        <v>4.4048179961448772</v>
      </c>
      <c r="N382" s="1">
        <f>IFERROR(N154/SUM(N154,N283),0)*'[1]Electricity and CHPs_IN'!J$42</f>
        <v>4.7989249326312944</v>
      </c>
      <c r="O382" s="1">
        <f>IFERROR(O154/SUM(O154,O283),0)*'[1]Electricity and CHPs_IN'!K$42</f>
        <v>4.7909793763963373</v>
      </c>
      <c r="P382" s="1">
        <f>IFERROR(P154/SUM(P154,P283),0)*'[1]Electricity and CHPs_IN'!L$42</f>
        <v>4.7669081614976525</v>
      </c>
      <c r="Q382" s="1">
        <f>IFERROR(Q154/SUM(Q154,Q283),0)*'[1]Electricity and CHPs_IN'!M$42</f>
        <v>4.7998849404257813</v>
      </c>
      <c r="S382" s="3"/>
    </row>
    <row r="383" spans="1:19" x14ac:dyDescent="0.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7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IFERROR(J155/SUM(J155,J284),0)*'[1]Electricity and CHPs_IN'!F$43</f>
        <v>0</v>
      </c>
      <c r="K383" s="1">
        <f>IFERROR(K155/SUM(K155,K284),0)*'[1]Electricity and CHPs_IN'!G$43</f>
        <v>0</v>
      </c>
      <c r="L383" s="1">
        <f>IFERROR(L155/SUM(L155,L284),0)*'[1]Electricity and CHPs_IN'!H$43</f>
        <v>0</v>
      </c>
      <c r="M383" s="1">
        <f>IFERROR(M155/SUM(M155,M284),0)*'[1]Electricity and CHPs_IN'!I$43</f>
        <v>0</v>
      </c>
      <c r="N383" s="1">
        <f>IFERROR(N155/SUM(N155,N284),0)*'[1]Electricity and CHPs_IN'!J$43</f>
        <v>0</v>
      </c>
      <c r="O383" s="1">
        <f>IFERROR(O155/SUM(O155,O284),0)*'[1]Electricity and CHPs_IN'!K$43</f>
        <v>0</v>
      </c>
      <c r="P383" s="1">
        <f>IFERROR(P155/SUM(P155,P284),0)*'[1]Electricity and CHPs_IN'!L$43</f>
        <v>0</v>
      </c>
      <c r="Q383" s="1">
        <f>IFERROR(Q155/SUM(Q155,Q284),0)*'[1]Electricity and CHPs_IN'!M$43</f>
        <v>0</v>
      </c>
      <c r="S383" s="3"/>
    </row>
    <row r="384" spans="1:19" x14ac:dyDescent="0.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7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1.8831035252208327E-3</v>
      </c>
      <c r="J384" s="1">
        <f>IFERROR(J156/SUM(J285,J156),0)*'[1]Electricity and CHPs_IN'!F$50</f>
        <v>3.5327452015085563E-3</v>
      </c>
      <c r="K384" s="1">
        <f>IFERROR(K156/SUM(K285,K156),0)*'[1]Electricity and CHPs_IN'!G$50</f>
        <v>3.5577020530054996E-3</v>
      </c>
      <c r="L384" s="1">
        <f>IFERROR(L156/SUM(L285,L156),0)*'[1]Electricity and CHPs_IN'!H$50</f>
        <v>3.5727567246782942E-3</v>
      </c>
      <c r="M384" s="1">
        <f>IFERROR(M156/SUM(M285,M156),0)*'[1]Electricity and CHPs_IN'!I$50</f>
        <v>8.4659417476666068E-3</v>
      </c>
      <c r="N384" s="1">
        <f>IFERROR(N156/SUM(N285,N156),0)*'[1]Electricity and CHPs_IN'!J$50</f>
        <v>7.3007548004628961E-3</v>
      </c>
      <c r="O384" s="1">
        <f>IFERROR(O156/SUM(O285,O156),0)*'[1]Electricity and CHPs_IN'!K$50</f>
        <v>9.7308249871443306E-3</v>
      </c>
      <c r="P384" s="1">
        <f>IFERROR(P156/SUM(P285,P156),0)*'[1]Electricity and CHPs_IN'!L$50</f>
        <v>6.5247033201451541E-3</v>
      </c>
      <c r="Q384" s="1">
        <f>IFERROR(Q156/SUM(Q285,Q156),0)*'[1]Electricity and CHPs_IN'!M$50</f>
        <v>1.2701261222815619E-2</v>
      </c>
      <c r="S384" s="3"/>
    </row>
    <row r="385" spans="1:19" x14ac:dyDescent="0.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7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4.2831605532620233E-3</v>
      </c>
      <c r="J385" s="1">
        <f>IFERROR(J157/SUM(J286,J157),0)*'[1]Electricity and CHPs_IN'!F$53</f>
        <v>5.4576665274575749E-3</v>
      </c>
      <c r="K385" s="1">
        <f>IFERROR(K157/SUM(K286,K157),0)*'[1]Electricity and CHPs_IN'!G$53</f>
        <v>4.857402860257749E-3</v>
      </c>
      <c r="L385" s="1">
        <f>IFERROR(L157/SUM(L286,L157),0)*'[1]Electricity and CHPs_IN'!H$53</f>
        <v>4.971729105139904E-3</v>
      </c>
      <c r="M385" s="1">
        <f>IFERROR(M157/SUM(M286,M157),0)*'[1]Electricity and CHPs_IN'!I$53</f>
        <v>1.3351503953246737E-2</v>
      </c>
      <c r="N385" s="1">
        <f>IFERROR(N157/SUM(N286,N157),0)*'[1]Electricity and CHPs_IN'!J$53</f>
        <v>1.2126961479070508E-2</v>
      </c>
      <c r="O385" s="1">
        <f>IFERROR(O157/SUM(O286,O157),0)*'[1]Electricity and CHPs_IN'!K$53</f>
        <v>1.1194609103687735E-2</v>
      </c>
      <c r="P385" s="1">
        <f>IFERROR(P157/SUM(P286,P157),0)*'[1]Electricity and CHPs_IN'!L$53</f>
        <v>1.0437776686602274E-2</v>
      </c>
      <c r="Q385" s="1">
        <f>IFERROR(Q157/SUM(Q286,Q157),0)*'[1]Electricity and CHPs_IN'!M$53</f>
        <v>2.0416471794680535E-2</v>
      </c>
      <c r="S385" s="3"/>
    </row>
    <row r="386" spans="1:19" x14ac:dyDescent="0.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7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4.7869148734760898E-3</v>
      </c>
      <c r="J386" s="1">
        <f>IFERROR(J158/SUM(J287,J158),0)*'[1]Electricity and CHPs_IN'!F$56</f>
        <v>3.8809524430555896E-3</v>
      </c>
      <c r="K386" s="1">
        <f>IFERROR(K158/SUM(K287,K158),0)*'[1]Electricity and CHPs_IN'!G$56</f>
        <v>3.1167147362851475E-3</v>
      </c>
      <c r="L386" s="1">
        <f>IFERROR(L158/SUM(L287,L158),0)*'[1]Electricity and CHPs_IN'!H$56</f>
        <v>4.4593953739657166E-3</v>
      </c>
      <c r="M386" s="1">
        <f>IFERROR(M158/SUM(M287,M158),0)*'[1]Electricity and CHPs_IN'!I$56</f>
        <v>7.5611934349925922E-3</v>
      </c>
      <c r="N386" s="1">
        <f>IFERROR(N158/SUM(N287,N158),0)*'[1]Electricity and CHPs_IN'!J$56</f>
        <v>6.4427744751130601E-3</v>
      </c>
      <c r="O386" s="1">
        <f>IFERROR(O158/SUM(O287,O158),0)*'[1]Electricity and CHPs_IN'!K$56</f>
        <v>8.7011920864144849E-3</v>
      </c>
      <c r="P386" s="1">
        <f>IFERROR(P158/SUM(P287,P158),0)*'[1]Electricity and CHPs_IN'!L$56</f>
        <v>8.5351825227419735E-3</v>
      </c>
      <c r="Q386" s="1">
        <f>IFERROR(Q158/SUM(Q287,Q158),0)*'[1]Electricity and CHPs_IN'!M$56</f>
        <v>1.8819471449090588E-2</v>
      </c>
      <c r="S386" s="3"/>
    </row>
    <row r="387" spans="1:19" x14ac:dyDescent="0.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75"/>
        <v>PJ/yr.</v>
      </c>
      <c r="F387" s="1">
        <f>F388</f>
        <v>0.52400000000000047</v>
      </c>
      <c r="G387" s="1">
        <f t="shared" ref="G387:O387" si="410">G388</f>
        <v>0.54529230746486002</v>
      </c>
      <c r="H387" s="1">
        <f t="shared" si="410"/>
        <v>0.503164905798409</v>
      </c>
      <c r="I387" s="1">
        <f t="shared" si="410"/>
        <v>0.54657696956086987</v>
      </c>
      <c r="J387" s="1">
        <f t="shared" si="410"/>
        <v>0.5470761562361417</v>
      </c>
      <c r="K387" s="1">
        <f t="shared" si="410"/>
        <v>0.54724784812225757</v>
      </c>
      <c r="L387" s="1">
        <f t="shared" si="410"/>
        <v>0.55273988564425414</v>
      </c>
      <c r="M387" s="1">
        <f t="shared" si="410"/>
        <v>0.55281225691644442</v>
      </c>
      <c r="N387" s="1">
        <f t="shared" si="410"/>
        <v>0.55282019454418119</v>
      </c>
      <c r="O387" s="1">
        <f t="shared" si="410"/>
        <v>0.55283772132341857</v>
      </c>
      <c r="P387" s="1">
        <f>P388</f>
        <v>0.55342834497210747</v>
      </c>
      <c r="Q387" s="1">
        <f>Q388</f>
        <v>0.55653054330829999</v>
      </c>
      <c r="S387" s="3"/>
    </row>
    <row r="388" spans="1:19" x14ac:dyDescent="0.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75"/>
        <v>PJ/yr.</v>
      </c>
      <c r="F388" s="1">
        <f>'[1]Electricity and CHPs_IN'!B$33</f>
        <v>0.52400000000000047</v>
      </c>
      <c r="G388" s="1">
        <f>'[1]Electricity and CHPs_IN'!C$33</f>
        <v>0.54529230746486002</v>
      </c>
      <c r="H388" s="1">
        <f>'[1]Electricity and CHPs_IN'!D$33</f>
        <v>0.503164905798409</v>
      </c>
      <c r="I388" s="1">
        <f>'[1]Electricity and CHPs_IN'!E$33</f>
        <v>0.54657696956086987</v>
      </c>
      <c r="J388" s="1">
        <f>'[1]Electricity and CHPs_IN'!F$33</f>
        <v>0.5470761562361417</v>
      </c>
      <c r="K388" s="1">
        <f>'[1]Electricity and CHPs_IN'!G$33</f>
        <v>0.54724784812225757</v>
      </c>
      <c r="L388" s="1">
        <f>'[1]Electricity and CHPs_IN'!H$33</f>
        <v>0.55273988564425414</v>
      </c>
      <c r="M388" s="1">
        <f>'[1]Electricity and CHPs_IN'!I$33</f>
        <v>0.55281225691644442</v>
      </c>
      <c r="N388" s="1">
        <f>'[1]Electricity and CHPs_IN'!J$33</f>
        <v>0.55282019454418119</v>
      </c>
      <c r="O388" s="1">
        <f>'[1]Electricity and CHPs_IN'!K$33</f>
        <v>0.55283772132341857</v>
      </c>
      <c r="P388" s="1">
        <f>'[1]Electricity and CHPs_IN'!L$33</f>
        <v>0.55342834497210747</v>
      </c>
      <c r="Q388" s="1">
        <f>'[1]Electricity and CHPs_IN'!M$33</f>
        <v>0.55653054330829999</v>
      </c>
      <c r="S388" s="3"/>
    </row>
    <row r="389" spans="1:19" x14ac:dyDescent="0.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75"/>
        <v>PJ/yr.</v>
      </c>
      <c r="F389" s="1">
        <f>SUM(F390:F394)</f>
        <v>9.3550000000000111</v>
      </c>
      <c r="G389" s="1">
        <f t="shared" ref="G389:K389" si="411">SUM(G390:G394)</f>
        <v>12.821393294319341</v>
      </c>
      <c r="H389" s="1">
        <f t="shared" si="411"/>
        <v>28.800013447852344</v>
      </c>
      <c r="I389" s="1">
        <f t="shared" si="411"/>
        <v>51.183420143335873</v>
      </c>
      <c r="J389" s="1">
        <f t="shared" si="411"/>
        <v>54.527800608403297</v>
      </c>
      <c r="K389" s="1">
        <f t="shared" si="411"/>
        <v>57.257194283974897</v>
      </c>
      <c r="L389" s="1">
        <f t="shared" ref="L389:O389" si="412">SUM(L390:L394)</f>
        <v>59.930489468610332</v>
      </c>
      <c r="M389" s="1">
        <f t="shared" si="412"/>
        <v>62.838154978105784</v>
      </c>
      <c r="N389" s="1">
        <f t="shared" si="412"/>
        <v>65.485026153076277</v>
      </c>
      <c r="O389" s="1">
        <f t="shared" si="412"/>
        <v>68.664215006606355</v>
      </c>
      <c r="P389" s="1">
        <f>SUM(P390:P394)</f>
        <v>72.163344712301338</v>
      </c>
      <c r="Q389" s="1">
        <f>SUM(Q390:Q394)</f>
        <v>76.766193138235053</v>
      </c>
      <c r="S389" s="3"/>
    </row>
    <row r="390" spans="1:19" x14ac:dyDescent="0.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7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0.15619404613268542</v>
      </c>
      <c r="I390" s="1">
        <f>'[1]Electricity and CHPs_IN'!E34</f>
        <v>0.30116756440086828</v>
      </c>
      <c r="J390" s="1">
        <f>'[1]Electricity and CHPs_IN'!F34</f>
        <v>1.0500146152760959</v>
      </c>
      <c r="K390" s="1">
        <f>'[1]Electricity and CHPs_IN'!G34</f>
        <v>1.0515057706679878</v>
      </c>
      <c r="L390" s="1">
        <f>'[1]Electricity and CHPs_IN'!H34</f>
        <v>0.85774286604747529</v>
      </c>
      <c r="M390" s="1">
        <f>'[1]Electricity and CHPs_IN'!I34</f>
        <v>0.75209545904569852</v>
      </c>
      <c r="N390" s="1">
        <f>'[1]Electricity and CHPs_IN'!J34</f>
        <v>0.23194639823125895</v>
      </c>
      <c r="O390" s="1">
        <f>'[1]Electricity and CHPs_IN'!K34</f>
        <v>8.2552343717400403E-2</v>
      </c>
      <c r="P390" s="1">
        <f>'[1]Electricity and CHPs_IN'!L34</f>
        <v>8.3302201902129405E-2</v>
      </c>
      <c r="Q390" s="1">
        <f>'[1]Electricity and CHPs_IN'!M34</f>
        <v>1.0090386764474102</v>
      </c>
      <c r="S390" s="3"/>
    </row>
    <row r="391" spans="1:19" x14ac:dyDescent="0.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75"/>
        <v>PJ/yr.</v>
      </c>
      <c r="F391" s="1">
        <f>'[1]Electricity and CHPs_IN'!B35</f>
        <v>3.517953999707534</v>
      </c>
      <c r="G391" s="1">
        <f>'[1]Electricity and CHPs_IN'!C35</f>
        <v>4.8486223629257434</v>
      </c>
      <c r="H391" s="1">
        <f>'[1]Electricity and CHPs_IN'!D35</f>
        <v>11.927077850684414</v>
      </c>
      <c r="I391" s="1">
        <f>'[1]Electricity and CHPs_IN'!E35</f>
        <v>14.116600821845296</v>
      </c>
      <c r="J391" s="1">
        <f>'[1]Electricity and CHPs_IN'!F35</f>
        <v>14.836697360292424</v>
      </c>
      <c r="K391" s="1">
        <f>'[1]Electricity and CHPs_IN'!G35</f>
        <v>15.593517416461676</v>
      </c>
      <c r="L391" s="1">
        <f>'[1]Electricity and CHPs_IN'!H35</f>
        <v>16.388945344742538</v>
      </c>
      <c r="M391" s="1">
        <f>'[1]Electricity and CHPs_IN'!I35</f>
        <v>17.224949043055599</v>
      </c>
      <c r="N391" s="1">
        <f>'[1]Electricity and CHPs_IN'!J35</f>
        <v>18.103597582950265</v>
      </c>
      <c r="O391" s="1">
        <f>'[1]Electricity and CHPs_IN'!K35</f>
        <v>19.027068944121876</v>
      </c>
      <c r="P391" s="1">
        <f>'[1]Electricity and CHPs_IN'!L35</f>
        <v>19.997650575076346</v>
      </c>
      <c r="Q391" s="1">
        <f>'[1]Electricity and CHPs_IN'!M35</f>
        <v>21.017784969573515</v>
      </c>
      <c r="S391" s="3"/>
    </row>
    <row r="392" spans="1:19" x14ac:dyDescent="0.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75"/>
        <v>PJ/yr.</v>
      </c>
      <c r="F392" s="1">
        <f>'[1]Electricity and CHPs_IN'!B36</f>
        <v>2.1349390887346629</v>
      </c>
      <c r="G392" s="1">
        <f>'[1]Electricity and CHPs_IN'!C36</f>
        <v>3.3906968890761346</v>
      </c>
      <c r="H392" s="1">
        <f>'[1]Electricity and CHPs_IN'!D36</f>
        <v>6.9697615016382839</v>
      </c>
      <c r="I392" s="1">
        <f>'[1]Electricity and CHPs_IN'!E36</f>
        <v>18.917238811391851</v>
      </c>
      <c r="J392" s="1">
        <f>'[1]Electricity and CHPs_IN'!F36</f>
        <v>19.8822148995033</v>
      </c>
      <c r="K392" s="1">
        <f>'[1]Electricity and CHPs_IN'!G36</f>
        <v>20.896407718056516</v>
      </c>
      <c r="L392" s="1">
        <f>'[1]Electricity and CHPs_IN'!H36</f>
        <v>21.962334684595938</v>
      </c>
      <c r="M392" s="1">
        <f>'[1]Electricity and CHPs_IN'!I36</f>
        <v>23.082637001311717</v>
      </c>
      <c r="N392" s="1">
        <f>'[1]Electricity and CHPs_IN'!J36</f>
        <v>24.260085018839593</v>
      </c>
      <c r="O392" s="1">
        <f>'[1]Electricity and CHPs_IN'!K36</f>
        <v>25.497598952371124</v>
      </c>
      <c r="P392" s="1">
        <f>'[1]Electricity and CHPs_IN'!L36</f>
        <v>26.798238494954347</v>
      </c>
      <c r="Q392" s="1">
        <f>'[1]Electricity and CHPs_IN'!M36</f>
        <v>28.165371246640877</v>
      </c>
      <c r="S392" s="3"/>
    </row>
    <row r="393" spans="1:19" x14ac:dyDescent="0.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75"/>
        <v>PJ/yr.</v>
      </c>
      <c r="F393" s="1">
        <f>'[1]Electricity and CHPs_IN'!B37</f>
        <v>0.86248322578584768</v>
      </c>
      <c r="G393" s="1">
        <f>'[1]Electricity and CHPs_IN'!C37</f>
        <v>1.2876189037011077</v>
      </c>
      <c r="H393" s="1">
        <f>'[1]Electricity and CHPs_IN'!D37</f>
        <v>5.8107753183328441</v>
      </c>
      <c r="I393" s="1">
        <f>'[1]Electricity and CHPs_IN'!E37</f>
        <v>13.439522789975808</v>
      </c>
      <c r="J393" s="1">
        <f>'[1]Electricity and CHPs_IN'!F37</f>
        <v>14.125083298233466</v>
      </c>
      <c r="K393" s="1">
        <f>'[1]Electricity and CHPs_IN'!G37</f>
        <v>14.845604524664282</v>
      </c>
      <c r="L393" s="1">
        <f>'[1]Electricity and CHPs_IN'!H37</f>
        <v>15.602879834951064</v>
      </c>
      <c r="M393" s="1">
        <f>'[1]Electricity and CHPs_IN'!I37</f>
        <v>16.398785942949473</v>
      </c>
      <c r="N393" s="1">
        <f>'[1]Electricity and CHPs_IN'!J37</f>
        <v>17.235290218903749</v>
      </c>
      <c r="O393" s="1">
        <f>'[1]Electricity and CHPs_IN'!K37</f>
        <v>18.11446759757866</v>
      </c>
      <c r="P393" s="1">
        <f>'[1]Electricity and CHPs_IN'!L37</f>
        <v>19.038492601518048</v>
      </c>
      <c r="Q393" s="1">
        <f>'[1]Electricity and CHPs_IN'!M37</f>
        <v>20.009692594447074</v>
      </c>
      <c r="S393" s="3"/>
    </row>
    <row r="394" spans="1:19" x14ac:dyDescent="0.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75"/>
        <v>PJ/yr.</v>
      </c>
      <c r="F394" s="1">
        <f>'[1]Electricity and CHPs_IN'!B38</f>
        <v>2.8396236857719668</v>
      </c>
      <c r="G394" s="1">
        <f>'[1]Electricity and CHPs_IN'!C38</f>
        <v>3.2944551386163567</v>
      </c>
      <c r="H394" s="1">
        <f>'[1]Electricity and CHPs_IN'!D38</f>
        <v>3.9362047310641173</v>
      </c>
      <c r="I394" s="1">
        <f>'[1]Electricity and CHPs_IN'!E38</f>
        <v>4.4088901557220552</v>
      </c>
      <c r="J394" s="1">
        <f>'[1]Electricity and CHPs_IN'!F38</f>
        <v>4.6337904350980068</v>
      </c>
      <c r="K394" s="1">
        <f>'[1]Electricity and CHPs_IN'!G38</f>
        <v>4.8701588541244414</v>
      </c>
      <c r="L394" s="1">
        <f>'[1]Electricity and CHPs_IN'!H38</f>
        <v>5.1185867382733212</v>
      </c>
      <c r="M394" s="1">
        <f>'[1]Electricity and CHPs_IN'!I38</f>
        <v>5.3796875317432953</v>
      </c>
      <c r="N394" s="1">
        <f>'[1]Electricity and CHPs_IN'!J38</f>
        <v>5.6541069341514083</v>
      </c>
      <c r="O394" s="1">
        <f>'[1]Electricity and CHPs_IN'!K38</f>
        <v>5.9425271688172998</v>
      </c>
      <c r="P394" s="1">
        <f>'[1]Electricity and CHPs_IN'!L38</f>
        <v>6.2456608388504664</v>
      </c>
      <c r="Q394" s="1">
        <f>'[1]Electricity and CHPs_IN'!M38</f>
        <v>6.5643056511261717</v>
      </c>
      <c r="S394" s="3"/>
    </row>
    <row r="395" spans="1:19" x14ac:dyDescent="0.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7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'[1]Electricity and CHPs'!F252</f>
        <v>0</v>
      </c>
      <c r="K395" s="1">
        <f>'[1]Electricity and CHPs'!G252</f>
        <v>0</v>
      </c>
      <c r="L395" s="1">
        <f>'[1]Electricity and CHPs'!H252</f>
        <v>0</v>
      </c>
      <c r="M395" s="1">
        <f>'[1]Electricity and CHPs'!I252</f>
        <v>0</v>
      </c>
      <c r="N395" s="1">
        <f>'[1]Electricity and CHPs'!J252</f>
        <v>0</v>
      </c>
      <c r="O395" s="1">
        <f>'[1]Electricity and CHPs'!K252</f>
        <v>0</v>
      </c>
      <c r="P395" s="1">
        <f>'[1]Electricity and CHPs'!L252</f>
        <v>0</v>
      </c>
      <c r="Q395" s="1">
        <f>'[1]Electricity and CHPs'!M252</f>
        <v>0</v>
      </c>
      <c r="S395" s="3"/>
    </row>
    <row r="396" spans="1:19" x14ac:dyDescent="0.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7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'[1]Electricity and CHPs_IN'!F$32</f>
        <v>0</v>
      </c>
      <c r="K396" s="1">
        <f>'[1]Electricity and CHPs_IN'!G$32</f>
        <v>0</v>
      </c>
      <c r="L396" s="1">
        <f>'[1]Electricity and CHPs_IN'!H$32</f>
        <v>3.6610405144396854E-2</v>
      </c>
      <c r="M396" s="1">
        <f>'[1]Electricity and CHPs_IN'!I$32</f>
        <v>5.6887809552508967E-2</v>
      </c>
      <c r="N396" s="1">
        <f>'[1]Electricity and CHPs_IN'!J$32</f>
        <v>6.009835384293391E-2</v>
      </c>
      <c r="O396" s="1">
        <f>'[1]Electricity and CHPs_IN'!K$32</f>
        <v>6.7060081558642223E-2</v>
      </c>
      <c r="P396" s="1">
        <f>'[1]Electricity and CHPs_IN'!L$32</f>
        <v>7.7915381998092212E-2</v>
      </c>
      <c r="Q396" s="1">
        <f>'[1]Electricity and CHPs_IN'!M$32</f>
        <v>0.13820543227967247</v>
      </c>
      <c r="S396" s="3"/>
    </row>
    <row r="397" spans="1:19" x14ac:dyDescent="0.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75"/>
        <v>PJ/yr.</v>
      </c>
      <c r="F397" s="1">
        <f t="shared" ref="F397" si="413">SUM(F398:F400)</f>
        <v>0</v>
      </c>
      <c r="G397" s="1">
        <f t="shared" ref="G397" si="414">SUM(G398:G400)</f>
        <v>0</v>
      </c>
      <c r="H397" s="1">
        <f t="shared" ref="H397" si="415">SUM(H398:H400)</f>
        <v>0</v>
      </c>
      <c r="I397" s="1">
        <f t="shared" ref="I397" si="416">SUM(I398:I400)</f>
        <v>3.4702558546268834E-3</v>
      </c>
      <c r="J397" s="1">
        <f t="shared" ref="J397" si="417">SUM(J398:J400)</f>
        <v>9.7936692687180527E-3</v>
      </c>
      <c r="K397" s="1">
        <f t="shared" ref="K397" si="418">SUM(K398:K400)</f>
        <v>1.6401077952040675E-2</v>
      </c>
      <c r="L397" s="1">
        <f t="shared" ref="L397:O397" si="419">SUM(L398:L400)</f>
        <v>1.6876227967958922E-2</v>
      </c>
      <c r="M397" s="1">
        <f t="shared" si="419"/>
        <v>4.6150195623893275E-2</v>
      </c>
      <c r="N397" s="1">
        <f t="shared" si="419"/>
        <v>4.0183605647002685E-2</v>
      </c>
      <c r="O397" s="1">
        <f t="shared" si="419"/>
        <v>0.143625584757163</v>
      </c>
      <c r="P397" s="1">
        <f>SUM(P398:P400)</f>
        <v>0.1434317121987673</v>
      </c>
      <c r="Q397" s="1">
        <f>SUM(Q398:Q400)</f>
        <v>0.17720858910463547</v>
      </c>
      <c r="S397" s="3"/>
    </row>
    <row r="398" spans="1:19" x14ac:dyDescent="0.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7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IFERROR(J170/SUM(J170,J209),0)*'[1]Electricity and CHPs_IN'!F$30</f>
        <v>0</v>
      </c>
      <c r="K398" s="1">
        <f>IFERROR(K170/SUM(K170,K209),0)*'[1]Electricity and CHPs_IN'!G$30</f>
        <v>2.0351762701860811E-3</v>
      </c>
      <c r="L398" s="1">
        <f>IFERROR(L170/SUM(L170,L209),0)*'[1]Electricity and CHPs_IN'!H$30</f>
        <v>2.0563399613785539E-3</v>
      </c>
      <c r="M398" s="1">
        <f>IFERROR(M170/SUM(M170,M209),0)*'[1]Electricity and CHPs_IN'!I$30</f>
        <v>3.5333660900197404E-3</v>
      </c>
      <c r="N398" s="1">
        <f>IFERROR(N170/SUM(N170,N209),0)*'[1]Electricity and CHPs_IN'!J$30</f>
        <v>3.5525832694181937E-3</v>
      </c>
      <c r="O398" s="1">
        <f>IFERROR(O170/SUM(O170,O209),0)*'[1]Electricity and CHPs_IN'!K$30</f>
        <v>4.0258463472555843E-2</v>
      </c>
      <c r="P398" s="1">
        <f>IFERROR(P170/SUM(P170,P209),0)*'[1]Electricity and CHPs_IN'!L$30</f>
        <v>4.2210744244190523E-2</v>
      </c>
      <c r="Q398" s="1">
        <f>IFERROR(Q170/SUM(Q170,Q209),0)*'[1]Electricity and CHPs_IN'!M$30</f>
        <v>4.2774805394633193E-2</v>
      </c>
      <c r="S398" s="3"/>
    </row>
    <row r="399" spans="1:19" x14ac:dyDescent="0.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7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2.0539133598321503E-3</v>
      </c>
      <c r="J399" s="1">
        <f>IFERROR(J171/SUM(J171,J289),0)*'[1]Electricity and CHPs_IN'!F$46</f>
        <v>6.4200984184164464E-3</v>
      </c>
      <c r="K399" s="1">
        <f>IFERROR(K171/SUM(K171,K289),0)*'[1]Electricity and CHPs_IN'!G$46</f>
        <v>1.066946408772212E-2</v>
      </c>
      <c r="L399" s="1">
        <f>IFERROR(L171/SUM(L171,L289),0)*'[1]Electricity and CHPs_IN'!H$46</f>
        <v>1.0443316739144995E-2</v>
      </c>
      <c r="M399" s="1">
        <f>IFERROR(M171/SUM(M171,M289),0)*'[1]Electricity and CHPs_IN'!I$46</f>
        <v>3.1400284564497317E-2</v>
      </c>
      <c r="N399" s="1">
        <f>IFERROR(N171/SUM(N171,N289),0)*'[1]Electricity and CHPs_IN'!J$46</f>
        <v>2.6315833957372872E-2</v>
      </c>
      <c r="O399" s="1">
        <f>IFERROR(O171/SUM(O171,O289),0)*'[1]Electricity and CHPs_IN'!K$46</f>
        <v>7.8182692101646495E-2</v>
      </c>
      <c r="P399" s="1">
        <f>IFERROR(P171/SUM(P171,P289),0)*'[1]Electricity and CHPs_IN'!L$46</f>
        <v>8.2193671255510373E-2</v>
      </c>
      <c r="Q399" s="1">
        <f>IFERROR(Q171/SUM(Q171,Q289),0)*'[1]Electricity and CHPs_IN'!M$46</f>
        <v>9.8088644931777394E-2</v>
      </c>
      <c r="S399" s="3"/>
    </row>
    <row r="400" spans="1:19" x14ac:dyDescent="0.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7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1.4163424947947333E-3</v>
      </c>
      <c r="J400" s="1">
        <f>IFERROR(J172/SUM(J172,J290),0)*'[1]Electricity and CHPs_IN'!F$57</f>
        <v>3.3735708503016067E-3</v>
      </c>
      <c r="K400" s="1">
        <f>IFERROR(K172/SUM(K172,K290),0)*'[1]Electricity and CHPs_IN'!G$57</f>
        <v>3.696437594132474E-3</v>
      </c>
      <c r="L400" s="1">
        <f>IFERROR(L172/SUM(L172,L290),0)*'[1]Electricity and CHPs_IN'!H$57</f>
        <v>4.3765712674353752E-3</v>
      </c>
      <c r="M400" s="1">
        <f>IFERROR(M172/SUM(M172,M290),0)*'[1]Electricity and CHPs_IN'!I$57</f>
        <v>1.1216544969376224E-2</v>
      </c>
      <c r="N400" s="1">
        <f>IFERROR(N172/SUM(N172,N290),0)*'[1]Electricity and CHPs_IN'!J$57</f>
        <v>1.0315188420211618E-2</v>
      </c>
      <c r="O400" s="1">
        <f>IFERROR(O172/SUM(O172,O290),0)*'[1]Electricity and CHPs_IN'!K$57</f>
        <v>2.5184429182960658E-2</v>
      </c>
      <c r="P400" s="1">
        <f>IFERROR(P172/SUM(P172,P290),0)*'[1]Electricity and CHPs_IN'!L$57</f>
        <v>1.9027296699066394E-2</v>
      </c>
      <c r="Q400" s="1">
        <f>IFERROR(Q172/SUM(Q172,Q290),0)*'[1]Electricity and CHPs_IN'!M$57</f>
        <v>3.6345138778224866E-2</v>
      </c>
      <c r="S400" s="3"/>
    </row>
    <row r="401" spans="1:19" x14ac:dyDescent="0.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75"/>
        <v>PJ/yr.</v>
      </c>
      <c r="F401" s="1">
        <f>SUM(F402:F408)</f>
        <v>0.14937793870265309</v>
      </c>
      <c r="G401" s="1">
        <f t="shared" ref="G401:K401" si="420">SUM(G402:G408)</f>
        <v>2.501900041632002E-2</v>
      </c>
      <c r="H401" s="1">
        <f t="shared" si="420"/>
        <v>0.14891181602692635</v>
      </c>
      <c r="I401" s="1">
        <f t="shared" si="420"/>
        <v>0.28146600756539603</v>
      </c>
      <c r="J401" s="1">
        <f t="shared" si="420"/>
        <v>0.43848971690248867</v>
      </c>
      <c r="K401" s="1">
        <f t="shared" si="420"/>
        <v>0.68626429301761749</v>
      </c>
      <c r="L401" s="1">
        <f t="shared" ref="L401:O401" si="421">SUM(L402:L408)</f>
        <v>1.0045473430339316</v>
      </c>
      <c r="M401" s="1">
        <f t="shared" si="421"/>
        <v>1.6802878978355833</v>
      </c>
      <c r="N401" s="1">
        <f t="shared" si="421"/>
        <v>2.2923041589117323</v>
      </c>
      <c r="O401" s="1">
        <f t="shared" si="421"/>
        <v>2.9960107074358793</v>
      </c>
      <c r="P401" s="1">
        <f>SUM(P402:P408)</f>
        <v>3.2674427739336616</v>
      </c>
      <c r="Q401" s="1">
        <f>SUM(Q402:Q408)</f>
        <v>3.6080825667872385</v>
      </c>
      <c r="S401" s="3"/>
    </row>
    <row r="402" spans="1:19" x14ac:dyDescent="0.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75"/>
        <v>PJ/yr.</v>
      </c>
      <c r="F402" s="1">
        <f>'[1]Electricity and CHPs_IN'!B63</f>
        <v>0.13509956177268698</v>
      </c>
      <c r="G402" s="1">
        <f>'[1]Electricity and CHPs_IN'!C63</f>
        <v>1.2235627120077124E-2</v>
      </c>
      <c r="H402" s="1">
        <f>'[1]Electricity and CHPs_IN'!D63</f>
        <v>0.13489094841233035</v>
      </c>
      <c r="I402" s="1">
        <f>'[1]Electricity and CHPs_IN'!E63</f>
        <v>6.3391836443596583E-2</v>
      </c>
      <c r="J402" s="1">
        <f>'[1]Electricity and CHPs_IN'!F63</f>
        <v>5.5395112373416926E-2</v>
      </c>
      <c r="K402" s="1">
        <f>'[1]Electricity and CHPs_IN'!G63</f>
        <v>5.4932661994588079E-2</v>
      </c>
      <c r="L402" s="1">
        <f>'[1]Electricity and CHPs_IN'!H63</f>
        <v>4.6516014318872759E-3</v>
      </c>
      <c r="M402" s="1">
        <f>'[1]Electricity and CHPs_IN'!I63</f>
        <v>2.2084478468407394E-2</v>
      </c>
      <c r="N402" s="1">
        <f>'[1]Electricity and CHPs_IN'!J63</f>
        <v>8.6422776996585349E-2</v>
      </c>
      <c r="O402" s="1">
        <f>'[1]Electricity and CHPs_IN'!K63</f>
        <v>0.13490648065431882</v>
      </c>
      <c r="P402" s="1">
        <f>'[1]Electricity and CHPs_IN'!L63</f>
        <v>0.13494097151814549</v>
      </c>
      <c r="Q402" s="1">
        <f>'[1]Electricity and CHPs_IN'!M63</f>
        <v>0.13490028246298602</v>
      </c>
      <c r="S402" s="3"/>
    </row>
    <row r="403" spans="1:19" x14ac:dyDescent="0.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75"/>
        <v>PJ/yr.</v>
      </c>
      <c r="F403" s="1">
        <f>'[1]Electricity and CHPs_IN'!B64</f>
        <v>3.9767101690146734E-3</v>
      </c>
      <c r="G403" s="1">
        <f>'[1]Electricity and CHPs_IN'!C64</f>
        <v>3.1955704003548396E-3</v>
      </c>
      <c r="H403" s="1">
        <f>'[1]Electricity and CHPs_IN'!D64</f>
        <v>3.8915490173467974E-3</v>
      </c>
      <c r="I403" s="1">
        <f>'[1]Electricity and CHPs_IN'!E64</f>
        <v>3.7525919493753674E-3</v>
      </c>
      <c r="J403" s="1">
        <f>'[1]Electricity and CHPs_IN'!F64</f>
        <v>9.558250373299949E-3</v>
      </c>
      <c r="K403" s="1">
        <f>'[1]Electricity and CHPs_IN'!G64</f>
        <v>0.14904881161193798</v>
      </c>
      <c r="L403" s="1">
        <f>'[1]Electricity and CHPs_IN'!H64</f>
        <v>0.14989695814962559</v>
      </c>
      <c r="M403" s="1">
        <f>'[1]Electricity and CHPs_IN'!I64</f>
        <v>0.23059528871519738</v>
      </c>
      <c r="N403" s="1">
        <f>'[1]Electricity and CHPs_IN'!J64</f>
        <v>0.23277295647504948</v>
      </c>
      <c r="O403" s="1">
        <f>'[1]Electricity and CHPs_IN'!K64</f>
        <v>0.29413920247262026</v>
      </c>
      <c r="P403" s="1">
        <f>'[1]Electricity and CHPs_IN'!L64</f>
        <v>0.29514213605057882</v>
      </c>
      <c r="Q403" s="1">
        <f>'[1]Electricity and CHPs_IN'!M64</f>
        <v>0.30028633480682532</v>
      </c>
      <c r="S403" s="3"/>
    </row>
    <row r="404" spans="1:19" x14ac:dyDescent="0.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75"/>
        <v>PJ/yr.</v>
      </c>
      <c r="F404" s="1">
        <f>'[1]Electricity and CHPs_IN'!B65</f>
        <v>3.528089446071823E-3</v>
      </c>
      <c r="G404" s="1">
        <f>'[1]Electricity and CHPs_IN'!C65</f>
        <v>2.8370054444341645E-3</v>
      </c>
      <c r="H404" s="1">
        <f>'[1]Electricity and CHPs_IN'!D65</f>
        <v>3.3762842909064415E-3</v>
      </c>
      <c r="I404" s="1">
        <f>'[1]Electricity and CHPs_IN'!E65</f>
        <v>3.4542528641127446E-3</v>
      </c>
      <c r="J404" s="1">
        <f>'[1]Electricity and CHPs_IN'!F65</f>
        <v>9.0331391359097079E-3</v>
      </c>
      <c r="K404" s="1">
        <f>'[1]Electricity and CHPs_IN'!G65</f>
        <v>5.9982371671402329E-2</v>
      </c>
      <c r="L404" s="1">
        <f>'[1]Electricity and CHPs_IN'!H65</f>
        <v>0.41639871393131472</v>
      </c>
      <c r="M404" s="1">
        <f>'[1]Electricity and CHPs_IN'!I65</f>
        <v>0.93514308214897113</v>
      </c>
      <c r="N404" s="1">
        <f>'[1]Electricity and CHPs_IN'!J65</f>
        <v>1.4564506695370514</v>
      </c>
      <c r="O404" s="1">
        <f>'[1]Electricity and CHPs_IN'!K65</f>
        <v>2.0232768206987837</v>
      </c>
      <c r="P404" s="1">
        <f>'[1]Electricity and CHPs_IN'!L65</f>
        <v>2.2661317059747219</v>
      </c>
      <c r="Q404" s="1">
        <f>'[1]Electricity and CHPs_IN'!M65</f>
        <v>2.5717729171120038</v>
      </c>
      <c r="S404" s="3"/>
    </row>
    <row r="405" spans="1:19" x14ac:dyDescent="0.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75"/>
        <v>PJ/yr.</v>
      </c>
      <c r="F405" s="1">
        <f>'[1]Electricity and CHPs_IN'!B66</f>
        <v>1.1287759496078594E-3</v>
      </c>
      <c r="G405" s="1">
        <f>'[1]Electricity and CHPs_IN'!C66</f>
        <v>1.1248909103289992E-3</v>
      </c>
      <c r="H405" s="1">
        <f>'[1]Electricity and CHPs_IN'!D66</f>
        <v>1.1238160463243763E-3</v>
      </c>
      <c r="I405" s="1">
        <f>'[1]Electricity and CHPs_IN'!E66</f>
        <v>3.8992600618164133E-2</v>
      </c>
      <c r="J405" s="1">
        <f>'[1]Electricity and CHPs_IN'!F66</f>
        <v>6.3949792989016124E-2</v>
      </c>
      <c r="K405" s="1">
        <f>'[1]Electricity and CHPs_IN'!G66</f>
        <v>6.5743754804493612E-2</v>
      </c>
      <c r="L405" s="1">
        <f>'[1]Electricity and CHPs_IN'!H66</f>
        <v>6.7865215955771788E-2</v>
      </c>
      <c r="M405" s="1">
        <f>'[1]Electricity and CHPs_IN'!I66</f>
        <v>8.9734248245771434E-2</v>
      </c>
      <c r="N405" s="1">
        <f>'[1]Electricity and CHPs_IN'!J66</f>
        <v>9.053356702180948E-2</v>
      </c>
      <c r="O405" s="1">
        <f>'[1]Electricity and CHPs_IN'!K66</f>
        <v>0.12295796505888729</v>
      </c>
      <c r="P405" s="1">
        <f>'[1]Electricity and CHPs_IN'!L66</f>
        <v>0.19057903691029188</v>
      </c>
      <c r="Q405" s="1">
        <f>'[1]Electricity and CHPs_IN'!M66</f>
        <v>0.16635850449745876</v>
      </c>
      <c r="S405" s="3"/>
    </row>
    <row r="406" spans="1:19" x14ac:dyDescent="0.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75"/>
        <v>PJ/yr.</v>
      </c>
      <c r="F406" s="1">
        <f>'[1]Electricity and CHPs_IN'!B67</f>
        <v>2.2544026930582336E-3</v>
      </c>
      <c r="G406" s="1">
        <f>'[1]Electricity and CHPs_IN'!C67</f>
        <v>2.24684745135191E-3</v>
      </c>
      <c r="H406" s="1">
        <f>'[1]Electricity and CHPs_IN'!D67</f>
        <v>2.2493144570883581E-3</v>
      </c>
      <c r="I406" s="1">
        <f>'[1]Electricity and CHPs_IN'!E67</f>
        <v>6.4252140090330367E-2</v>
      </c>
      <c r="J406" s="1">
        <f>'[1]Electricity and CHPs_IN'!F67</f>
        <v>0.1120333037292814</v>
      </c>
      <c r="K406" s="1">
        <f>'[1]Electricity and CHPs_IN'!G67</f>
        <v>0.11960753071097044</v>
      </c>
      <c r="L406" s="1">
        <f>'[1]Electricity and CHPs_IN'!H67</f>
        <v>0.13178945767769928</v>
      </c>
      <c r="M406" s="1">
        <f>'[1]Electricity and CHPs_IN'!I67</f>
        <v>0.15154743888725455</v>
      </c>
      <c r="N406" s="1">
        <f>'[1]Electricity and CHPs_IN'!J67</f>
        <v>0.16072951344807845</v>
      </c>
      <c r="O406" s="1">
        <f>'[1]Electricity and CHPs_IN'!K67</f>
        <v>0.15855273734396147</v>
      </c>
      <c r="P406" s="1">
        <f>'[1]Electricity and CHPs_IN'!L67</f>
        <v>0.14337343261513733</v>
      </c>
      <c r="Q406" s="1">
        <f>'[1]Electricity and CHPs_IN'!M67</f>
        <v>0.16321810435559664</v>
      </c>
      <c r="S406" s="3"/>
    </row>
    <row r="407" spans="1:19" x14ac:dyDescent="0.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75"/>
        <v>PJ/yr.</v>
      </c>
      <c r="F407" s="1">
        <f>'[1]Electricity and CHPs_IN'!B68</f>
        <v>2.2577358499235199E-3</v>
      </c>
      <c r="G407" s="1">
        <f>'[1]Electricity and CHPs_IN'!C68</f>
        <v>2.2502444550553126E-3</v>
      </c>
      <c r="H407" s="1">
        <f>'[1]Electricity and CHPs_IN'!D68</f>
        <v>2.2521228153824574E-3</v>
      </c>
      <c r="I407" s="1">
        <f>'[1]Electricity and CHPs_IN'!E68</f>
        <v>6.4636369277296324E-2</v>
      </c>
      <c r="J407" s="1">
        <f>'[1]Electricity and CHPs_IN'!F68</f>
        <v>0.11327103487811516</v>
      </c>
      <c r="K407" s="1">
        <f>'[1]Electricity and CHPs_IN'!G68</f>
        <v>0.14204740707790897</v>
      </c>
      <c r="L407" s="1">
        <f>'[1]Electricity and CHPs_IN'!H68</f>
        <v>0.14036346484920328</v>
      </c>
      <c r="M407" s="1">
        <f>'[1]Electricity and CHPs_IN'!I68</f>
        <v>0.15154360502163167</v>
      </c>
      <c r="N407" s="1">
        <f>'[1]Electricity and CHPs_IN'!J68</f>
        <v>0.1606425274788072</v>
      </c>
      <c r="O407" s="1">
        <f>'[1]Electricity and CHPs_IN'!K68</f>
        <v>0.15859734716917667</v>
      </c>
      <c r="P407" s="1">
        <f>'[1]Electricity and CHPs_IN'!L68</f>
        <v>0.14343009821744607</v>
      </c>
      <c r="Q407" s="1">
        <f>'[1]Electricity and CHPs_IN'!M68</f>
        <v>0.16323300092302218</v>
      </c>
      <c r="S407" s="3"/>
    </row>
    <row r="408" spans="1:19" x14ac:dyDescent="0.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75"/>
        <v>PJ/yr.</v>
      </c>
      <c r="F408" s="1">
        <f>'[1]Electricity and CHPs_IN'!B69</f>
        <v>1.1326628222899674E-3</v>
      </c>
      <c r="G408" s="1">
        <f>'[1]Electricity and CHPs_IN'!C69</f>
        <v>1.1288146347176696E-3</v>
      </c>
      <c r="H408" s="1">
        <f>'[1]Electricity and CHPs_IN'!D69</f>
        <v>1.1277809875475532E-3</v>
      </c>
      <c r="I408" s="1">
        <f>'[1]Electricity and CHPs_IN'!E69</f>
        <v>4.2986216322520483E-2</v>
      </c>
      <c r="J408" s="1">
        <f>'[1]Electricity and CHPs_IN'!F69</f>
        <v>7.524908342344945E-2</v>
      </c>
      <c r="K408" s="1">
        <f>'[1]Electricity and CHPs_IN'!G69</f>
        <v>9.4901755146316061E-2</v>
      </c>
      <c r="L408" s="1">
        <f>'[1]Electricity and CHPs_IN'!H69</f>
        <v>9.3581931038429808E-2</v>
      </c>
      <c r="M408" s="1">
        <f>'[1]Electricity and CHPs_IN'!I69</f>
        <v>9.9639756348349456E-2</v>
      </c>
      <c r="N408" s="1">
        <f>'[1]Electricity and CHPs_IN'!J69</f>
        <v>0.10475214795435095</v>
      </c>
      <c r="O408" s="1">
        <f>'[1]Electricity and CHPs_IN'!K69</f>
        <v>0.10358015403813087</v>
      </c>
      <c r="P408" s="1">
        <f>'[1]Electricity and CHPs_IN'!L69</f>
        <v>9.3845392647339862E-2</v>
      </c>
      <c r="Q408" s="1">
        <f>'[1]Electricity and CHPs_IN'!M69</f>
        <v>0.10831342262934571</v>
      </c>
      <c r="S408" s="3"/>
    </row>
    <row r="409" spans="1:19" x14ac:dyDescent="0.5">
      <c r="A409" s="5"/>
      <c r="B409" s="9" t="str">
        <f t="shared" ref="B409:C409" si="422">B408</f>
        <v>SPS1</v>
      </c>
      <c r="C409" s="2" t="str">
        <f t="shared" si="422"/>
        <v>CH</v>
      </c>
      <c r="D409" s="2" t="s">
        <v>190</v>
      </c>
      <c r="E409" s="2" t="str">
        <f>E397</f>
        <v>PJ/yr.</v>
      </c>
      <c r="F409" s="3">
        <f>F410+F463</f>
        <v>55.767038716455325</v>
      </c>
      <c r="G409" s="3">
        <f t="shared" ref="G409:K409" si="423">G410+G463</f>
        <v>56.059027738238612</v>
      </c>
      <c r="H409" s="3">
        <f t="shared" si="423"/>
        <v>58.115206219464106</v>
      </c>
      <c r="I409" s="3">
        <f t="shared" si="423"/>
        <v>63.639509479017704</v>
      </c>
      <c r="J409" s="3">
        <f t="shared" si="423"/>
        <v>66.428225841331141</v>
      </c>
      <c r="K409" s="3">
        <f t="shared" si="423"/>
        <v>66.8406955731529</v>
      </c>
      <c r="L409" s="3">
        <f t="shared" ref="L409:O409" si="424">L410+L463</f>
        <v>66.285001623329947</v>
      </c>
      <c r="M409" s="3">
        <f t="shared" si="424"/>
        <v>62.725869278985996</v>
      </c>
      <c r="N409" s="3">
        <f t="shared" si="424"/>
        <v>62.634745445808917</v>
      </c>
      <c r="O409" s="3">
        <f t="shared" si="424"/>
        <v>62.105977206833074</v>
      </c>
      <c r="P409" s="3">
        <f>P410+P463</f>
        <v>61.776096725340189</v>
      </c>
      <c r="Q409" s="3">
        <f>Q410+Q463</f>
        <v>62.138062232728487</v>
      </c>
      <c r="R409" s="11"/>
      <c r="S409" s="3"/>
    </row>
    <row r="410" spans="1:19" x14ac:dyDescent="0.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25">F411+F440</f>
        <v>47.854396617844046</v>
      </c>
      <c r="G410" s="1">
        <f t="shared" si="425"/>
        <v>47.37926689640237</v>
      </c>
      <c r="H410" s="1">
        <f t="shared" si="425"/>
        <v>46.994089452854382</v>
      </c>
      <c r="I410" s="1">
        <f t="shared" si="425"/>
        <v>46.652099572047064</v>
      </c>
      <c r="J410" s="1">
        <f t="shared" si="425"/>
        <v>45.734196585545057</v>
      </c>
      <c r="K410" s="1">
        <f t="shared" si="425"/>
        <v>46.949079978027527</v>
      </c>
      <c r="L410" s="1">
        <f t="shared" ref="L410:O410" si="426">L411+L440</f>
        <v>45.205474164054714</v>
      </c>
      <c r="M410" s="1">
        <f t="shared" si="426"/>
        <v>41.771537933458667</v>
      </c>
      <c r="N410" s="1">
        <f t="shared" si="426"/>
        <v>40.93979530417328</v>
      </c>
      <c r="O410" s="1">
        <f t="shared" si="426"/>
        <v>40.337850496002332</v>
      </c>
      <c r="P410" s="1">
        <f>P411+P440</f>
        <v>39.662812186202764</v>
      </c>
      <c r="Q410" s="1">
        <f>Q411+Q440</f>
        <v>39.574676970331524</v>
      </c>
      <c r="R410" s="11"/>
      <c r="S410" s="3"/>
    </row>
    <row r="411" spans="1:19" x14ac:dyDescent="0.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39.965712162591259</v>
      </c>
      <c r="G411" s="1">
        <f t="shared" ref="G411:K411" si="427">SUM(G412,G418,G427,G436,G438)</f>
        <v>34.199621479912835</v>
      </c>
      <c r="H411" s="1">
        <f t="shared" si="427"/>
        <v>34.231644714550001</v>
      </c>
      <c r="I411" s="1">
        <f t="shared" si="427"/>
        <v>39.072243696884314</v>
      </c>
      <c r="J411" s="1">
        <f t="shared" si="427"/>
        <v>37.800194528864083</v>
      </c>
      <c r="K411" s="1">
        <f t="shared" si="427"/>
        <v>39.840216111997023</v>
      </c>
      <c r="L411" s="1">
        <f t="shared" ref="L411:O411" si="428">SUM(L412,L418,L427,L436,L438)</f>
        <v>39.196499001470123</v>
      </c>
      <c r="M411" s="1">
        <f t="shared" si="428"/>
        <v>35.849330772109518</v>
      </c>
      <c r="N411" s="1">
        <f t="shared" si="428"/>
        <v>35.034238774255968</v>
      </c>
      <c r="O411" s="1">
        <f t="shared" si="428"/>
        <v>34.418943115250194</v>
      </c>
      <c r="P411" s="1">
        <f>SUM(P412,P418,P427,P436,P438)</f>
        <v>33.718913478419005</v>
      </c>
      <c r="Q411" s="1">
        <f>SUM(Q412,Q418,Q427,Q436,Q438)</f>
        <v>33.584666538535849</v>
      </c>
      <c r="S411" s="3"/>
    </row>
    <row r="412" spans="1:19" x14ac:dyDescent="0.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1.8297931101885684E-2</v>
      </c>
      <c r="G412" s="1">
        <f t="shared" ref="G412:O412" si="429">G413</f>
        <v>3.276336528190315E-4</v>
      </c>
      <c r="H412" s="1">
        <f t="shared" si="429"/>
        <v>9.6261732644283057E-3</v>
      </c>
      <c r="I412" s="1">
        <f t="shared" si="429"/>
        <v>5.8948136001787501E-3</v>
      </c>
      <c r="J412" s="1">
        <f t="shared" si="429"/>
        <v>8.3359818938605751E-3</v>
      </c>
      <c r="K412" s="1">
        <f t="shared" si="429"/>
        <v>8.9227178792258607E-3</v>
      </c>
      <c r="L412" s="1">
        <f t="shared" si="429"/>
        <v>9.2478289622914302E-3</v>
      </c>
      <c r="M412" s="1">
        <f t="shared" si="429"/>
        <v>1.462572232841944E-2</v>
      </c>
      <c r="N412" s="1">
        <f t="shared" si="429"/>
        <v>1.0315979677289762E-2</v>
      </c>
      <c r="O412" s="1">
        <f t="shared" si="429"/>
        <v>1.4557458475307915E-2</v>
      </c>
      <c r="P412" s="1">
        <f>P413</f>
        <v>1.109585365670912E-2</v>
      </c>
      <c r="Q412" s="1">
        <f>Q413</f>
        <v>1.5294988194565061E-2</v>
      </c>
      <c r="S412" s="3"/>
    </row>
    <row r="413" spans="1:19" x14ac:dyDescent="0.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1.8297931101885684E-2</v>
      </c>
      <c r="G413" s="1">
        <f>'[1]Electricity and CHPs_IN'!C$28-G300</f>
        <v>3.276336528190315E-4</v>
      </c>
      <c r="H413" s="1">
        <f>'[1]Electricity and CHPs_IN'!D$28-H300</f>
        <v>9.6261732644283057E-3</v>
      </c>
      <c r="I413" s="1">
        <f>'[1]Electricity and CHPs_IN'!E$28-I300</f>
        <v>5.8948136001787501E-3</v>
      </c>
      <c r="J413" s="1">
        <f>'[1]Electricity and CHPs_IN'!F$28-J300</f>
        <v>8.3359818938605751E-3</v>
      </c>
      <c r="K413" s="1">
        <f>'[1]Electricity and CHPs_IN'!G$28-K300</f>
        <v>8.9227178792258607E-3</v>
      </c>
      <c r="L413" s="1">
        <f>'[1]Electricity and CHPs_IN'!H$28-L300</f>
        <v>9.2478289622914302E-3</v>
      </c>
      <c r="M413" s="1">
        <f>'[1]Electricity and CHPs_IN'!I$28-M300</f>
        <v>1.462572232841944E-2</v>
      </c>
      <c r="N413" s="1">
        <f>'[1]Electricity and CHPs_IN'!J$28-N300</f>
        <v>1.0315979677289762E-2</v>
      </c>
      <c r="O413" s="1">
        <f>'[1]Electricity and CHPs_IN'!K$28-O300</f>
        <v>1.4557458475307915E-2</v>
      </c>
      <c r="P413" s="1">
        <f>'[1]Electricity and CHPs_IN'!L$28-P300</f>
        <v>1.109585365670912E-2</v>
      </c>
      <c r="Q413" s="1">
        <f>'[1]Electricity and CHPs_IN'!M$28-Q300</f>
        <v>1.5294988194565061E-2</v>
      </c>
      <c r="S413" s="3"/>
    </row>
    <row r="414" spans="1:19" x14ac:dyDescent="0.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1.8297931101885684E-2</v>
      </c>
      <c r="G414" s="1">
        <f t="shared" ref="G414:O414" si="430">G415</f>
        <v>3.276336528190315E-4</v>
      </c>
      <c r="H414" s="1">
        <f t="shared" si="430"/>
        <v>9.6261732644283057E-3</v>
      </c>
      <c r="I414" s="1">
        <f t="shared" si="430"/>
        <v>5.8948136001787501E-3</v>
      </c>
      <c r="J414" s="1">
        <f t="shared" si="430"/>
        <v>8.3359818938605751E-3</v>
      </c>
      <c r="K414" s="1">
        <f t="shared" si="430"/>
        <v>8.9227178792258607E-3</v>
      </c>
      <c r="L414" s="1">
        <f t="shared" si="430"/>
        <v>9.2478289622914302E-3</v>
      </c>
      <c r="M414" s="1">
        <f t="shared" si="430"/>
        <v>1.462572232841944E-2</v>
      </c>
      <c r="N414" s="1">
        <f t="shared" si="430"/>
        <v>1.0315979677289762E-2</v>
      </c>
      <c r="O414" s="1">
        <f t="shared" si="430"/>
        <v>1.4557458475307915E-2</v>
      </c>
      <c r="P414" s="1">
        <f>P415</f>
        <v>1.109585365670912E-2</v>
      </c>
      <c r="Q414" s="1">
        <f>Q415</f>
        <v>1.5294988194565061E-2</v>
      </c>
      <c r="S414" s="3"/>
    </row>
    <row r="415" spans="1:19" x14ac:dyDescent="0.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1.8297931101885684E-2</v>
      </c>
      <c r="G415" s="1">
        <f t="shared" ref="G415:K415" si="431">G413-G417</f>
        <v>3.276336528190315E-4</v>
      </c>
      <c r="H415" s="1">
        <f t="shared" si="431"/>
        <v>9.6261732644283057E-3</v>
      </c>
      <c r="I415" s="1">
        <f t="shared" si="431"/>
        <v>5.8948136001787501E-3</v>
      </c>
      <c r="J415" s="1">
        <f t="shared" si="431"/>
        <v>8.3359818938605751E-3</v>
      </c>
      <c r="K415" s="1">
        <f t="shared" si="431"/>
        <v>8.9227178792258607E-3</v>
      </c>
      <c r="L415" s="1">
        <f t="shared" ref="L415:O415" si="432">L413-L417</f>
        <v>9.2478289622914302E-3</v>
      </c>
      <c r="M415" s="1">
        <f t="shared" si="432"/>
        <v>1.462572232841944E-2</v>
      </c>
      <c r="N415" s="1">
        <f t="shared" si="432"/>
        <v>1.0315979677289762E-2</v>
      </c>
      <c r="O415" s="1">
        <f t="shared" si="432"/>
        <v>1.4557458475307915E-2</v>
      </c>
      <c r="P415" s="1">
        <f>P413-P417</f>
        <v>1.109585365670912E-2</v>
      </c>
      <c r="Q415" s="1">
        <f>Q413-Q417</f>
        <v>1.5294988194565061E-2</v>
      </c>
      <c r="S415" s="3"/>
    </row>
    <row r="416" spans="1:19" x14ac:dyDescent="0.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O416" si="433">G417</f>
        <v>0</v>
      </c>
      <c r="H416" s="1">
        <f t="shared" si="433"/>
        <v>0</v>
      </c>
      <c r="I416" s="1">
        <f t="shared" si="433"/>
        <v>0</v>
      </c>
      <c r="J416" s="1">
        <f t="shared" si="433"/>
        <v>0</v>
      </c>
      <c r="K416" s="1">
        <f t="shared" si="433"/>
        <v>0</v>
      </c>
      <c r="L416" s="1">
        <f t="shared" si="433"/>
        <v>0</v>
      </c>
      <c r="M416" s="1">
        <f t="shared" si="433"/>
        <v>0</v>
      </c>
      <c r="N416" s="1">
        <f t="shared" si="433"/>
        <v>0</v>
      </c>
      <c r="O416" s="1">
        <f t="shared" si="433"/>
        <v>0</v>
      </c>
      <c r="P416" s="1">
        <f>P417</f>
        <v>0</v>
      </c>
      <c r="Q416" s="1">
        <f>Q417</f>
        <v>0</v>
      </c>
      <c r="S416" s="3"/>
    </row>
    <row r="417" spans="1:19" x14ac:dyDescent="0.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34">IFERROR(G308/G300,0)*G413</f>
        <v>0</v>
      </c>
      <c r="H417" s="1">
        <f t="shared" si="434"/>
        <v>0</v>
      </c>
      <c r="I417" s="1">
        <f t="shared" si="434"/>
        <v>0</v>
      </c>
      <c r="J417" s="1">
        <f t="shared" si="434"/>
        <v>0</v>
      </c>
      <c r="K417" s="1">
        <f t="shared" si="434"/>
        <v>0</v>
      </c>
      <c r="L417" s="1">
        <f t="shared" ref="L417:O417" si="435">IFERROR(L308/L300,0)*L413</f>
        <v>0</v>
      </c>
      <c r="M417" s="1">
        <f t="shared" si="435"/>
        <v>0</v>
      </c>
      <c r="N417" s="1">
        <f t="shared" si="435"/>
        <v>0</v>
      </c>
      <c r="O417" s="1">
        <f t="shared" si="435"/>
        <v>0</v>
      </c>
      <c r="P417" s="1">
        <f>IFERROR(P308/P300,0)*P413</f>
        <v>0</v>
      </c>
      <c r="Q417" s="1">
        <f>IFERROR(Q308/Q300,0)*Q413</f>
        <v>0</v>
      </c>
      <c r="S417" s="3"/>
    </row>
    <row r="418" spans="1:19" x14ac:dyDescent="0.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2.3964468928157525</v>
      </c>
      <c r="G418" s="1">
        <f t="shared" ref="G418:K418" si="436">SUM(G419:G420)</f>
        <v>4.9938520128672945E-4</v>
      </c>
      <c r="H418" s="1">
        <f t="shared" si="436"/>
        <v>4.3343847241857997E-2</v>
      </c>
      <c r="I418" s="1">
        <f t="shared" si="436"/>
        <v>2.4712096101832493</v>
      </c>
      <c r="J418" s="1">
        <f t="shared" si="436"/>
        <v>1.0705227287193642</v>
      </c>
      <c r="K418" s="1">
        <f t="shared" si="436"/>
        <v>3.0256382104877817</v>
      </c>
      <c r="L418" s="1">
        <f t="shared" ref="L418:O418" si="437">SUM(L419:L420)</f>
        <v>3.3624812786607916</v>
      </c>
      <c r="M418" s="1">
        <f t="shared" si="437"/>
        <v>1.7553572032066183</v>
      </c>
      <c r="N418" s="1">
        <f t="shared" si="437"/>
        <v>1.5817036075822375</v>
      </c>
      <c r="O418" s="1">
        <f t="shared" si="437"/>
        <v>0.88302717811568299</v>
      </c>
      <c r="P418" s="1">
        <f>SUM(P419:P420)</f>
        <v>5.6858877631939891E-2</v>
      </c>
      <c r="Q418" s="1">
        <f>SUM(Q419:Q420)</f>
        <v>4.6971612158573525E-2</v>
      </c>
      <c r="S418" s="3"/>
    </row>
    <row r="419" spans="1:19" x14ac:dyDescent="0.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2.3964468928157525</v>
      </c>
      <c r="G419" s="1">
        <f>'[1]Electricity and CHPs_IN'!C$24-G314</f>
        <v>4.9938520128672945E-4</v>
      </c>
      <c r="H419" s="1">
        <f>'[1]Electricity and CHPs_IN'!D$24-H314</f>
        <v>4.3343847241857997E-2</v>
      </c>
      <c r="I419" s="1">
        <f>'[1]Electricity and CHPs_IN'!E$24-I314</f>
        <v>2.4712096101832493</v>
      </c>
      <c r="J419" s="1">
        <f>'[1]Electricity and CHPs_IN'!F$24-J314</f>
        <v>1.0705227287193642</v>
      </c>
      <c r="K419" s="1">
        <f>'[1]Electricity and CHPs_IN'!G$24-K314</f>
        <v>2.3798304393008713</v>
      </c>
      <c r="L419" s="1">
        <f>'[1]Electricity and CHPs_IN'!H$24-L314</f>
        <v>1.9288398433099307</v>
      </c>
      <c r="M419" s="1">
        <f>'[1]Electricity and CHPs_IN'!I$24-M314</f>
        <v>0.30974215126202009</v>
      </c>
      <c r="N419" s="1">
        <f>'[1]Electricity and CHPs_IN'!J$24-N314</f>
        <v>0.32271433842596009</v>
      </c>
      <c r="O419" s="1">
        <f>'[1]Electricity and CHPs_IN'!K$24-O314</f>
        <v>4.4255549237603872E-2</v>
      </c>
      <c r="P419" s="1">
        <f>'[1]Electricity and CHPs_IN'!L$24-P314</f>
        <v>1.5256026023285078E-2</v>
      </c>
      <c r="Q419" s="1">
        <f>'[1]Electricity and CHPs_IN'!M$24-Q314</f>
        <v>1.8630660053898997E-2</v>
      </c>
      <c r="S419" s="3"/>
    </row>
    <row r="420" spans="1:19" x14ac:dyDescent="0.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'[1]Electricity and CHPs_IN'!F$29-J315</f>
        <v>0</v>
      </c>
      <c r="K420" s="1">
        <f>'[1]Electricity and CHPs_IN'!G$29-K315</f>
        <v>0.64580777118691013</v>
      </c>
      <c r="L420" s="1">
        <f>'[1]Electricity and CHPs_IN'!H$29-L315</f>
        <v>1.4336414353508609</v>
      </c>
      <c r="M420" s="1">
        <f>'[1]Electricity and CHPs_IN'!I$29-M315</f>
        <v>1.4456150519445983</v>
      </c>
      <c r="N420" s="1">
        <f>'[1]Electricity and CHPs_IN'!J$29-N315</f>
        <v>1.2589892691562774</v>
      </c>
      <c r="O420" s="1">
        <f>'[1]Electricity and CHPs_IN'!K$29-O315</f>
        <v>0.8387716288780791</v>
      </c>
      <c r="P420" s="1">
        <f>'[1]Electricity and CHPs_IN'!L$29-P315</f>
        <v>4.160285160865481E-2</v>
      </c>
      <c r="Q420" s="1">
        <f>'[1]Electricity and CHPs_IN'!M$29-Q315</f>
        <v>2.8340952104674525E-2</v>
      </c>
      <c r="S420" s="3"/>
    </row>
    <row r="421" spans="1:19" x14ac:dyDescent="0.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2.33367204982981</v>
      </c>
      <c r="G421" s="1">
        <f t="shared" ref="G421:K421" si="438">SUM(G422:G423)</f>
        <v>4.7761838404067228E-4</v>
      </c>
      <c r="H421" s="1">
        <f t="shared" si="438"/>
        <v>3.9394283381055967E-2</v>
      </c>
      <c r="I421" s="1">
        <f t="shared" si="438"/>
        <v>2.3686803330849138</v>
      </c>
      <c r="J421" s="1">
        <f t="shared" si="438"/>
        <v>1.0348913573550831</v>
      </c>
      <c r="K421" s="1">
        <f t="shared" si="438"/>
        <v>2.9533977022445894</v>
      </c>
      <c r="L421" s="1">
        <f t="shared" ref="L421:O421" si="439">SUM(L422:L423)</f>
        <v>3.3023786704739893</v>
      </c>
      <c r="M421" s="1">
        <f t="shared" si="439"/>
        <v>1.7269703864400441</v>
      </c>
      <c r="N421" s="1">
        <f t="shared" si="439"/>
        <v>1.5582465210045633</v>
      </c>
      <c r="O421" s="1">
        <f t="shared" si="439"/>
        <v>0.87044798531531642</v>
      </c>
      <c r="P421" s="1">
        <f>SUM(P422:P423)</f>
        <v>5.6032336398380733E-2</v>
      </c>
      <c r="Q421" s="1">
        <f>SUM(Q422:Q423)</f>
        <v>4.6222105180967546E-2</v>
      </c>
      <c r="S421" s="3"/>
    </row>
    <row r="422" spans="1:19" x14ac:dyDescent="0.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2.33367204982981</v>
      </c>
      <c r="G422" s="1">
        <f t="shared" ref="G422:K422" si="440">G419-G425</f>
        <v>4.7761838404067228E-4</v>
      </c>
      <c r="H422" s="1">
        <f t="shared" si="440"/>
        <v>3.9394283381055967E-2</v>
      </c>
      <c r="I422" s="1">
        <f t="shared" si="440"/>
        <v>2.3686803330849138</v>
      </c>
      <c r="J422" s="1">
        <f t="shared" si="440"/>
        <v>1.0348913573550831</v>
      </c>
      <c r="K422" s="1">
        <f t="shared" si="440"/>
        <v>2.323009316447588</v>
      </c>
      <c r="L422" s="1">
        <f t="shared" ref="L422:O422" si="441">L419-L425</f>
        <v>1.8943628319156185</v>
      </c>
      <c r="M422" s="1">
        <f t="shared" si="441"/>
        <v>0.30473314587172262</v>
      </c>
      <c r="N422" s="1">
        <f t="shared" si="441"/>
        <v>0.31792839867085904</v>
      </c>
      <c r="O422" s="1">
        <f t="shared" si="441"/>
        <v>4.3625105350775961E-2</v>
      </c>
      <c r="P422" s="1">
        <f>P419-P425</f>
        <v>1.5034253538606041E-2</v>
      </c>
      <c r="Q422" s="1">
        <f>Q419-Q425</f>
        <v>1.8333378162430993E-2</v>
      </c>
      <c r="S422" s="3"/>
    </row>
    <row r="423" spans="1:19" x14ac:dyDescent="0.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42">G420-G426</f>
        <v>0</v>
      </c>
      <c r="H423" s="1">
        <f t="shared" si="442"/>
        <v>0</v>
      </c>
      <c r="I423" s="1">
        <f t="shared" si="442"/>
        <v>0</v>
      </c>
      <c r="J423" s="1">
        <f t="shared" si="442"/>
        <v>0</v>
      </c>
      <c r="K423" s="1">
        <f t="shared" si="442"/>
        <v>0.63038838579700129</v>
      </c>
      <c r="L423" s="1">
        <f t="shared" ref="L423:O423" si="443">L420-L426</f>
        <v>1.408015838558371</v>
      </c>
      <c r="M423" s="1">
        <f t="shared" si="443"/>
        <v>1.4222372405683215</v>
      </c>
      <c r="N423" s="1">
        <f t="shared" si="443"/>
        <v>1.2403181223337043</v>
      </c>
      <c r="O423" s="1">
        <f t="shared" si="443"/>
        <v>0.8268228799645404</v>
      </c>
      <c r="P423" s="1">
        <f>P420-P426</f>
        <v>4.0998082859774694E-2</v>
      </c>
      <c r="Q423" s="1">
        <f>Q420-Q426</f>
        <v>2.7888727018536553E-2</v>
      </c>
      <c r="S423" s="3"/>
    </row>
    <row r="424" spans="1:19" x14ac:dyDescent="0.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6.2774842985942408E-2</v>
      </c>
      <c r="G424" s="1">
        <f t="shared" ref="G424:K424" si="444">SUM(G425:G426)</f>
        <v>2.1766817246057186E-5</v>
      </c>
      <c r="H424" s="1">
        <f t="shared" si="444"/>
        <v>3.9495638608020309E-3</v>
      </c>
      <c r="I424" s="1">
        <f t="shared" si="444"/>
        <v>0.10252927709833563</v>
      </c>
      <c r="J424" s="1">
        <f t="shared" si="444"/>
        <v>3.5631371364281066E-2</v>
      </c>
      <c r="K424" s="1">
        <f t="shared" si="444"/>
        <v>7.2240508243192003E-2</v>
      </c>
      <c r="L424" s="1">
        <f t="shared" ref="L424:O424" si="445">SUM(L425:L426)</f>
        <v>6.0102608186802076E-2</v>
      </c>
      <c r="M424" s="1">
        <f t="shared" si="445"/>
        <v>2.8386816766574202E-2</v>
      </c>
      <c r="N424" s="1">
        <f t="shared" si="445"/>
        <v>2.3457086577674174E-2</v>
      </c>
      <c r="O424" s="1">
        <f t="shared" si="445"/>
        <v>1.2579192800366625E-2</v>
      </c>
      <c r="P424" s="1">
        <f>SUM(P425:P426)</f>
        <v>8.2654123355914975E-4</v>
      </c>
      <c r="Q424" s="1">
        <f>SUM(Q425:Q426)</f>
        <v>7.4950697760597712E-4</v>
      </c>
      <c r="S424" s="3"/>
    </row>
    <row r="425" spans="1:19" x14ac:dyDescent="0.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6.2774842985942408E-2</v>
      </c>
      <c r="G425" s="1">
        <f t="shared" ref="G425:K425" si="446">IFERROR(G346/G314,0)*G419</f>
        <v>2.1766817246057186E-5</v>
      </c>
      <c r="H425" s="1">
        <f t="shared" si="446"/>
        <v>3.9495638608020309E-3</v>
      </c>
      <c r="I425" s="1">
        <f t="shared" si="446"/>
        <v>0.10252927709833563</v>
      </c>
      <c r="J425" s="1">
        <f t="shared" si="446"/>
        <v>3.5631371364281066E-2</v>
      </c>
      <c r="K425" s="1">
        <f t="shared" si="446"/>
        <v>5.6821122853283119E-2</v>
      </c>
      <c r="L425" s="1">
        <f t="shared" ref="L425:O425" si="447">IFERROR(L346/L314,0)*L419</f>
        <v>3.4477011394312237E-2</v>
      </c>
      <c r="M425" s="1">
        <f t="shared" si="447"/>
        <v>5.0090053902974796E-3</v>
      </c>
      <c r="N425" s="1">
        <f t="shared" si="447"/>
        <v>4.7859397551010688E-3</v>
      </c>
      <c r="O425" s="1">
        <f t="shared" si="447"/>
        <v>6.3044388682791401E-4</v>
      </c>
      <c r="P425" s="1">
        <f>IFERROR(P346/P314,0)*P419</f>
        <v>2.2177248467903596E-4</v>
      </c>
      <c r="Q425" s="1">
        <f>IFERROR(Q346/Q314,0)*Q419</f>
        <v>2.9728189146800471E-4</v>
      </c>
      <c r="S425" s="3"/>
    </row>
    <row r="426" spans="1:19" x14ac:dyDescent="0.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48">IFERROR(G347/G315,0)*G420</f>
        <v>0</v>
      </c>
      <c r="H426" s="1">
        <f t="shared" si="448"/>
        <v>0</v>
      </c>
      <c r="I426" s="1">
        <f t="shared" si="448"/>
        <v>0</v>
      </c>
      <c r="J426" s="1">
        <f t="shared" si="448"/>
        <v>0</v>
      </c>
      <c r="K426" s="1">
        <f t="shared" si="448"/>
        <v>1.5419385389908882E-2</v>
      </c>
      <c r="L426" s="1">
        <f t="shared" ref="L426:O426" si="449">IFERROR(L347/L315,0)*L420</f>
        <v>2.5625596792489838E-2</v>
      </c>
      <c r="M426" s="1">
        <f t="shared" si="449"/>
        <v>2.3377811376276723E-2</v>
      </c>
      <c r="N426" s="1">
        <f t="shared" si="449"/>
        <v>1.8671146822573106E-2</v>
      </c>
      <c r="O426" s="1">
        <f t="shared" si="449"/>
        <v>1.194874891353871E-2</v>
      </c>
      <c r="P426" s="1">
        <f>IFERROR(P347/P315,0)*P420</f>
        <v>6.0476874888011373E-4</v>
      </c>
      <c r="Q426" s="1">
        <f>IFERROR(Q347/Q315,0)*Q420</f>
        <v>4.5222508613797246E-4</v>
      </c>
      <c r="S426" s="3"/>
    </row>
    <row r="427" spans="1:19" x14ac:dyDescent="0.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36.274954273320382</v>
      </c>
      <c r="G427" s="1">
        <f t="shared" ref="G427:K427" si="450">SUM(G428:G429)</f>
        <v>33.993820657528062</v>
      </c>
      <c r="H427" s="1">
        <f t="shared" si="450"/>
        <v>33.296008151322368</v>
      </c>
      <c r="I427" s="1">
        <f t="shared" si="450"/>
        <v>33.736298037421122</v>
      </c>
      <c r="J427" s="1">
        <f t="shared" si="450"/>
        <v>33.427545589124371</v>
      </c>
      <c r="K427" s="1">
        <f t="shared" si="450"/>
        <v>33.147065322684867</v>
      </c>
      <c r="L427" s="1">
        <f t="shared" ref="L427:O427" si="451">SUM(L428:L429)</f>
        <v>32.853204368933596</v>
      </c>
      <c r="M427" s="1">
        <f t="shared" si="451"/>
        <v>32.544652421207559</v>
      </c>
      <c r="N427" s="1">
        <f t="shared" si="451"/>
        <v>32.54455392129573</v>
      </c>
      <c r="O427" s="1">
        <f t="shared" si="451"/>
        <v>32.544400115432055</v>
      </c>
      <c r="P427" s="1">
        <f>SUM(P428:P429)</f>
        <v>32.544323471431504</v>
      </c>
      <c r="Q427" s="1">
        <f>SUM(Q428:Q429)</f>
        <v>32.5433477811317</v>
      </c>
      <c r="S427" s="3"/>
    </row>
    <row r="428" spans="1:19" x14ac:dyDescent="0.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36.274954273320382</v>
      </c>
      <c r="G428" s="1">
        <f>'[1]Electricity and CHPs_IN'!C$26-G361</f>
        <v>33.993820657528062</v>
      </c>
      <c r="H428" s="1">
        <f>'[1]Electricity and CHPs_IN'!D$26-H361</f>
        <v>33.296008151322368</v>
      </c>
      <c r="I428" s="1">
        <f>'[1]Electricity and CHPs_IN'!E$26-I361</f>
        <v>33.736298037421122</v>
      </c>
      <c r="J428" s="1">
        <f>'[1]Electricity and CHPs_IN'!F$26-J361</f>
        <v>33.427545589124371</v>
      </c>
      <c r="K428" s="1">
        <f>'[1]Electricity and CHPs_IN'!G$26-K361</f>
        <v>33.147065322684867</v>
      </c>
      <c r="L428" s="1">
        <f>'[1]Electricity and CHPs_IN'!H$26-L361</f>
        <v>32.853204368933596</v>
      </c>
      <c r="M428" s="1">
        <f>'[1]Electricity and CHPs_IN'!I$26-M361</f>
        <v>32.544652421207559</v>
      </c>
      <c r="N428" s="1">
        <f>'[1]Electricity and CHPs_IN'!J$26-N361</f>
        <v>32.54455392129573</v>
      </c>
      <c r="O428" s="1">
        <f>'[1]Electricity and CHPs_IN'!K$26-O361</f>
        <v>32.544400115432055</v>
      </c>
      <c r="P428" s="1">
        <f>'[1]Electricity and CHPs_IN'!L$26-P361</f>
        <v>32.544323471431504</v>
      </c>
      <c r="Q428" s="1">
        <f>'[1]Electricity and CHPs_IN'!M$26-Q361</f>
        <v>32.5433477811317</v>
      </c>
      <c r="S428" s="3"/>
    </row>
    <row r="429" spans="1:19" x14ac:dyDescent="0.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'[1]Electricity and CHPs_IN'!F$27-J362</f>
        <v>0</v>
      </c>
      <c r="K429" s="1">
        <f>'[1]Electricity and CHPs_IN'!G$27-K362</f>
        <v>0</v>
      </c>
      <c r="L429" s="1">
        <f>'[1]Electricity and CHPs_IN'!H$27-L362</f>
        <v>0</v>
      </c>
      <c r="M429" s="1">
        <f>'[1]Electricity and CHPs_IN'!I$27-M362</f>
        <v>0</v>
      </c>
      <c r="N429" s="1">
        <f>'[1]Electricity and CHPs_IN'!J$27-N362</f>
        <v>0</v>
      </c>
      <c r="O429" s="1">
        <f>'[1]Electricity and CHPs_IN'!K$27-O362</f>
        <v>0</v>
      </c>
      <c r="P429" s="1">
        <f>'[1]Electricity and CHPs_IN'!L$27-P362</f>
        <v>0</v>
      </c>
      <c r="Q429" s="1">
        <f>'[1]Electricity and CHPs_IN'!M$27-Q362</f>
        <v>0</v>
      </c>
      <c r="S429" s="3"/>
    </row>
    <row r="430" spans="1:19" x14ac:dyDescent="0.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18.137477136660191</v>
      </c>
      <c r="G430" s="1">
        <f t="shared" ref="G430:K430" si="452">SUM(G431:G432)</f>
        <v>16.996910328764031</v>
      </c>
      <c r="H430" s="1">
        <f t="shared" si="452"/>
        <v>16.648004075661184</v>
      </c>
      <c r="I430" s="1">
        <f t="shared" si="452"/>
        <v>16.868149018710557</v>
      </c>
      <c r="J430" s="1">
        <f t="shared" si="452"/>
        <v>16.713772794562185</v>
      </c>
      <c r="K430" s="1">
        <f t="shared" si="452"/>
        <v>16.573532661342433</v>
      </c>
      <c r="L430" s="1">
        <f t="shared" ref="L430:O430" si="453">SUM(L431:L432)</f>
        <v>16.426602184466798</v>
      </c>
      <c r="M430" s="1">
        <f t="shared" si="453"/>
        <v>16.272326210603779</v>
      </c>
      <c r="N430" s="1">
        <f t="shared" si="453"/>
        <v>16.272276960647865</v>
      </c>
      <c r="O430" s="1">
        <f t="shared" si="453"/>
        <v>16.272200057716027</v>
      </c>
      <c r="P430" s="1">
        <f>SUM(P431:P432)</f>
        <v>16.272161735715752</v>
      </c>
      <c r="Q430" s="1">
        <f>SUM(Q431:Q432)</f>
        <v>16.27167389056585</v>
      </c>
      <c r="S430" s="3"/>
    </row>
    <row r="431" spans="1:19" x14ac:dyDescent="0.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18.137477136660191</v>
      </c>
      <c r="G431" s="1">
        <f t="shared" ref="G431:K431" si="454">IFERROR(G368/G361,0)*G428</f>
        <v>16.996910328764031</v>
      </c>
      <c r="H431" s="1">
        <f t="shared" si="454"/>
        <v>16.648004075661184</v>
      </c>
      <c r="I431" s="1">
        <f t="shared" si="454"/>
        <v>16.868149018710557</v>
      </c>
      <c r="J431" s="1">
        <f t="shared" si="454"/>
        <v>16.713772794562185</v>
      </c>
      <c r="K431" s="1">
        <f t="shared" si="454"/>
        <v>16.573532661342433</v>
      </c>
      <c r="L431" s="1">
        <f t="shared" ref="L431:O431" si="455">IFERROR(L368/L361,0)*L428</f>
        <v>16.426602184466798</v>
      </c>
      <c r="M431" s="1">
        <f t="shared" si="455"/>
        <v>16.272326210603779</v>
      </c>
      <c r="N431" s="1">
        <f t="shared" si="455"/>
        <v>16.272276960647865</v>
      </c>
      <c r="O431" s="1">
        <f t="shared" si="455"/>
        <v>16.272200057716027</v>
      </c>
      <c r="P431" s="1">
        <f>IFERROR(P368/P361,0)*P428</f>
        <v>16.272161735715752</v>
      </c>
      <c r="Q431" s="1">
        <f>IFERROR(Q368/Q361,0)*Q428</f>
        <v>16.27167389056585</v>
      </c>
      <c r="S431" s="3"/>
    </row>
    <row r="432" spans="1:19" x14ac:dyDescent="0.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56">IFERROR(G369/G362,0)*G429</f>
        <v>0</v>
      </c>
      <c r="H432" s="1">
        <f t="shared" si="456"/>
        <v>0</v>
      </c>
      <c r="I432" s="1">
        <f t="shared" si="456"/>
        <v>0</v>
      </c>
      <c r="J432" s="1">
        <f t="shared" si="456"/>
        <v>0</v>
      </c>
      <c r="K432" s="1">
        <f t="shared" si="456"/>
        <v>0</v>
      </c>
      <c r="L432" s="1">
        <f t="shared" ref="L432:O432" si="457">IFERROR(L369/L362,0)*L429</f>
        <v>0</v>
      </c>
      <c r="M432" s="1">
        <f t="shared" si="457"/>
        <v>0</v>
      </c>
      <c r="N432" s="1">
        <f t="shared" si="457"/>
        <v>0</v>
      </c>
      <c r="O432" s="1">
        <f t="shared" si="457"/>
        <v>0</v>
      </c>
      <c r="P432" s="1">
        <f>IFERROR(P369/P362,0)*P429</f>
        <v>0</v>
      </c>
      <c r="Q432" s="1">
        <f>IFERROR(Q369/Q362,0)*Q429</f>
        <v>0</v>
      </c>
      <c r="S432" s="3"/>
    </row>
    <row r="433" spans="1:19" x14ac:dyDescent="0.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18.137477136660191</v>
      </c>
      <c r="G433" s="1">
        <f t="shared" ref="G433:K433" si="458">SUM(G434:G435)</f>
        <v>16.996910328764031</v>
      </c>
      <c r="H433" s="1">
        <f t="shared" si="458"/>
        <v>16.648004075661184</v>
      </c>
      <c r="I433" s="1">
        <f t="shared" si="458"/>
        <v>16.868149018710564</v>
      </c>
      <c r="J433" s="1">
        <f t="shared" si="458"/>
        <v>16.713772794562185</v>
      </c>
      <c r="K433" s="1">
        <f t="shared" si="458"/>
        <v>16.573532661342433</v>
      </c>
      <c r="L433" s="1">
        <f t="shared" ref="L433:O433" si="459">SUM(L434:L435)</f>
        <v>16.426602184466798</v>
      </c>
      <c r="M433" s="1">
        <f t="shared" si="459"/>
        <v>16.272326210603779</v>
      </c>
      <c r="N433" s="1">
        <f t="shared" si="459"/>
        <v>16.272276960647865</v>
      </c>
      <c r="O433" s="1">
        <f t="shared" si="459"/>
        <v>16.272200057716027</v>
      </c>
      <c r="P433" s="1">
        <f>SUM(P434:P435)</f>
        <v>16.272161735715752</v>
      </c>
      <c r="Q433" s="1">
        <f>SUM(Q434:Q435)</f>
        <v>16.27167389056585</v>
      </c>
      <c r="S433" s="3"/>
    </row>
    <row r="434" spans="1:19" x14ac:dyDescent="0.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18.137477136660191</v>
      </c>
      <c r="G434" s="1">
        <f t="shared" ref="G434:K434" si="460">G428-G431</f>
        <v>16.996910328764031</v>
      </c>
      <c r="H434" s="1">
        <f t="shared" si="460"/>
        <v>16.648004075661184</v>
      </c>
      <c r="I434" s="1">
        <f t="shared" si="460"/>
        <v>16.868149018710564</v>
      </c>
      <c r="J434" s="1">
        <f t="shared" si="460"/>
        <v>16.713772794562185</v>
      </c>
      <c r="K434" s="1">
        <f t="shared" si="460"/>
        <v>16.573532661342433</v>
      </c>
      <c r="L434" s="1">
        <f t="shared" ref="L434:O434" si="461">L428-L431</f>
        <v>16.426602184466798</v>
      </c>
      <c r="M434" s="1">
        <f t="shared" si="461"/>
        <v>16.272326210603779</v>
      </c>
      <c r="N434" s="1">
        <f t="shared" si="461"/>
        <v>16.272276960647865</v>
      </c>
      <c r="O434" s="1">
        <f t="shared" si="461"/>
        <v>16.272200057716027</v>
      </c>
      <c r="P434" s="1">
        <f>P428-P431</f>
        <v>16.272161735715752</v>
      </c>
      <c r="Q434" s="1">
        <f>Q428-Q431</f>
        <v>16.27167389056585</v>
      </c>
      <c r="S434" s="3"/>
    </row>
    <row r="435" spans="1:19" x14ac:dyDescent="0.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62">G429-G432</f>
        <v>0</v>
      </c>
      <c r="H435" s="1">
        <f t="shared" si="462"/>
        <v>0</v>
      </c>
      <c r="I435" s="1">
        <f t="shared" si="462"/>
        <v>0</v>
      </c>
      <c r="J435" s="1">
        <f t="shared" si="462"/>
        <v>0</v>
      </c>
      <c r="K435" s="1">
        <f t="shared" si="462"/>
        <v>0</v>
      </c>
      <c r="L435" s="1">
        <f t="shared" ref="L435:O435" si="463">L429-L432</f>
        <v>0</v>
      </c>
      <c r="M435" s="1">
        <f t="shared" si="463"/>
        <v>0</v>
      </c>
      <c r="N435" s="1">
        <f t="shared" si="463"/>
        <v>0</v>
      </c>
      <c r="O435" s="1">
        <f t="shared" si="463"/>
        <v>0</v>
      </c>
      <c r="P435" s="1">
        <f>P429-P432</f>
        <v>0</v>
      </c>
      <c r="Q435" s="1">
        <f>Q429-Q432</f>
        <v>0</v>
      </c>
      <c r="S435" s="3"/>
    </row>
    <row r="436" spans="1:19" x14ac:dyDescent="0.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1.2760130653532427</v>
      </c>
      <c r="G436" s="1">
        <f t="shared" ref="G436:O436" si="464">G437</f>
        <v>0.20497380353067332</v>
      </c>
      <c r="H436" s="1">
        <f t="shared" si="464"/>
        <v>0.88266654272134448</v>
      </c>
      <c r="I436" s="1">
        <f t="shared" si="464"/>
        <v>2.8588412356797588</v>
      </c>
      <c r="J436" s="1">
        <f t="shared" si="464"/>
        <v>3.2937902291264898</v>
      </c>
      <c r="K436" s="1">
        <f t="shared" si="464"/>
        <v>3.6561185754742116</v>
      </c>
      <c r="L436" s="1">
        <f t="shared" si="464"/>
        <v>2.9690195801993582</v>
      </c>
      <c r="M436" s="1">
        <f t="shared" si="464"/>
        <v>1.5302366538723726</v>
      </c>
      <c r="N436" s="1">
        <f t="shared" si="464"/>
        <v>0.89318224395597134</v>
      </c>
      <c r="O436" s="1">
        <f t="shared" si="464"/>
        <v>0.92615601646416512</v>
      </c>
      <c r="P436" s="1">
        <f>P437</f>
        <v>1.0533693365335632</v>
      </c>
      <c r="Q436" s="1">
        <f>Q437</f>
        <v>0.92507442643397464</v>
      </c>
      <c r="S436" s="3"/>
    </row>
    <row r="437" spans="1:19" x14ac:dyDescent="0.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1.2760130653532427</v>
      </c>
      <c r="G437" s="1">
        <f>'[1]Electricity and CHPs_IN'!C$25-G380</f>
        <v>0.20497380353067332</v>
      </c>
      <c r="H437" s="1">
        <f>'[1]Electricity and CHPs_IN'!D$25-H380</f>
        <v>0.88266654272134448</v>
      </c>
      <c r="I437" s="1">
        <f>'[1]Electricity and CHPs_IN'!E$25-I380</f>
        <v>2.8588412356797588</v>
      </c>
      <c r="J437" s="1">
        <f>'[1]Electricity and CHPs_IN'!F$25-J380</f>
        <v>3.2937902291264898</v>
      </c>
      <c r="K437" s="1">
        <f>'[1]Electricity and CHPs_IN'!G$25-K380</f>
        <v>3.6561185754742116</v>
      </c>
      <c r="L437" s="1">
        <f>'[1]Electricity and CHPs_IN'!H$25-L380</f>
        <v>2.9690195801993582</v>
      </c>
      <c r="M437" s="1">
        <f>'[1]Electricity and CHPs_IN'!I$25-M380</f>
        <v>1.5302366538723726</v>
      </c>
      <c r="N437" s="1">
        <f>'[1]Electricity and CHPs_IN'!J$25-N380</f>
        <v>0.89318224395597134</v>
      </c>
      <c r="O437" s="1">
        <f>'[1]Electricity and CHPs_IN'!K$25-O380</f>
        <v>0.92615601646416512</v>
      </c>
      <c r="P437" s="1">
        <f>'[1]Electricity and CHPs_IN'!L$25-P380</f>
        <v>1.0533693365335632</v>
      </c>
      <c r="Q437" s="1">
        <f>'[1]Electricity and CHPs_IN'!M$25-Q380</f>
        <v>0.92507442643397464</v>
      </c>
      <c r="S437" s="3"/>
    </row>
    <row r="438" spans="1:19" x14ac:dyDescent="0.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O438" si="465">+G439</f>
        <v>0</v>
      </c>
      <c r="H438" s="1">
        <f t="shared" si="465"/>
        <v>0</v>
      </c>
      <c r="I438" s="1">
        <f t="shared" si="465"/>
        <v>0</v>
      </c>
      <c r="J438" s="1">
        <f t="shared" si="465"/>
        <v>0</v>
      </c>
      <c r="K438" s="1">
        <f t="shared" si="465"/>
        <v>2.4712854709402336E-3</v>
      </c>
      <c r="L438" s="1">
        <f t="shared" si="465"/>
        <v>2.5459447140877278E-3</v>
      </c>
      <c r="M438" s="1">
        <f t="shared" si="465"/>
        <v>4.4587714945487104E-3</v>
      </c>
      <c r="N438" s="1">
        <f t="shared" si="465"/>
        <v>4.4830217447419975E-3</v>
      </c>
      <c r="O438" s="1">
        <f t="shared" si="465"/>
        <v>5.0802346762987095E-2</v>
      </c>
      <c r="P438" s="1">
        <f>+P439</f>
        <v>5.3265939165287934E-2</v>
      </c>
      <c r="Q438" s="1">
        <f>+Q439</f>
        <v>5.3977730617036999E-2</v>
      </c>
      <c r="S438" s="3"/>
    </row>
    <row r="439" spans="1:19" x14ac:dyDescent="0.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'[1]Electricity and CHPs_IN'!F$30-J398</f>
        <v>0</v>
      </c>
      <c r="K439" s="1">
        <f>'[1]Electricity and CHPs_IN'!G$30-K398</f>
        <v>2.4712854709402336E-3</v>
      </c>
      <c r="L439" s="1">
        <f>'[1]Electricity and CHPs_IN'!H$30-L398</f>
        <v>2.5459447140877278E-3</v>
      </c>
      <c r="M439" s="1">
        <f>'[1]Electricity and CHPs_IN'!I$30-M398</f>
        <v>4.4587714945487104E-3</v>
      </c>
      <c r="N439" s="1">
        <f>'[1]Electricity and CHPs_IN'!J$30-N398</f>
        <v>4.4830217447419975E-3</v>
      </c>
      <c r="O439" s="1">
        <f>'[1]Electricity and CHPs_IN'!K$30-O398</f>
        <v>5.0802346762987095E-2</v>
      </c>
      <c r="P439" s="1">
        <f>'[1]Electricity and CHPs_IN'!L$30-P398</f>
        <v>5.3265939165287934E-2</v>
      </c>
      <c r="Q439" s="1">
        <f>'[1]Electricity and CHPs_IN'!M$30-Q398</f>
        <v>5.3977730617036999E-2</v>
      </c>
      <c r="S439" s="3"/>
    </row>
    <row r="440" spans="1:19" x14ac:dyDescent="0.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7.8886844552527871</v>
      </c>
      <c r="G440" s="1">
        <f t="shared" ref="G440:K440" si="466">SUM(G441,G447,G449,G455,G457,G459,G461)</f>
        <v>13.179645416489532</v>
      </c>
      <c r="H440" s="1">
        <f t="shared" si="466"/>
        <v>12.762444738304385</v>
      </c>
      <c r="I440" s="1">
        <f t="shared" si="466"/>
        <v>7.5798558751627487</v>
      </c>
      <c r="J440" s="1">
        <f t="shared" si="466"/>
        <v>7.9340020566809741</v>
      </c>
      <c r="K440" s="1">
        <f t="shared" si="466"/>
        <v>7.1088638660305019</v>
      </c>
      <c r="L440" s="1">
        <f t="shared" ref="L440:O440" si="467">SUM(L441,L447,L449,L455,L457,L459,L461)</f>
        <v>6.0089751625845889</v>
      </c>
      <c r="M440" s="1">
        <f t="shared" si="467"/>
        <v>5.9222071613491467</v>
      </c>
      <c r="N440" s="1">
        <f t="shared" si="467"/>
        <v>5.9055565299173143</v>
      </c>
      <c r="O440" s="1">
        <f t="shared" si="467"/>
        <v>5.9189073807521364</v>
      </c>
      <c r="P440" s="1">
        <f>SUM(P441,P447,P449,P455,P457,P459,P461)</f>
        <v>5.9438987077837586</v>
      </c>
      <c r="Q440" s="1">
        <f>SUM(Q441,Q447,Q449,Q455,Q457,Q459,Q461)</f>
        <v>5.9900104317956711</v>
      </c>
      <c r="S440" s="3"/>
    </row>
    <row r="441" spans="1:19" x14ac:dyDescent="0.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4.3959966988830361</v>
      </c>
      <c r="G441" s="1">
        <f t="shared" ref="G441:O441" si="468">+G442</f>
        <v>6.3976501465471962</v>
      </c>
      <c r="H441" s="1">
        <f t="shared" si="468"/>
        <v>6.3985071870065582</v>
      </c>
      <c r="I441" s="1">
        <f t="shared" si="468"/>
        <v>4.1281887447034054</v>
      </c>
      <c r="J441" s="1">
        <f t="shared" si="468"/>
        <v>5.1135248560848234</v>
      </c>
      <c r="K441" s="1">
        <f t="shared" si="468"/>
        <v>5.1140515149300905</v>
      </c>
      <c r="L441" s="1">
        <f t="shared" si="468"/>
        <v>4.0958291933842332</v>
      </c>
      <c r="M441" s="1">
        <f t="shared" si="468"/>
        <v>4.0540602343334982</v>
      </c>
      <c r="N441" s="1">
        <f t="shared" si="468"/>
        <v>4.051355435378623</v>
      </c>
      <c r="O441" s="1">
        <f t="shared" si="468"/>
        <v>4.0556447761117331</v>
      </c>
      <c r="P441" s="1">
        <f>+P442</f>
        <v>4.0508499542488696</v>
      </c>
      <c r="Q441" s="1">
        <f>+Q442</f>
        <v>4.0514403276586632</v>
      </c>
      <c r="S441" s="3"/>
    </row>
    <row r="442" spans="1:19" x14ac:dyDescent="0.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4.3959966988830361</v>
      </c>
      <c r="G442" s="1">
        <f t="shared" ref="G442:K442" si="469">SUM(G444:G446)</f>
        <v>6.3976501465471962</v>
      </c>
      <c r="H442" s="1">
        <f t="shared" si="469"/>
        <v>6.3985071870065582</v>
      </c>
      <c r="I442" s="1">
        <f t="shared" si="469"/>
        <v>4.1281887447034054</v>
      </c>
      <c r="J442" s="1">
        <f t="shared" si="469"/>
        <v>5.1135248560848234</v>
      </c>
      <c r="K442" s="1">
        <f t="shared" si="469"/>
        <v>5.1140515149300905</v>
      </c>
      <c r="L442" s="1">
        <f t="shared" ref="L442:O442" si="470">SUM(L444:L446)</f>
        <v>4.0958291933842332</v>
      </c>
      <c r="M442" s="1">
        <f t="shared" si="470"/>
        <v>4.0540602343334982</v>
      </c>
      <c r="N442" s="1">
        <f t="shared" si="470"/>
        <v>4.051355435378623</v>
      </c>
      <c r="O442" s="1">
        <f t="shared" si="470"/>
        <v>4.0556447761117331</v>
      </c>
      <c r="P442" s="1">
        <f>SUM(P444:P446)</f>
        <v>4.0508499542488696</v>
      </c>
      <c r="Q442" s="1">
        <f>SUM(Q444:Q446)</f>
        <v>4.0514403276586632</v>
      </c>
      <c r="S442" s="3"/>
    </row>
    <row r="443" spans="1:19" x14ac:dyDescent="0.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2.0280905720307381</v>
      </c>
      <c r="G443" s="1">
        <f t="shared" ref="G443:O443" si="471">G444</f>
        <v>2.3483027733084469</v>
      </c>
      <c r="H443" s="1">
        <f t="shared" si="471"/>
        <v>2.3491591999964276</v>
      </c>
      <c r="I443" s="1">
        <f t="shared" si="471"/>
        <v>7.8843399406371042E-2</v>
      </c>
      <c r="J443" s="1">
        <f t="shared" si="471"/>
        <v>1.0641753549241537</v>
      </c>
      <c r="K443" s="1">
        <f t="shared" si="471"/>
        <v>1.0646982474882059</v>
      </c>
      <c r="L443" s="1">
        <f t="shared" si="471"/>
        <v>4.647185454465734E-2</v>
      </c>
      <c r="M443" s="1">
        <f t="shared" si="471"/>
        <v>4.6934152423697651E-3</v>
      </c>
      <c r="N443" s="1">
        <f t="shared" si="471"/>
        <v>1.9873006122126243E-3</v>
      </c>
      <c r="O443" s="1">
        <f t="shared" si="471"/>
        <v>6.253331600518738E-3</v>
      </c>
      <c r="P443" s="1">
        <f>P444</f>
        <v>1.4483371219772608E-3</v>
      </c>
      <c r="Q443" s="1">
        <f>Q444</f>
        <v>1.9839884766757608E-3</v>
      </c>
      <c r="S443" s="3"/>
    </row>
    <row r="444" spans="1:19" x14ac:dyDescent="0.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2.0280905720307381</v>
      </c>
      <c r="G444" s="1">
        <f>'[1]Electricity and CHPs_IN'!C$90</f>
        <v>2.3483027733084469</v>
      </c>
      <c r="H444" s="1">
        <f>'[1]Electricity and CHPs_IN'!D$90</f>
        <v>2.3491591999964276</v>
      </c>
      <c r="I444" s="1">
        <f>'[1]Electricity and CHPs_IN'!E$90</f>
        <v>7.8843399406371042E-2</v>
      </c>
      <c r="J444" s="1">
        <f>'[1]Electricity and CHPs_IN'!F$90</f>
        <v>1.0641753549241537</v>
      </c>
      <c r="K444" s="1">
        <f>'[1]Electricity and CHPs_IN'!G$90</f>
        <v>1.0646982474882059</v>
      </c>
      <c r="L444" s="1">
        <f>'[1]Electricity and CHPs_IN'!H$90</f>
        <v>4.647185454465734E-2</v>
      </c>
      <c r="M444" s="1">
        <f>'[1]Electricity and CHPs_IN'!I$90</f>
        <v>4.6934152423697651E-3</v>
      </c>
      <c r="N444" s="1">
        <f>'[1]Electricity and CHPs_IN'!J$90</f>
        <v>1.9873006122126243E-3</v>
      </c>
      <c r="O444" s="1">
        <f>'[1]Electricity and CHPs_IN'!K$90</f>
        <v>6.253331600518738E-3</v>
      </c>
      <c r="P444" s="1">
        <f>'[1]Electricity and CHPs_IN'!L$90</f>
        <v>1.4483371219772608E-3</v>
      </c>
      <c r="Q444" s="1">
        <f>'[1]Electricity and CHPs_IN'!M$90</f>
        <v>1.9839884766757608E-3</v>
      </c>
      <c r="S444" s="3"/>
    </row>
    <row r="445" spans="1:19" x14ac:dyDescent="0.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1.183953063426149</v>
      </c>
      <c r="G445" s="1">
        <f t="shared" ref="G445:O445" si="472">G446</f>
        <v>2.0246736866193751</v>
      </c>
      <c r="H445" s="1">
        <f t="shared" si="472"/>
        <v>2.0246739935050653</v>
      </c>
      <c r="I445" s="1">
        <f t="shared" si="472"/>
        <v>2.0246726726485171</v>
      </c>
      <c r="J445" s="1">
        <f t="shared" si="472"/>
        <v>2.0246747505803349</v>
      </c>
      <c r="K445" s="1">
        <f t="shared" si="472"/>
        <v>2.0246766337209423</v>
      </c>
      <c r="L445" s="1">
        <f t="shared" si="472"/>
        <v>2.0246786694197878</v>
      </c>
      <c r="M445" s="1">
        <f t="shared" si="472"/>
        <v>2.0246834095455641</v>
      </c>
      <c r="N445" s="1">
        <f t="shared" si="472"/>
        <v>2.0246840673832054</v>
      </c>
      <c r="O445" s="1">
        <f t="shared" si="472"/>
        <v>2.0246957222556072</v>
      </c>
      <c r="P445" s="1">
        <f>P446</f>
        <v>2.0247008085634461</v>
      </c>
      <c r="Q445" s="1">
        <f>Q446</f>
        <v>2.0247281695909938</v>
      </c>
      <c r="S445" s="3"/>
    </row>
    <row r="446" spans="1:19" x14ac:dyDescent="0.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1.183953063426149</v>
      </c>
      <c r="G446" s="1">
        <f>'[1]Electricity and CHPs_IN'!C$91</f>
        <v>2.0246736866193751</v>
      </c>
      <c r="H446" s="1">
        <f>'[1]Electricity and CHPs_IN'!D$91</f>
        <v>2.0246739935050653</v>
      </c>
      <c r="I446" s="1">
        <f>'[1]Electricity and CHPs_IN'!E$91</f>
        <v>2.0246726726485171</v>
      </c>
      <c r="J446" s="1">
        <f>'[1]Electricity and CHPs_IN'!F$91</f>
        <v>2.0246747505803349</v>
      </c>
      <c r="K446" s="1">
        <f>'[1]Electricity and CHPs_IN'!G$91</f>
        <v>2.0246766337209423</v>
      </c>
      <c r="L446" s="1">
        <f>'[1]Electricity and CHPs_IN'!H$91</f>
        <v>2.0246786694197878</v>
      </c>
      <c r="M446" s="1">
        <f>'[1]Electricity and CHPs_IN'!I$91</f>
        <v>2.0246834095455641</v>
      </c>
      <c r="N446" s="1">
        <f>'[1]Electricity and CHPs_IN'!J$91</f>
        <v>2.0246840673832054</v>
      </c>
      <c r="O446" s="1">
        <f>'[1]Electricity and CHPs_IN'!K$91</f>
        <v>2.0246957222556072</v>
      </c>
      <c r="P446" s="1">
        <f>'[1]Electricity and CHPs_IN'!L$91</f>
        <v>2.0247008085634461</v>
      </c>
      <c r="Q446" s="1">
        <f>'[1]Electricity and CHPs_IN'!M$91</f>
        <v>2.0247281695909938</v>
      </c>
      <c r="S446" s="3"/>
    </row>
    <row r="447" spans="1:19" x14ac:dyDescent="0.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1.4500338557958306</v>
      </c>
      <c r="G447" s="1">
        <f t="shared" ref="G447:O447" si="473">G448</f>
        <v>3.8019238095733119</v>
      </c>
      <c r="H447" s="1">
        <f t="shared" si="473"/>
        <v>3.8011203961961888</v>
      </c>
      <c r="I447" s="1">
        <f t="shared" si="473"/>
        <v>1.1501121146463997</v>
      </c>
      <c r="J447" s="1">
        <f t="shared" si="473"/>
        <v>0.69724305995293068</v>
      </c>
      <c r="K447" s="1">
        <f t="shared" si="473"/>
        <v>0</v>
      </c>
      <c r="L447" s="1">
        <f t="shared" si="473"/>
        <v>0</v>
      </c>
      <c r="M447" s="1">
        <f t="shared" si="473"/>
        <v>0</v>
      </c>
      <c r="N447" s="1">
        <f t="shared" si="473"/>
        <v>0</v>
      </c>
      <c r="O447" s="1">
        <f t="shared" si="473"/>
        <v>0</v>
      </c>
      <c r="P447" s="1">
        <f>P448</f>
        <v>0</v>
      </c>
      <c r="Q447" s="1">
        <f>Q448</f>
        <v>0</v>
      </c>
      <c r="S447" s="3"/>
    </row>
    <row r="448" spans="1:19" x14ac:dyDescent="0.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1.4500338557958306</v>
      </c>
      <c r="G448" s="1">
        <f>'[1]Electricity and CHPs_IN'!C$92</f>
        <v>3.8019238095733119</v>
      </c>
      <c r="H448" s="1">
        <f>'[1]Electricity and CHPs_IN'!D$92</f>
        <v>3.8011203961961888</v>
      </c>
      <c r="I448" s="1">
        <f>'[1]Electricity and CHPs_IN'!E$92</f>
        <v>1.1501121146463997</v>
      </c>
      <c r="J448" s="1">
        <f>'[1]Electricity and CHPs_IN'!F$92</f>
        <v>0.69724305995293068</v>
      </c>
      <c r="K448" s="1">
        <f>'[1]Electricity and CHPs_IN'!G$92</f>
        <v>0</v>
      </c>
      <c r="L448" s="1">
        <f>'[1]Electricity and CHPs_IN'!H$92</f>
        <v>0</v>
      </c>
      <c r="M448" s="1">
        <f>'[1]Electricity and CHPs_IN'!I$92</f>
        <v>0</v>
      </c>
      <c r="N448" s="1">
        <f>'[1]Electricity and CHPs_IN'!J$92</f>
        <v>0</v>
      </c>
      <c r="O448" s="1">
        <f>'[1]Electricity and CHPs_IN'!K$92</f>
        <v>0</v>
      </c>
      <c r="P448" s="1">
        <f>'[1]Electricity and CHPs_IN'!L$92</f>
        <v>0</v>
      </c>
      <c r="Q448" s="1">
        <f>'[1]Electricity and CHPs_IN'!M$92</f>
        <v>0</v>
      </c>
      <c r="S448" s="3"/>
    </row>
    <row r="449" spans="1:19" x14ac:dyDescent="0.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0.21544601041503528</v>
      </c>
      <c r="G449" s="1">
        <f t="shared" ref="G449:O449" si="474">G450</f>
        <v>0.21750647845029705</v>
      </c>
      <c r="H449" s="1">
        <f t="shared" si="474"/>
        <v>1.7040332305118791E-3</v>
      </c>
      <c r="I449" s="1">
        <f t="shared" si="474"/>
        <v>1.6769318656820016E-3</v>
      </c>
      <c r="J449" s="1">
        <f t="shared" si="474"/>
        <v>1.3247299899254452E-3</v>
      </c>
      <c r="K449" s="1">
        <f t="shared" si="474"/>
        <v>1.1939848212406941E-3</v>
      </c>
      <c r="L449" s="1">
        <f t="shared" si="474"/>
        <v>1.1660219032134536E-3</v>
      </c>
      <c r="M449" s="1">
        <f t="shared" si="474"/>
        <v>4.8850443807352153E-4</v>
      </c>
      <c r="N449" s="1">
        <f t="shared" si="474"/>
        <v>1.0454814344689842E-3</v>
      </c>
      <c r="O449" s="1">
        <f t="shared" si="474"/>
        <v>4.7572495779847434E-4</v>
      </c>
      <c r="P449" s="1">
        <f>P450</f>
        <v>9.5490136072000711E-4</v>
      </c>
      <c r="Q449" s="1">
        <f>Q450</f>
        <v>4.8406842107870135E-4</v>
      </c>
      <c r="S449" s="3"/>
    </row>
    <row r="450" spans="1:19" x14ac:dyDescent="0.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0.21544601041503528</v>
      </c>
      <c r="G450" s="1">
        <f>'[1]Electricity and CHPs_IN'!C$93</f>
        <v>0.21750647845029705</v>
      </c>
      <c r="H450" s="1">
        <f>'[1]Electricity and CHPs_IN'!D$93</f>
        <v>1.7040332305118791E-3</v>
      </c>
      <c r="I450" s="1">
        <f>'[1]Electricity and CHPs_IN'!E$93</f>
        <v>1.6769318656820016E-3</v>
      </c>
      <c r="J450" s="1">
        <f>'[1]Electricity and CHPs_IN'!F$93</f>
        <v>1.3247299899254452E-3</v>
      </c>
      <c r="K450" s="1">
        <f>'[1]Electricity and CHPs_IN'!G$93</f>
        <v>1.1939848212406941E-3</v>
      </c>
      <c r="L450" s="1">
        <f>'[1]Electricity and CHPs_IN'!H$93</f>
        <v>1.1660219032134536E-3</v>
      </c>
      <c r="M450" s="1">
        <f>'[1]Electricity and CHPs_IN'!I$93</f>
        <v>4.8850443807352153E-4</v>
      </c>
      <c r="N450" s="1">
        <f>'[1]Electricity and CHPs_IN'!J$93</f>
        <v>1.0454814344689842E-3</v>
      </c>
      <c r="O450" s="1">
        <f>'[1]Electricity and CHPs_IN'!K$93</f>
        <v>4.7572495779847434E-4</v>
      </c>
      <c r="P450" s="1">
        <f>'[1]Electricity and CHPs_IN'!L$93</f>
        <v>9.5490136072000711E-4</v>
      </c>
      <c r="Q450" s="1">
        <f>'[1]Electricity and CHPs_IN'!M$93</f>
        <v>4.8406842107870135E-4</v>
      </c>
      <c r="S450" s="3"/>
    </row>
    <row r="451" spans="1:19" x14ac:dyDescent="0.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0.21544601041503528</v>
      </c>
      <c r="G451" s="1">
        <f t="shared" ref="G451:O451" si="475">G452</f>
        <v>0.21750647845029705</v>
      </c>
      <c r="H451" s="1">
        <f t="shared" si="475"/>
        <v>1.7040332305118791E-3</v>
      </c>
      <c r="I451" s="1">
        <f t="shared" si="475"/>
        <v>1.6769318656820016E-3</v>
      </c>
      <c r="J451" s="1">
        <f t="shared" si="475"/>
        <v>1.3247299899254452E-3</v>
      </c>
      <c r="K451" s="1">
        <f t="shared" si="475"/>
        <v>1.1939848212406941E-3</v>
      </c>
      <c r="L451" s="1">
        <f t="shared" si="475"/>
        <v>1.1660219032134536E-3</v>
      </c>
      <c r="M451" s="1">
        <f t="shared" si="475"/>
        <v>4.8850443807352153E-4</v>
      </c>
      <c r="N451" s="1">
        <f t="shared" si="475"/>
        <v>1.0454814344689842E-3</v>
      </c>
      <c r="O451" s="1">
        <f t="shared" si="475"/>
        <v>4.7572495779847434E-4</v>
      </c>
      <c r="P451" s="1">
        <f>P452</f>
        <v>9.5490136072000711E-4</v>
      </c>
      <c r="Q451" s="1">
        <f>Q452</f>
        <v>4.8406842107870135E-4</v>
      </c>
      <c r="S451" s="3"/>
    </row>
    <row r="452" spans="1:19" x14ac:dyDescent="0.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0.21544601041503528</v>
      </c>
      <c r="G452" s="1">
        <f t="shared" ref="G452:K452" si="476">G450</f>
        <v>0.21750647845029705</v>
      </c>
      <c r="H452" s="1">
        <f t="shared" si="476"/>
        <v>1.7040332305118791E-3</v>
      </c>
      <c r="I452" s="1">
        <f t="shared" si="476"/>
        <v>1.6769318656820016E-3</v>
      </c>
      <c r="J452" s="1">
        <f t="shared" si="476"/>
        <v>1.3247299899254452E-3</v>
      </c>
      <c r="K452" s="1">
        <f t="shared" si="476"/>
        <v>1.1939848212406941E-3</v>
      </c>
      <c r="L452" s="1">
        <f t="shared" ref="L452:O452" si="477">L450</f>
        <v>1.1660219032134536E-3</v>
      </c>
      <c r="M452" s="1">
        <f t="shared" si="477"/>
        <v>4.8850443807352153E-4</v>
      </c>
      <c r="N452" s="1">
        <f t="shared" si="477"/>
        <v>1.0454814344689842E-3</v>
      </c>
      <c r="O452" s="1">
        <f t="shared" si="477"/>
        <v>4.7572495779847434E-4</v>
      </c>
      <c r="P452" s="1">
        <f>P450</f>
        <v>9.5490136072000711E-4</v>
      </c>
      <c r="Q452" s="1">
        <f>Q450</f>
        <v>4.8406842107870135E-4</v>
      </c>
      <c r="S452" s="3"/>
    </row>
    <row r="453" spans="1:19" x14ac:dyDescent="0.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O453" si="478">G454</f>
        <v>0</v>
      </c>
      <c r="H453" s="1">
        <f t="shared" si="478"/>
        <v>0</v>
      </c>
      <c r="I453" s="1">
        <f t="shared" si="478"/>
        <v>0</v>
      </c>
      <c r="J453" s="1">
        <f t="shared" si="478"/>
        <v>0</v>
      </c>
      <c r="K453" s="1">
        <f t="shared" si="478"/>
        <v>0</v>
      </c>
      <c r="L453" s="1">
        <f t="shared" si="478"/>
        <v>0</v>
      </c>
      <c r="M453" s="1">
        <f t="shared" si="478"/>
        <v>0</v>
      </c>
      <c r="N453" s="1">
        <f t="shared" si="478"/>
        <v>0</v>
      </c>
      <c r="O453" s="1">
        <f t="shared" si="478"/>
        <v>4</v>
      </c>
      <c r="P453" s="1">
        <f>P454</f>
        <v>0</v>
      </c>
      <c r="Q453" s="1">
        <f>Q454</f>
        <v>0</v>
      </c>
      <c r="S453" s="3"/>
    </row>
    <row r="454" spans="1:19" x14ac:dyDescent="0.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4</v>
      </c>
      <c r="P454" s="1">
        <v>0</v>
      </c>
      <c r="Q454" s="1">
        <v>0</v>
      </c>
      <c r="S454" s="3"/>
    </row>
    <row r="455" spans="1:19" x14ac:dyDescent="0.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1.8272078901588846</v>
      </c>
      <c r="G455" s="1">
        <f t="shared" ref="G455:O455" si="479">G456</f>
        <v>1.6490497661515846</v>
      </c>
      <c r="H455" s="1">
        <f t="shared" si="479"/>
        <v>1.4138570403191881</v>
      </c>
      <c r="I455" s="1">
        <f t="shared" si="479"/>
        <v>1.0940199158635753</v>
      </c>
      <c r="J455" s="1">
        <f t="shared" si="479"/>
        <v>0.85450218782971465</v>
      </c>
      <c r="K455" s="1">
        <f t="shared" si="479"/>
        <v>0.66125550281647016</v>
      </c>
      <c r="L455" s="1">
        <f t="shared" si="479"/>
        <v>0.5116708801045724</v>
      </c>
      <c r="M455" s="1">
        <f t="shared" si="479"/>
        <v>0.39593197171768701</v>
      </c>
      <c r="N455" s="1">
        <f t="shared" si="479"/>
        <v>0.30637510753229663</v>
      </c>
      <c r="O455" s="1">
        <f t="shared" si="479"/>
        <v>0.23709975770031158</v>
      </c>
      <c r="P455" s="1">
        <f>P456</f>
        <v>0.18348512245920529</v>
      </c>
      <c r="Q455" s="1">
        <f>Q456</f>
        <v>0.14206349217460928</v>
      </c>
      <c r="S455" s="3"/>
    </row>
    <row r="456" spans="1:19" x14ac:dyDescent="0.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1.8272078901588846</v>
      </c>
      <c r="G456" s="1">
        <f>'[1]Electricity and CHPs_IN'!C$94</f>
        <v>1.6490497661515846</v>
      </c>
      <c r="H456" s="1">
        <f>'[1]Electricity and CHPs_IN'!D$94</f>
        <v>1.4138570403191881</v>
      </c>
      <c r="I456" s="1">
        <f>'[1]Electricity and CHPs_IN'!E$94</f>
        <v>1.0940199158635753</v>
      </c>
      <c r="J456" s="1">
        <f>'[1]Electricity and CHPs_IN'!F$94</f>
        <v>0.85450218782971465</v>
      </c>
      <c r="K456" s="1">
        <f>'[1]Electricity and CHPs_IN'!G$94</f>
        <v>0.66125550281647016</v>
      </c>
      <c r="L456" s="1">
        <f>'[1]Electricity and CHPs_IN'!H$94</f>
        <v>0.5116708801045724</v>
      </c>
      <c r="M456" s="1">
        <f>'[1]Electricity and CHPs_IN'!I$94</f>
        <v>0.39593197171768701</v>
      </c>
      <c r="N456" s="1">
        <f>'[1]Electricity and CHPs_IN'!J$94</f>
        <v>0.30637510753229663</v>
      </c>
      <c r="O456" s="1">
        <f>'[1]Electricity and CHPs_IN'!K$94</f>
        <v>0.23709975770031158</v>
      </c>
      <c r="P456" s="1">
        <f>'[1]Electricity and CHPs_IN'!L$94</f>
        <v>0.18348512245920529</v>
      </c>
      <c r="Q456" s="1">
        <f>'[1]Electricity and CHPs_IN'!M$94</f>
        <v>0.14206349217460928</v>
      </c>
      <c r="S456" s="3"/>
    </row>
    <row r="457" spans="1:19" x14ac:dyDescent="0.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O457" si="480">G458</f>
        <v>0</v>
      </c>
      <c r="H457" s="1">
        <f t="shared" si="480"/>
        <v>0</v>
      </c>
      <c r="I457" s="1">
        <f t="shared" si="480"/>
        <v>8.0794178984263418E-5</v>
      </c>
      <c r="J457" s="1">
        <f t="shared" si="480"/>
        <v>1.2279298015810806E-4</v>
      </c>
      <c r="K457" s="1">
        <f t="shared" si="480"/>
        <v>1.2926305956662907E-4</v>
      </c>
      <c r="L457" s="1">
        <f t="shared" si="480"/>
        <v>1.3297671084224678E-4</v>
      </c>
      <c r="M457" s="1">
        <f t="shared" si="480"/>
        <v>1.4079505529718928E-4</v>
      </c>
      <c r="N457" s="1">
        <f t="shared" si="480"/>
        <v>1.438255157632662E-4</v>
      </c>
      <c r="O457" s="1">
        <f t="shared" si="480"/>
        <v>1.6618557822512743E-4</v>
      </c>
      <c r="P457" s="1">
        <f>P458</f>
        <v>1.7867738727394601E-4</v>
      </c>
      <c r="Q457" s="1">
        <f>Q458</f>
        <v>2.9501938460943153E-4</v>
      </c>
      <c r="S457" s="3"/>
    </row>
    <row r="458" spans="1:19" x14ac:dyDescent="0.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8.0794178984263418E-5</v>
      </c>
      <c r="J458" s="1">
        <f>'[1]Electricity and CHPs_IN'!F$95</f>
        <v>1.2279298015810806E-4</v>
      </c>
      <c r="K458" s="1">
        <f>'[1]Electricity and CHPs_IN'!G$95</f>
        <v>1.2926305956662907E-4</v>
      </c>
      <c r="L458" s="1">
        <f>'[1]Electricity and CHPs_IN'!H$95</f>
        <v>1.3297671084224678E-4</v>
      </c>
      <c r="M458" s="1">
        <f>'[1]Electricity and CHPs_IN'!I$95</f>
        <v>1.4079505529718928E-4</v>
      </c>
      <c r="N458" s="1">
        <f>'[1]Electricity and CHPs_IN'!J$95</f>
        <v>1.438255157632662E-4</v>
      </c>
      <c r="O458" s="1">
        <f>'[1]Electricity and CHPs_IN'!K$95</f>
        <v>1.6618557822512743E-4</v>
      </c>
      <c r="P458" s="1">
        <f>'[1]Electricity and CHPs_IN'!L$95</f>
        <v>1.7867738727394601E-4</v>
      </c>
      <c r="Q458" s="1">
        <f>'[1]Electricity and CHPs_IN'!M$95</f>
        <v>2.9501938460943153E-4</v>
      </c>
      <c r="S458" s="3"/>
    </row>
    <row r="459" spans="1:19" x14ac:dyDescent="0.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O459" si="481">G460</f>
        <v>0</v>
      </c>
      <c r="H459" s="1">
        <f t="shared" si="481"/>
        <v>0</v>
      </c>
      <c r="I459" s="1">
        <f t="shared" si="481"/>
        <v>0</v>
      </c>
      <c r="J459" s="1">
        <f t="shared" si="481"/>
        <v>0</v>
      </c>
      <c r="K459" s="1">
        <f t="shared" si="481"/>
        <v>3.048067359934987E-4</v>
      </c>
      <c r="L459" s="1">
        <f t="shared" si="481"/>
        <v>3.0535917024442631E-4</v>
      </c>
      <c r="M459" s="1">
        <f t="shared" si="481"/>
        <v>3.0672653670565372E-4</v>
      </c>
      <c r="N459" s="1">
        <f t="shared" si="481"/>
        <v>3.0786657723864876E-4</v>
      </c>
      <c r="O459" s="1">
        <f t="shared" si="481"/>
        <v>3.1280484182570997E-4</v>
      </c>
      <c r="P459" s="1">
        <f>P460</f>
        <v>3.1910437506572529E-4</v>
      </c>
      <c r="Q459" s="1">
        <f>Q460</f>
        <v>4.7916157675977121E-4</v>
      </c>
      <c r="S459" s="3"/>
    </row>
    <row r="460" spans="1:19" x14ac:dyDescent="0.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'[1]Electricity and CHPs_IN'!F$96</f>
        <v>0</v>
      </c>
      <c r="K460" s="1">
        <f>'[1]Electricity and CHPs_IN'!G$96</f>
        <v>3.048067359934987E-4</v>
      </c>
      <c r="L460" s="1">
        <f>'[1]Electricity and CHPs_IN'!H$96</f>
        <v>3.0535917024442631E-4</v>
      </c>
      <c r="M460" s="1">
        <f>'[1]Electricity and CHPs_IN'!I$96</f>
        <v>3.0672653670565372E-4</v>
      </c>
      <c r="N460" s="1">
        <f>'[1]Electricity and CHPs_IN'!J$96</f>
        <v>3.0786657723864876E-4</v>
      </c>
      <c r="O460" s="1">
        <f>'[1]Electricity and CHPs_IN'!K$96</f>
        <v>3.1280484182570997E-4</v>
      </c>
      <c r="P460" s="1">
        <f>'[1]Electricity and CHPs_IN'!L$96</f>
        <v>3.1910437506572529E-4</v>
      </c>
      <c r="Q460" s="1">
        <f>'[1]Electricity and CHPs_IN'!M$96</f>
        <v>4.7916157675977121E-4</v>
      </c>
      <c r="S460" s="3"/>
    </row>
    <row r="461" spans="1:19" x14ac:dyDescent="0.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82">G462</f>
        <v>1.113515215767142</v>
      </c>
      <c r="H461" s="1">
        <f>H462</f>
        <v>1.1472560815519364</v>
      </c>
      <c r="I461" s="1">
        <f t="shared" ref="I461" si="483">I462</f>
        <v>1.2057773739047015</v>
      </c>
      <c r="J461" s="1">
        <f t="shared" ref="J461" si="484">J462</f>
        <v>1.2672844298434214</v>
      </c>
      <c r="K461" s="1">
        <f t="shared" ref="K461:O461" si="485">K462</f>
        <v>1.3319287936671409</v>
      </c>
      <c r="L461" s="1">
        <f t="shared" si="485"/>
        <v>1.3998707313114827</v>
      </c>
      <c r="M461" s="1">
        <f t="shared" si="485"/>
        <v>1.4712789292678858</v>
      </c>
      <c r="N461" s="1">
        <f t="shared" si="485"/>
        <v>1.5463288134789244</v>
      </c>
      <c r="O461" s="1">
        <f t="shared" si="485"/>
        <v>1.6252081315622429</v>
      </c>
      <c r="P461" s="1">
        <f>P462</f>
        <v>1.7081109479526226</v>
      </c>
      <c r="Q461" s="1">
        <f>Q462</f>
        <v>1.7952483625799507</v>
      </c>
      <c r="S461" s="3"/>
    </row>
    <row r="462" spans="1:19" x14ac:dyDescent="0.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1.113515215767142</v>
      </c>
      <c r="H462" s="1">
        <f>'[1]Electricity and CHPs_IN'!D$97</f>
        <v>1.1472560815519364</v>
      </c>
      <c r="I462" s="1">
        <f>'[1]Electricity and CHPs_IN'!E$97</f>
        <v>1.2057773739047015</v>
      </c>
      <c r="J462" s="1">
        <f>'[1]Electricity and CHPs_IN'!F$97</f>
        <v>1.2672844298434214</v>
      </c>
      <c r="K462" s="1">
        <f>'[1]Electricity and CHPs_IN'!G$97</f>
        <v>1.3319287936671409</v>
      </c>
      <c r="L462" s="1">
        <f>'[1]Electricity and CHPs_IN'!H$97</f>
        <v>1.3998707313114827</v>
      </c>
      <c r="M462" s="1">
        <f>'[1]Electricity and CHPs_IN'!I$97</f>
        <v>1.4712789292678858</v>
      </c>
      <c r="N462" s="1">
        <f>'[1]Electricity and CHPs_IN'!J$97</f>
        <v>1.5463288134789244</v>
      </c>
      <c r="O462" s="1">
        <f>'[1]Electricity and CHPs_IN'!K$97</f>
        <v>1.6252081315622429</v>
      </c>
      <c r="P462" s="1">
        <f>'[1]Electricity and CHPs_IN'!L$97</f>
        <v>1.7081109479526226</v>
      </c>
      <c r="Q462" s="1">
        <f>'[1]Electricity and CHPs_IN'!M$97</f>
        <v>1.7952483625799507</v>
      </c>
      <c r="S462" s="3"/>
    </row>
    <row r="463" spans="1:19" x14ac:dyDescent="0.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7.9126420986112818</v>
      </c>
      <c r="G463" s="1">
        <f t="shared" ref="G463:K463" si="486">SUM(G464,G470,G503,G512,G518)</f>
        <v>8.6797608418362397</v>
      </c>
      <c r="H463" s="1">
        <f t="shared" si="486"/>
        <v>11.121116766609724</v>
      </c>
      <c r="I463" s="1">
        <f t="shared" si="486"/>
        <v>16.98740990697064</v>
      </c>
      <c r="J463" s="1">
        <f t="shared" si="486"/>
        <v>20.694029255786091</v>
      </c>
      <c r="K463" s="1">
        <f t="shared" si="486"/>
        <v>19.891615595125373</v>
      </c>
      <c r="L463" s="1">
        <f t="shared" ref="L463:O463" si="487">SUM(L464,L470,L503,L512,L518)</f>
        <v>21.079527459275226</v>
      </c>
      <c r="M463" s="1">
        <f t="shared" si="487"/>
        <v>20.954331345527333</v>
      </c>
      <c r="N463" s="1">
        <f t="shared" si="487"/>
        <v>21.694950141635641</v>
      </c>
      <c r="O463" s="1">
        <f t="shared" si="487"/>
        <v>21.768126710830746</v>
      </c>
      <c r="P463" s="1">
        <f>SUM(P464,P470,P503,P512,P518)</f>
        <v>22.113284539137425</v>
      </c>
      <c r="Q463" s="1">
        <f>SUM(Q464,Q470,Q503,Q512,Q518)</f>
        <v>22.563385262396963</v>
      </c>
      <c r="S463" s="3"/>
    </row>
    <row r="464" spans="1:19" x14ac:dyDescent="0.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0.27477582783461718</v>
      </c>
      <c r="G464" s="1">
        <f t="shared" ref="G464:O464" si="488">+G465</f>
        <v>0.64201319007982771</v>
      </c>
      <c r="H464" s="1">
        <f t="shared" si="488"/>
        <v>1.0920242135302086E-2</v>
      </c>
      <c r="I464" s="1">
        <f t="shared" si="488"/>
        <v>0.56962826569675806</v>
      </c>
      <c r="J464" s="1">
        <f t="shared" si="488"/>
        <v>0.53228908788261642</v>
      </c>
      <c r="K464" s="1">
        <f t="shared" si="488"/>
        <v>4.9817583164776247E-2</v>
      </c>
      <c r="L464" s="1">
        <f t="shared" si="488"/>
        <v>5.5132030365613587E-2</v>
      </c>
      <c r="M464" s="1">
        <f t="shared" si="488"/>
        <v>6.9421999783924132E-2</v>
      </c>
      <c r="N464" s="1">
        <f t="shared" si="488"/>
        <v>7.3749207962566399E-2</v>
      </c>
      <c r="O464" s="1">
        <f t="shared" si="488"/>
        <v>7.3368892615764139E-2</v>
      </c>
      <c r="P464" s="1">
        <f>+P465</f>
        <v>7.2382226026274032E-2</v>
      </c>
      <c r="Q464" s="1">
        <f>+Q465</f>
        <v>7.5431004444436844E-2</v>
      </c>
      <c r="S464" s="3"/>
    </row>
    <row r="465" spans="1:19" x14ac:dyDescent="0.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0.27477582783461718</v>
      </c>
      <c r="G465" s="1">
        <f>'[1]Electricity and CHPs_IN'!C$41-G301</f>
        <v>0.64201319007982771</v>
      </c>
      <c r="H465" s="1">
        <f>'[1]Electricity and CHPs_IN'!D$41-H301</f>
        <v>1.0920242135302086E-2</v>
      </c>
      <c r="I465" s="1">
        <f>'[1]Electricity and CHPs_IN'!E$41-I301</f>
        <v>0.56962826569675806</v>
      </c>
      <c r="J465" s="1">
        <f>'[1]Electricity and CHPs_IN'!F$41-J301</f>
        <v>0.53228908788261642</v>
      </c>
      <c r="K465" s="1">
        <f>'[1]Electricity and CHPs_IN'!G$41-K301</f>
        <v>4.9817583164776247E-2</v>
      </c>
      <c r="L465" s="1">
        <f>'[1]Electricity and CHPs_IN'!H$41-L301</f>
        <v>5.5132030365613587E-2</v>
      </c>
      <c r="M465" s="1">
        <f>'[1]Electricity and CHPs_IN'!I$41-M301</f>
        <v>6.9421999783924132E-2</v>
      </c>
      <c r="N465" s="1">
        <f>'[1]Electricity and CHPs_IN'!J$41-N301</f>
        <v>7.3749207962566399E-2</v>
      </c>
      <c r="O465" s="1">
        <f>'[1]Electricity and CHPs_IN'!K$41-O301</f>
        <v>7.3368892615764139E-2</v>
      </c>
      <c r="P465" s="1">
        <f>'[1]Electricity and CHPs_IN'!L$41-P301</f>
        <v>7.2382226026274032E-2</v>
      </c>
      <c r="Q465" s="1">
        <f>'[1]Electricity and CHPs_IN'!M$41-Q301</f>
        <v>7.5431004444436844E-2</v>
      </c>
      <c r="S465" s="3"/>
    </row>
    <row r="466" spans="1:19" x14ac:dyDescent="0.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0.27477582783461718</v>
      </c>
      <c r="G466" s="1">
        <f t="shared" ref="G466:O466" si="489">G467</f>
        <v>0.64201319007982771</v>
      </c>
      <c r="H466" s="1">
        <f t="shared" si="489"/>
        <v>1.0920242135302086E-2</v>
      </c>
      <c r="I466" s="1">
        <f t="shared" si="489"/>
        <v>0.56962826569675806</v>
      </c>
      <c r="J466" s="1">
        <f t="shared" si="489"/>
        <v>0.53228908788261642</v>
      </c>
      <c r="K466" s="1">
        <f t="shared" si="489"/>
        <v>4.9817583164776247E-2</v>
      </c>
      <c r="L466" s="1">
        <f t="shared" si="489"/>
        <v>5.5132030365613587E-2</v>
      </c>
      <c r="M466" s="1">
        <f t="shared" si="489"/>
        <v>6.9421999783924132E-2</v>
      </c>
      <c r="N466" s="1">
        <f t="shared" si="489"/>
        <v>7.3749207962566399E-2</v>
      </c>
      <c r="O466" s="1">
        <f t="shared" si="489"/>
        <v>7.3368892615764139E-2</v>
      </c>
      <c r="P466" s="1">
        <f>P467</f>
        <v>7.2382226026274032E-2</v>
      </c>
      <c r="Q466" s="1">
        <f>Q467</f>
        <v>7.5431004444436844E-2</v>
      </c>
      <c r="S466" s="3"/>
    </row>
    <row r="467" spans="1:19" x14ac:dyDescent="0.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0.27477582783461718</v>
      </c>
      <c r="G467" s="1">
        <f t="shared" ref="G467:K467" si="490">G465-G469</f>
        <v>0.64201319007982771</v>
      </c>
      <c r="H467" s="1">
        <f t="shared" si="490"/>
        <v>1.0920242135302086E-2</v>
      </c>
      <c r="I467" s="1">
        <f t="shared" si="490"/>
        <v>0.56962826569675806</v>
      </c>
      <c r="J467" s="1">
        <f t="shared" si="490"/>
        <v>0.53228908788261642</v>
      </c>
      <c r="K467" s="1">
        <f t="shared" si="490"/>
        <v>4.9817583164776247E-2</v>
      </c>
      <c r="L467" s="1">
        <f t="shared" ref="L467:O467" si="491">L465-L469</f>
        <v>5.5132030365613587E-2</v>
      </c>
      <c r="M467" s="1">
        <f t="shared" si="491"/>
        <v>6.9421999783924132E-2</v>
      </c>
      <c r="N467" s="1">
        <f t="shared" si="491"/>
        <v>7.3749207962566399E-2</v>
      </c>
      <c r="O467" s="1">
        <f t="shared" si="491"/>
        <v>7.3368892615764139E-2</v>
      </c>
      <c r="P467" s="1">
        <f>P465-P469</f>
        <v>7.2382226026274032E-2</v>
      </c>
      <c r="Q467" s="1">
        <f>Q465-Q469</f>
        <v>7.5431004444436844E-2</v>
      </c>
      <c r="S467" s="3"/>
    </row>
    <row r="468" spans="1:19" x14ac:dyDescent="0.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O468" si="492">G469</f>
        <v>0</v>
      </c>
      <c r="H468" s="1">
        <f t="shared" si="492"/>
        <v>0</v>
      </c>
      <c r="I468" s="1">
        <f t="shared" si="492"/>
        <v>0</v>
      </c>
      <c r="J468" s="1">
        <f t="shared" si="492"/>
        <v>0</v>
      </c>
      <c r="K468" s="1">
        <f t="shared" si="492"/>
        <v>0</v>
      </c>
      <c r="L468" s="1">
        <f t="shared" si="492"/>
        <v>0</v>
      </c>
      <c r="M468" s="1">
        <f t="shared" si="492"/>
        <v>0</v>
      </c>
      <c r="N468" s="1">
        <f t="shared" si="492"/>
        <v>0</v>
      </c>
      <c r="O468" s="1">
        <f t="shared" si="492"/>
        <v>0</v>
      </c>
      <c r="P468" s="1">
        <f>P469</f>
        <v>0</v>
      </c>
      <c r="Q468" s="1">
        <f>Q469</f>
        <v>0</v>
      </c>
      <c r="S468" s="3"/>
    </row>
    <row r="469" spans="1:19" x14ac:dyDescent="0.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93">IFERROR(G309/G301,0)*G465</f>
        <v>0</v>
      </c>
      <c r="H469" s="1">
        <f t="shared" si="493"/>
        <v>0</v>
      </c>
      <c r="I469" s="1">
        <f t="shared" si="493"/>
        <v>0</v>
      </c>
      <c r="J469" s="1">
        <f t="shared" si="493"/>
        <v>0</v>
      </c>
      <c r="K469" s="1">
        <f t="shared" si="493"/>
        <v>0</v>
      </c>
      <c r="L469" s="1">
        <f t="shared" ref="L469:O469" si="494">IFERROR(L309/L301,0)*L465</f>
        <v>0</v>
      </c>
      <c r="M469" s="1">
        <f t="shared" si="494"/>
        <v>0</v>
      </c>
      <c r="N469" s="1">
        <f t="shared" si="494"/>
        <v>0</v>
      </c>
      <c r="O469" s="1">
        <f t="shared" si="494"/>
        <v>0</v>
      </c>
      <c r="P469" s="1">
        <f>IFERROR(P309/P301,0)*P465</f>
        <v>0</v>
      </c>
      <c r="Q469" s="1">
        <f>IFERROR(Q309/Q301,0)*Q465</f>
        <v>0</v>
      </c>
      <c r="S469" s="3"/>
    </row>
    <row r="470" spans="1:19" x14ac:dyDescent="0.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3.6276730327057605</v>
      </c>
      <c r="G470" s="1">
        <f t="shared" ref="G470:K470" si="495">SUM(G471:G480)</f>
        <v>2.9384712119392864</v>
      </c>
      <c r="H470" s="1">
        <f t="shared" si="495"/>
        <v>2.915225553491259</v>
      </c>
      <c r="I470" s="1">
        <f t="shared" si="495"/>
        <v>7.6016741078979626</v>
      </c>
      <c r="J470" s="1">
        <f t="shared" si="495"/>
        <v>10.601750423871058</v>
      </c>
      <c r="K470" s="1">
        <f t="shared" si="495"/>
        <v>9.6506134481306312</v>
      </c>
      <c r="L470" s="1">
        <f t="shared" ref="L470:O470" si="496">SUM(L471:L480)</f>
        <v>9.2963187209473706</v>
      </c>
      <c r="M470" s="1">
        <f t="shared" si="496"/>
        <v>7.4356957177599012</v>
      </c>
      <c r="N470" s="1">
        <f t="shared" si="496"/>
        <v>7.3498339255425886</v>
      </c>
      <c r="O470" s="1">
        <f t="shared" si="496"/>
        <v>7.3983964975394443</v>
      </c>
      <c r="P470" s="1">
        <f>SUM(P471:P480)</f>
        <v>7.8073831357091938</v>
      </c>
      <c r="Q470" s="1">
        <f>SUM(Q471:Q480)</f>
        <v>8.1085305630527422</v>
      </c>
      <c r="S470" s="3"/>
    </row>
    <row r="471" spans="1:19" x14ac:dyDescent="0.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1.0280923836602995</v>
      </c>
      <c r="G471" s="1">
        <f>'[1]Electricity and CHPs_IN'!C$39-G316</f>
        <v>0.1362629509940787</v>
      </c>
      <c r="H471" s="1">
        <f>'[1]Electricity and CHPs_IN'!D$39-H316</f>
        <v>8.7424649321871148E-2</v>
      </c>
      <c r="I471" s="1">
        <f>'[1]Electricity and CHPs_IN'!E$39-I316</f>
        <v>0.94442809854687038</v>
      </c>
      <c r="J471" s="1">
        <f>'[1]Electricity and CHPs_IN'!F$39-J316</f>
        <v>1.1067662672273424</v>
      </c>
      <c r="K471" s="1">
        <f>'[1]Electricity and CHPs_IN'!G$39-K316</f>
        <v>0.24010909587321194</v>
      </c>
      <c r="L471" s="1">
        <f>'[1]Electricity and CHPs_IN'!H$39-L316</f>
        <v>0.15418532567193771</v>
      </c>
      <c r="M471" s="1">
        <f>'[1]Electricity and CHPs_IN'!I$39-M316</f>
        <v>9.3190398624782775E-2</v>
      </c>
      <c r="N471" s="1">
        <f>'[1]Electricity and CHPs_IN'!J$39-N316</f>
        <v>4.665234484572995E-2</v>
      </c>
      <c r="O471" s="1">
        <f>'[1]Electricity and CHPs_IN'!K$39-O316</f>
        <v>5.1126050843387928E-2</v>
      </c>
      <c r="P471" s="1">
        <f>'[1]Electricity and CHPs_IN'!L$39-P316</f>
        <v>7.3880375976229776E-2</v>
      </c>
      <c r="Q471" s="1">
        <f>'[1]Electricity and CHPs_IN'!M$39-Q316</f>
        <v>0.12576223725961019</v>
      </c>
      <c r="S471" s="3"/>
    </row>
    <row r="472" spans="1:19" x14ac:dyDescent="0.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'[1]Electricity and CHPs_IN'!F$40-J317</f>
        <v>0</v>
      </c>
      <c r="K472" s="6">
        <f>'[1]Electricity and CHPs_IN'!G$40-K317</f>
        <v>2.8086548597984137E-4</v>
      </c>
      <c r="L472" s="6">
        <f>'[1]Electricity and CHPs_IN'!H$40-L317</f>
        <v>3.5032399172367918E-4</v>
      </c>
      <c r="M472" s="6">
        <f>'[1]Electricity and CHPs_IN'!I$40-M317</f>
        <v>8.8867754899257302E-4</v>
      </c>
      <c r="N472" s="6">
        <f>'[1]Electricity and CHPs_IN'!J$40-N317</f>
        <v>4.3689745304653681E-4</v>
      </c>
      <c r="O472" s="6">
        <f>'[1]Electricity and CHPs_IN'!K$40-O317</f>
        <v>7.5096516484607855E-4</v>
      </c>
      <c r="P472" s="6">
        <f>'[1]Electricity and CHPs_IN'!L$40-P317</f>
        <v>7.3213866897893682E-4</v>
      </c>
      <c r="Q472" s="6">
        <f>'[1]Electricity and CHPs_IN'!M$40-Q317</f>
        <v>1.4685171266334562E-3</v>
      </c>
      <c r="S472" s="3"/>
    </row>
    <row r="473" spans="1:19" x14ac:dyDescent="0.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'[1]Electricity and CHPs_IN'!$B$47-J318</f>
        <v>0</v>
      </c>
      <c r="K473" s="6">
        <f>'[1]Electricity and CHPs_IN'!$B$47-K318</f>
        <v>0</v>
      </c>
      <c r="L473" s="6">
        <f>'[1]Electricity and CHPs_IN'!$B$47-L318</f>
        <v>0</v>
      </c>
      <c r="M473" s="6">
        <f>'[1]Electricity and CHPs_IN'!$B$47-M318</f>
        <v>0</v>
      </c>
      <c r="N473" s="6">
        <f>'[1]Electricity and CHPs_IN'!$B$47-N318</f>
        <v>0</v>
      </c>
      <c r="O473" s="6">
        <f>'[1]Electricity and CHPs_IN'!$B$47-O318</f>
        <v>0</v>
      </c>
      <c r="P473" s="6">
        <f>'[1]Electricity and CHPs_IN'!$B$47-P318</f>
        <v>0</v>
      </c>
      <c r="Q473" s="6">
        <f>'[1]Electricity and CHPs_IN'!$B$47-Q318</f>
        <v>0</v>
      </c>
      <c r="S473" s="3"/>
    </row>
    <row r="474" spans="1:19" x14ac:dyDescent="0.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4.7079752644045375E-2</v>
      </c>
      <c r="G474" s="1">
        <f>'[1]Electricity and CHPs_IN'!C$48-G319</f>
        <v>7.794125506498553E-3</v>
      </c>
      <c r="H474" s="1">
        <f>'[1]Electricity and CHPs_IN'!D$48-H319</f>
        <v>2.9502397657956238E-2</v>
      </c>
      <c r="I474" s="1">
        <f>'[1]Electricity and CHPs_IN'!E$48-I319</f>
        <v>2.6491846533137794E-2</v>
      </c>
      <c r="J474" s="1">
        <f>'[1]Electricity and CHPs_IN'!F$48-J319</f>
        <v>3.7640792112064718E-2</v>
      </c>
      <c r="K474" s="1">
        <f>'[1]Electricity and CHPs_IN'!G$48-K319</f>
        <v>3.9888336633823601E-2</v>
      </c>
      <c r="L474" s="1">
        <f>'[1]Electricity and CHPs_IN'!H$48-L319</f>
        <v>4.925910916988413E-2</v>
      </c>
      <c r="M474" s="1">
        <f>'[1]Electricity and CHPs_IN'!I$48-M319</f>
        <v>6.4753553791656954E-2</v>
      </c>
      <c r="N474" s="1">
        <f>'[1]Electricity and CHPs_IN'!J$48-N319</f>
        <v>5.3214988746177139E-2</v>
      </c>
      <c r="O474" s="1">
        <f>'[1]Electricity and CHPs_IN'!K$48-O319</f>
        <v>6.0480866849269552E-2</v>
      </c>
      <c r="P474" s="1">
        <f>'[1]Electricity and CHPs_IN'!L$48-P319</f>
        <v>0.24483334719096705</v>
      </c>
      <c r="Q474" s="1">
        <f>'[1]Electricity and CHPs_IN'!M$48-Q319</f>
        <v>0.28059996471961113</v>
      </c>
      <c r="S474" s="3"/>
    </row>
    <row r="475" spans="1:19" x14ac:dyDescent="0.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'[1]Electricity and CHPs_IN'!F$49-J320</f>
        <v>0</v>
      </c>
      <c r="K475" s="6">
        <f>'[1]Electricity and CHPs_IN'!G$49-K320</f>
        <v>0</v>
      </c>
      <c r="L475" s="6">
        <f>'[1]Electricity and CHPs_IN'!H$49-L320</f>
        <v>0</v>
      </c>
      <c r="M475" s="6">
        <f>'[1]Electricity and CHPs_IN'!I$49-M320</f>
        <v>0</v>
      </c>
      <c r="N475" s="6">
        <f>'[1]Electricity and CHPs_IN'!J$49-N320</f>
        <v>0</v>
      </c>
      <c r="O475" s="6">
        <f>'[1]Electricity and CHPs_IN'!K$49-O320</f>
        <v>0</v>
      </c>
      <c r="P475" s="6">
        <f>'[1]Electricity and CHPs_IN'!L$49-P320</f>
        <v>0</v>
      </c>
      <c r="Q475" s="6">
        <f>'[1]Electricity and CHPs_IN'!M$49-Q320</f>
        <v>0</v>
      </c>
      <c r="S475" s="3"/>
    </row>
    <row r="476" spans="1:19" x14ac:dyDescent="0.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7.6177236479136157E-2</v>
      </c>
      <c r="G476" s="1">
        <f>'[1]Electricity and CHPs_IN'!C$51-G321</f>
        <v>5.5415104185981404E-2</v>
      </c>
      <c r="H476" s="1">
        <f>'[1]Electricity and CHPs_IN'!D$51-H321</f>
        <v>0.24233730866402703</v>
      </c>
      <c r="I476" s="1">
        <f>'[1]Electricity and CHPs_IN'!E$51-I321</f>
        <v>1.4178716387283443</v>
      </c>
      <c r="J476" s="1">
        <f>'[1]Electricity and CHPs_IN'!F$51-J321</f>
        <v>1.4715536649115515</v>
      </c>
      <c r="K476" s="1">
        <f>'[1]Electricity and CHPs_IN'!G$51-K321</f>
        <v>1.6409254475373647</v>
      </c>
      <c r="L476" s="1">
        <f>'[1]Electricity and CHPs_IN'!H$51-L321</f>
        <v>1.4721320717421751</v>
      </c>
      <c r="M476" s="1">
        <f>'[1]Electricity and CHPs_IN'!I$51-M321</f>
        <v>1.5813478628111306</v>
      </c>
      <c r="N476" s="1">
        <f>'[1]Electricity and CHPs_IN'!J$51-N321</f>
        <v>1.5428922364529991</v>
      </c>
      <c r="O476" s="1">
        <f>'[1]Electricity and CHPs_IN'!K$51-O321</f>
        <v>1.4768587165846554</v>
      </c>
      <c r="P476" s="1">
        <f>'[1]Electricity and CHPs_IN'!L$51-P321</f>
        <v>1.3446950221201366</v>
      </c>
      <c r="Q476" s="1">
        <f>'[1]Electricity and CHPs_IN'!M$51-Q321</f>
        <v>1.2080832200021461</v>
      </c>
      <c r="S476" s="3"/>
    </row>
    <row r="477" spans="1:19" x14ac:dyDescent="0.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'[1]Electricity and CHPs_IN'!F$52-J322</f>
        <v>0</v>
      </c>
      <c r="K477" s="1">
        <f>'[1]Electricity and CHPs_IN'!G$52-K322</f>
        <v>0</v>
      </c>
      <c r="L477" s="1">
        <f>'[1]Electricity and CHPs_IN'!H$52-L322</f>
        <v>0</v>
      </c>
      <c r="M477" s="1">
        <f>'[1]Electricity and CHPs_IN'!I$52-M322</f>
        <v>0</v>
      </c>
      <c r="N477" s="1">
        <f>'[1]Electricity and CHPs_IN'!J$52-N322</f>
        <v>0</v>
      </c>
      <c r="O477" s="1">
        <f>'[1]Electricity and CHPs_IN'!K$52-O322</f>
        <v>0</v>
      </c>
      <c r="P477" s="1">
        <f>'[1]Electricity and CHPs_IN'!L$52-P322</f>
        <v>0</v>
      </c>
      <c r="Q477" s="1">
        <f>'[1]Electricity and CHPs_IN'!M$52-Q322</f>
        <v>0</v>
      </c>
      <c r="S477" s="3"/>
    </row>
    <row r="478" spans="1:19" x14ac:dyDescent="0.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1.5807063638083325</v>
      </c>
      <c r="G478" s="1">
        <f>'[1]Electricity and CHPs_IN'!C$54-G323</f>
        <v>1.7911660009582306</v>
      </c>
      <c r="H478" s="1">
        <f>'[1]Electricity and CHPs_IN'!D$54-H323</f>
        <v>1.7428133299945836</v>
      </c>
      <c r="I478" s="1">
        <f>'[1]Electricity and CHPs_IN'!E$54-I323</f>
        <v>1.6537298232340276</v>
      </c>
      <c r="J478" s="1">
        <f>'[1]Electricity and CHPs_IN'!F$54-J323</f>
        <v>1.5350111675107601</v>
      </c>
      <c r="K478" s="1">
        <f>'[1]Electricity and CHPs_IN'!G$54-K323</f>
        <v>1.4069209328299845</v>
      </c>
      <c r="L478" s="1">
        <f>'[1]Electricity and CHPs_IN'!H$54-L323</f>
        <v>1.3922460635495171</v>
      </c>
      <c r="M478" s="1">
        <f>'[1]Electricity and CHPs_IN'!I$54-M323</f>
        <v>1.3722611978989261</v>
      </c>
      <c r="N478" s="1">
        <f>'[1]Electricity and CHPs_IN'!J$54-N323</f>
        <v>1.3714085797203088</v>
      </c>
      <c r="O478" s="1">
        <f>'[1]Electricity and CHPs_IN'!K$54-O323</f>
        <v>1.3747963805584904</v>
      </c>
      <c r="P478" s="1">
        <f>'[1]Electricity and CHPs_IN'!L$54-P323</f>
        <v>1.3750625885440499</v>
      </c>
      <c r="Q478" s="1">
        <f>'[1]Electricity and CHPs_IN'!M$54-Q323</f>
        <v>1.4422430072456485</v>
      </c>
      <c r="S478" s="3"/>
    </row>
    <row r="479" spans="1:19" x14ac:dyDescent="0.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0.89561729611394658</v>
      </c>
      <c r="G479" s="1">
        <f>'[1]Electricity and CHPs_IN'!C$55-G324</f>
        <v>0.94783303029449717</v>
      </c>
      <c r="H479" s="1">
        <f>'[1]Electricity and CHPs_IN'!D$55-H324</f>
        <v>0.813147867852821</v>
      </c>
      <c r="I479" s="1">
        <f>'[1]Electricity and CHPs_IN'!E$55-I324</f>
        <v>3.5585572124721523</v>
      </c>
      <c r="J479" s="1">
        <f>'[1]Electricity and CHPs_IN'!F$55-J324</f>
        <v>6.4488773145386578</v>
      </c>
      <c r="K479" s="1">
        <f>'[1]Electricity and CHPs_IN'!G$55-K324</f>
        <v>6.3206715075298527</v>
      </c>
      <c r="L479" s="1">
        <f>'[1]Electricity and CHPs_IN'!H$55-L324</f>
        <v>6.2267859445624643</v>
      </c>
      <c r="M479" s="1">
        <f>'[1]Electricity and CHPs_IN'!I$55-M324</f>
        <v>4.3203362360832118</v>
      </c>
      <c r="N479" s="1">
        <f>'[1]Electricity and CHPs_IN'!J$55-N324</f>
        <v>4.3323044940365358</v>
      </c>
      <c r="O479" s="1">
        <f>'[1]Electricity and CHPs_IN'!K$55-O324</f>
        <v>4.4281771435781678</v>
      </c>
      <c r="P479" s="1">
        <f>'[1]Electricity and CHPs_IN'!L$55-P324</f>
        <v>4.7633885383524266</v>
      </c>
      <c r="Q479" s="1">
        <f>'[1]Electricity and CHPs_IN'!M$55-Q324</f>
        <v>5.0393702974642069</v>
      </c>
      <c r="S479" s="3"/>
    </row>
    <row r="480" spans="1:19" x14ac:dyDescent="0.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5.9548838343010703E-4</v>
      </c>
      <c r="J480" s="1">
        <f>'[1]Electricity and CHPs_IN'!F$58-J325</f>
        <v>1.9012175706817382E-3</v>
      </c>
      <c r="K480" s="1">
        <f>'[1]Electricity and CHPs_IN'!G$58-K325</f>
        <v>1.8172622404137567E-3</v>
      </c>
      <c r="L480" s="1">
        <f>'[1]Electricity and CHPs_IN'!H$58-L325</f>
        <v>1.3598822596681123E-3</v>
      </c>
      <c r="M480" s="1">
        <f>'[1]Electricity and CHPs_IN'!I$58-M325</f>
        <v>2.9177910012005547E-3</v>
      </c>
      <c r="N480" s="1">
        <f>'[1]Electricity and CHPs_IN'!J$58-N325</f>
        <v>2.9243842877911524E-3</v>
      </c>
      <c r="O480" s="1">
        <f>'[1]Electricity and CHPs_IN'!K$58-O325</f>
        <v>6.206373960626857E-3</v>
      </c>
      <c r="P480" s="1">
        <f>'[1]Electricity and CHPs_IN'!L$58-P325</f>
        <v>4.79112485640492E-3</v>
      </c>
      <c r="Q480" s="1">
        <f>'[1]Electricity and CHPs_IN'!M$58-Q325</f>
        <v>1.1003319234885872E-2</v>
      </c>
      <c r="S480" s="3"/>
    </row>
    <row r="481" spans="1:19" x14ac:dyDescent="0.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1.9933464482187575</v>
      </c>
      <c r="G481" s="1">
        <f t="shared" ref="G481:K481" si="497">SUM(G482:G491)</f>
        <v>1.0972973557452035</v>
      </c>
      <c r="H481" s="1">
        <f t="shared" si="497"/>
        <v>1.0655800606282801</v>
      </c>
      <c r="I481" s="1">
        <f t="shared" si="497"/>
        <v>5.7011669877423072</v>
      </c>
      <c r="J481" s="1">
        <f t="shared" si="497"/>
        <v>8.7649611204649993</v>
      </c>
      <c r="K481" s="1">
        <f t="shared" si="497"/>
        <v>8.0468718097793275</v>
      </c>
      <c r="L481" s="1">
        <f t="shared" ref="L481:O481" si="498">SUM(L482:L491)</f>
        <v>7.7627977216423201</v>
      </c>
      <c r="M481" s="1">
        <f t="shared" si="498"/>
        <v>5.9653938603016075</v>
      </c>
      <c r="N481" s="1">
        <f t="shared" si="498"/>
        <v>5.889770181908176</v>
      </c>
      <c r="O481" s="1">
        <f t="shared" si="498"/>
        <v>5.9378014206714118</v>
      </c>
      <c r="P481" s="1">
        <f>SUM(P482:P491)</f>
        <v>6.3388263869160681</v>
      </c>
      <c r="Q481" s="1">
        <f>SUM(Q482:Q491)</f>
        <v>6.5599397396600096</v>
      </c>
      <c r="S481" s="3"/>
    </row>
    <row r="482" spans="1:19" x14ac:dyDescent="0.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99">F471-F493</f>
        <v>1.0011615394372138</v>
      </c>
      <c r="G482" s="1">
        <f t="shared" ref="G482:K482" si="500">G471-G493</f>
        <v>0.13032362651258775</v>
      </c>
      <c r="H482" s="1">
        <f t="shared" si="500"/>
        <v>7.9458369042729238E-2</v>
      </c>
      <c r="I482" s="1">
        <f t="shared" si="500"/>
        <v>0.90524423902465623</v>
      </c>
      <c r="J482" s="1">
        <f t="shared" si="500"/>
        <v>1.0699285627834467</v>
      </c>
      <c r="K482" s="1">
        <f t="shared" si="500"/>
        <v>0.23437622171146683</v>
      </c>
      <c r="L482" s="1">
        <f t="shared" ref="L482:O482" si="501">L471-L493</f>
        <v>0.1514293429767104</v>
      </c>
      <c r="M482" s="1">
        <f t="shared" si="501"/>
        <v>9.168336702726336E-2</v>
      </c>
      <c r="N482" s="1">
        <f t="shared" si="501"/>
        <v>4.5960478122500703E-2</v>
      </c>
      <c r="O482" s="1">
        <f t="shared" si="501"/>
        <v>5.03977329992501E-2</v>
      </c>
      <c r="P482" s="1">
        <f t="shared" ref="P482:Q488" si="502">P471-P493</f>
        <v>7.280639809206374E-2</v>
      </c>
      <c r="Q482" s="1">
        <f t="shared" si="502"/>
        <v>0.1237555002111308</v>
      </c>
      <c r="S482" s="3"/>
    </row>
    <row r="483" spans="1:19" x14ac:dyDescent="0.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99"/>
        <v>0</v>
      </c>
      <c r="G483" s="1">
        <f t="shared" ref="G483:K483" si="503">G472-G494</f>
        <v>0</v>
      </c>
      <c r="H483" s="1">
        <f t="shared" si="503"/>
        <v>0</v>
      </c>
      <c r="I483" s="1">
        <f t="shared" si="503"/>
        <v>0</v>
      </c>
      <c r="J483" s="1">
        <f t="shared" si="503"/>
        <v>0</v>
      </c>
      <c r="K483" s="1">
        <f t="shared" si="503"/>
        <v>2.8086548597984137E-4</v>
      </c>
      <c r="L483" s="1">
        <f t="shared" ref="L483:O483" si="504">L472-L494</f>
        <v>3.5032399172367918E-4</v>
      </c>
      <c r="M483" s="1">
        <f t="shared" si="504"/>
        <v>8.8867754899257302E-4</v>
      </c>
      <c r="N483" s="1">
        <f t="shared" si="504"/>
        <v>4.3689745304653681E-4</v>
      </c>
      <c r="O483" s="1">
        <f t="shared" si="504"/>
        <v>7.5096516484607855E-4</v>
      </c>
      <c r="P483" s="1">
        <f t="shared" si="502"/>
        <v>7.3213866897893682E-4</v>
      </c>
      <c r="Q483" s="1">
        <f t="shared" si="502"/>
        <v>1.4685171266334562E-3</v>
      </c>
      <c r="S483" s="3"/>
    </row>
    <row r="484" spans="1:19" x14ac:dyDescent="0.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99"/>
        <v>0</v>
      </c>
      <c r="G484" s="1">
        <f t="shared" ref="G484:K484" si="505">G473-G495</f>
        <v>0</v>
      </c>
      <c r="H484" s="1">
        <f t="shared" si="505"/>
        <v>0</v>
      </c>
      <c r="I484" s="1">
        <f t="shared" si="505"/>
        <v>0</v>
      </c>
      <c r="J484" s="1">
        <f t="shared" si="505"/>
        <v>0</v>
      </c>
      <c r="K484" s="1">
        <f t="shared" si="505"/>
        <v>0</v>
      </c>
      <c r="L484" s="1">
        <f t="shared" ref="L484:O484" si="506">L473-L495</f>
        <v>0</v>
      </c>
      <c r="M484" s="1">
        <f t="shared" si="506"/>
        <v>0</v>
      </c>
      <c r="N484" s="1">
        <f t="shared" si="506"/>
        <v>0</v>
      </c>
      <c r="O484" s="1">
        <f t="shared" si="506"/>
        <v>0</v>
      </c>
      <c r="P484" s="1">
        <f t="shared" si="502"/>
        <v>0</v>
      </c>
      <c r="Q484" s="1">
        <f t="shared" si="502"/>
        <v>0</v>
      </c>
      <c r="S484" s="3"/>
    </row>
    <row r="485" spans="1:19" x14ac:dyDescent="0.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99"/>
        <v>4.5846500161419133E-2</v>
      </c>
      <c r="G485" s="1">
        <f t="shared" ref="G485:K485" si="507">G474-G496</f>
        <v>7.4544011713447407E-3</v>
      </c>
      <c r="H485" s="1">
        <f t="shared" si="507"/>
        <v>2.681408983547141E-2</v>
      </c>
      <c r="I485" s="1">
        <f t="shared" si="507"/>
        <v>2.5392712787926573E-2</v>
      </c>
      <c r="J485" s="1">
        <f t="shared" si="507"/>
        <v>3.6387952722288182E-2</v>
      </c>
      <c r="K485" s="1">
        <f t="shared" si="507"/>
        <v>3.8935957826134501E-2</v>
      </c>
      <c r="L485" s="1">
        <f t="shared" ref="L485:O485" si="508">L474-L496</f>
        <v>4.83786281522329E-2</v>
      </c>
      <c r="M485" s="1">
        <f t="shared" si="508"/>
        <v>6.3706389565988009E-2</v>
      </c>
      <c r="N485" s="1">
        <f t="shared" si="508"/>
        <v>5.2425796262664297E-2</v>
      </c>
      <c r="O485" s="1">
        <f t="shared" si="508"/>
        <v>5.9619284665067981E-2</v>
      </c>
      <c r="P485" s="1">
        <f t="shared" si="502"/>
        <v>0.24127427488367337</v>
      </c>
      <c r="Q485" s="1">
        <f t="shared" si="502"/>
        <v>0.27612254480982945</v>
      </c>
      <c r="S485" s="3"/>
    </row>
    <row r="486" spans="1:19" x14ac:dyDescent="0.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99"/>
        <v>0</v>
      </c>
      <c r="G486" s="1">
        <f t="shared" ref="G486:K486" si="509">G475-G497</f>
        <v>0</v>
      </c>
      <c r="H486" s="1">
        <f t="shared" si="509"/>
        <v>0</v>
      </c>
      <c r="I486" s="1">
        <f t="shared" si="509"/>
        <v>0</v>
      </c>
      <c r="J486" s="1">
        <f t="shared" si="509"/>
        <v>0</v>
      </c>
      <c r="K486" s="1">
        <f t="shared" si="509"/>
        <v>0</v>
      </c>
      <c r="L486" s="1">
        <f t="shared" ref="L486:O486" si="510">L475-L497</f>
        <v>0</v>
      </c>
      <c r="M486" s="1">
        <f t="shared" si="510"/>
        <v>0</v>
      </c>
      <c r="N486" s="1">
        <f t="shared" si="510"/>
        <v>0</v>
      </c>
      <c r="O486" s="1">
        <f t="shared" si="510"/>
        <v>0</v>
      </c>
      <c r="P486" s="1">
        <f t="shared" si="502"/>
        <v>0</v>
      </c>
      <c r="Q486" s="1">
        <f t="shared" si="502"/>
        <v>0</v>
      </c>
      <c r="S486" s="3"/>
    </row>
    <row r="487" spans="1:19" x14ac:dyDescent="0.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99"/>
        <v>7.4181776419738762E-2</v>
      </c>
      <c r="G487" s="1">
        <f t="shared" ref="G487:K487" si="511">G476-G498</f>
        <v>5.2999713336634009E-2</v>
      </c>
      <c r="H487" s="1">
        <f t="shared" si="511"/>
        <v>0.22025512774725894</v>
      </c>
      <c r="I487" s="1">
        <f t="shared" si="511"/>
        <v>1.3590448384690696</v>
      </c>
      <c r="J487" s="1">
        <f t="shared" si="511"/>
        <v>1.4225743450799615</v>
      </c>
      <c r="K487" s="1">
        <f t="shared" si="511"/>
        <v>1.6017465107073146</v>
      </c>
      <c r="L487" s="1">
        <f t="shared" ref="L487:O487" si="512">L476-L498</f>
        <v>1.4458184747955818</v>
      </c>
      <c r="M487" s="1">
        <f t="shared" si="512"/>
        <v>1.5557750438180331</v>
      </c>
      <c r="N487" s="1">
        <f t="shared" si="512"/>
        <v>1.5200107328659767</v>
      </c>
      <c r="O487" s="1">
        <f t="shared" si="512"/>
        <v>1.4558200770102045</v>
      </c>
      <c r="P487" s="1">
        <f t="shared" si="502"/>
        <v>1.3251475753777182</v>
      </c>
      <c r="Q487" s="1">
        <f t="shared" si="502"/>
        <v>1.1888063256970602</v>
      </c>
      <c r="S487" s="3"/>
    </row>
    <row r="488" spans="1:19" x14ac:dyDescent="0.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99"/>
        <v>0</v>
      </c>
      <c r="G488" s="1">
        <f t="shared" ref="G488:K488" si="513">G477-G499</f>
        <v>0</v>
      </c>
      <c r="H488" s="1">
        <f t="shared" si="513"/>
        <v>0</v>
      </c>
      <c r="I488" s="1">
        <f t="shared" si="513"/>
        <v>0</v>
      </c>
      <c r="J488" s="1">
        <f t="shared" si="513"/>
        <v>0</v>
      </c>
      <c r="K488" s="1">
        <f t="shared" si="513"/>
        <v>0</v>
      </c>
      <c r="L488" s="1">
        <f t="shared" ref="L488:O488" si="514">L477-L499</f>
        <v>0</v>
      </c>
      <c r="M488" s="1">
        <f t="shared" si="514"/>
        <v>0</v>
      </c>
      <c r="N488" s="1">
        <f t="shared" si="514"/>
        <v>0</v>
      </c>
      <c r="O488" s="1">
        <f t="shared" si="514"/>
        <v>0</v>
      </c>
      <c r="P488" s="1">
        <f t="shared" si="502"/>
        <v>0</v>
      </c>
      <c r="Q488" s="1">
        <f t="shared" si="502"/>
        <v>0</v>
      </c>
      <c r="S488" s="3"/>
    </row>
    <row r="489" spans="1:19" x14ac:dyDescent="0.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S489" s="3"/>
    </row>
    <row r="490" spans="1:19" x14ac:dyDescent="0.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0.87215663220038575</v>
      </c>
      <c r="G490" s="1">
        <f t="shared" ref="G490:K490" si="515">G479-G501</f>
        <v>0.90651961472463705</v>
      </c>
      <c r="H490" s="1">
        <f t="shared" si="515"/>
        <v>0.73905247400282059</v>
      </c>
      <c r="I490" s="1">
        <f t="shared" si="515"/>
        <v>3.4109144155987692</v>
      </c>
      <c r="J490" s="1">
        <f t="shared" si="515"/>
        <v>6.2342323225991629</v>
      </c>
      <c r="K490" s="1">
        <f t="shared" si="515"/>
        <v>6.1697583809836987</v>
      </c>
      <c r="L490" s="1">
        <f t="shared" ref="L490:O490" si="516">L479-L501</f>
        <v>6.115485376656201</v>
      </c>
      <c r="M490" s="1">
        <f t="shared" si="516"/>
        <v>4.2504697764933068</v>
      </c>
      <c r="N490" s="1">
        <f t="shared" si="516"/>
        <v>4.2680552623155554</v>
      </c>
      <c r="O490" s="1">
        <f t="shared" si="516"/>
        <v>4.365095399976445</v>
      </c>
      <c r="P490" s="1">
        <f>P479-P501</f>
        <v>4.6941445222482523</v>
      </c>
      <c r="Q490" s="1">
        <f>Q479-Q501</f>
        <v>4.9589591080858515</v>
      </c>
      <c r="S490" s="3"/>
    </row>
    <row r="491" spans="1:19" x14ac:dyDescent="0.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517">G480-G502</f>
        <v>0</v>
      </c>
      <c r="H491" s="1">
        <f t="shared" si="517"/>
        <v>0</v>
      </c>
      <c r="I491" s="1">
        <f t="shared" si="517"/>
        <v>5.7078186188618267E-4</v>
      </c>
      <c r="J491" s="1">
        <f t="shared" si="517"/>
        <v>1.8379372801396623E-3</v>
      </c>
      <c r="K491" s="1">
        <f t="shared" si="517"/>
        <v>1.7738730647338637E-3</v>
      </c>
      <c r="L491" s="1">
        <f t="shared" ref="L491:O491" si="518">L480-L502</f>
        <v>1.3355750698699977E-3</v>
      </c>
      <c r="M491" s="1">
        <f t="shared" si="518"/>
        <v>2.870605848023222E-3</v>
      </c>
      <c r="N491" s="1">
        <f t="shared" si="518"/>
        <v>2.8810148884319607E-3</v>
      </c>
      <c r="O491" s="1">
        <f t="shared" si="518"/>
        <v>6.1179608555982003E-3</v>
      </c>
      <c r="P491" s="1">
        <f>P480-P502</f>
        <v>4.7214776453821626E-3</v>
      </c>
      <c r="Q491" s="1">
        <f>Q480-Q502</f>
        <v>1.0827743729503358E-2</v>
      </c>
      <c r="S491" s="3"/>
    </row>
    <row r="492" spans="1:19" x14ac:dyDescent="0.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1.6343265844870027</v>
      </c>
      <c r="G492" s="1">
        <f t="shared" ref="G492:K492" si="519">SUM(G493:G502)</f>
        <v>1.8411738561940829</v>
      </c>
      <c r="H492" s="1">
        <f t="shared" si="519"/>
        <v>1.8496454928629789</v>
      </c>
      <c r="I492" s="1">
        <f t="shared" si="519"/>
        <v>1.9005071201556547</v>
      </c>
      <c r="J492" s="1">
        <f t="shared" si="519"/>
        <v>1.8367893034060589</v>
      </c>
      <c r="K492" s="1">
        <f t="shared" si="519"/>
        <v>1.6037416383513028</v>
      </c>
      <c r="L492" s="1">
        <f t="shared" ref="L492:O492" si="520">SUM(L493:L502)</f>
        <v>1.5335209993050507</v>
      </c>
      <c r="M492" s="1">
        <f t="shared" si="520"/>
        <v>1.4703018574582944</v>
      </c>
      <c r="N492" s="1">
        <f t="shared" si="520"/>
        <v>1.4600637436344128</v>
      </c>
      <c r="O492" s="1">
        <f t="shared" si="520"/>
        <v>1.460595076868032</v>
      </c>
      <c r="P492" s="1">
        <f>SUM(P493:P502)</f>
        <v>1.4685567487931253</v>
      </c>
      <c r="Q492" s="1">
        <f>SUM(Q493:Q502)</f>
        <v>1.5485908233927335</v>
      </c>
      <c r="R492" s="8"/>
      <c r="S492" s="3"/>
    </row>
    <row r="493" spans="1:19" x14ac:dyDescent="0.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21">IFERROR(F348/F316,0)*F471</f>
        <v>2.6930844223085733E-2</v>
      </c>
      <c r="G493" s="1">
        <f t="shared" ref="G493:K493" si="522">IFERROR(G348/G316,0)*G471</f>
        <v>5.9393244814909584E-3</v>
      </c>
      <c r="H493" s="1">
        <f t="shared" si="522"/>
        <v>7.9662802791419136E-3</v>
      </c>
      <c r="I493" s="1">
        <f t="shared" si="522"/>
        <v>3.9183859522214107E-2</v>
      </c>
      <c r="J493" s="1">
        <f t="shared" si="522"/>
        <v>3.6837704443895586E-2</v>
      </c>
      <c r="K493" s="1">
        <f t="shared" si="522"/>
        <v>5.732874161745111E-3</v>
      </c>
      <c r="L493" s="1">
        <f t="shared" ref="L493:O493" si="523">IFERROR(L348/L316,0)*L471</f>
        <v>2.7559826952273212E-3</v>
      </c>
      <c r="M493" s="1">
        <f t="shared" si="523"/>
        <v>1.5070315975194214E-3</v>
      </c>
      <c r="N493" s="1">
        <f t="shared" si="523"/>
        <v>6.9186672322924761E-4</v>
      </c>
      <c r="O493" s="1">
        <f t="shared" si="523"/>
        <v>7.2831784413782553E-4</v>
      </c>
      <c r="P493" s="1">
        <f t="shared" ref="P493:Q499" si="524">IFERROR(P348/P316,0)*P471</f>
        <v>1.0739778841660386E-3</v>
      </c>
      <c r="Q493" s="1">
        <f t="shared" si="524"/>
        <v>2.0067370484793969E-3</v>
      </c>
      <c r="S493" s="3"/>
    </row>
    <row r="494" spans="1:19" x14ac:dyDescent="0.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21"/>
        <v>0</v>
      </c>
      <c r="G494" s="1">
        <f t="shared" ref="G494:K494" si="525">IFERROR(G349/G317,0)*G472</f>
        <v>0</v>
      </c>
      <c r="H494" s="1">
        <f t="shared" si="525"/>
        <v>0</v>
      </c>
      <c r="I494" s="1">
        <f t="shared" si="525"/>
        <v>0</v>
      </c>
      <c r="J494" s="1">
        <f t="shared" si="525"/>
        <v>0</v>
      </c>
      <c r="K494" s="1">
        <f t="shared" si="525"/>
        <v>0</v>
      </c>
      <c r="L494" s="1">
        <f t="shared" ref="L494:O494" si="526">IFERROR(L349/L317,0)*L472</f>
        <v>0</v>
      </c>
      <c r="M494" s="1">
        <f t="shared" si="526"/>
        <v>0</v>
      </c>
      <c r="N494" s="1">
        <f t="shared" si="526"/>
        <v>0</v>
      </c>
      <c r="O494" s="1">
        <f t="shared" si="526"/>
        <v>0</v>
      </c>
      <c r="P494" s="1">
        <f t="shared" si="524"/>
        <v>0</v>
      </c>
      <c r="Q494" s="1">
        <f t="shared" si="524"/>
        <v>0</v>
      </c>
      <c r="S494" s="3"/>
    </row>
    <row r="495" spans="1:19" x14ac:dyDescent="0.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21"/>
        <v>0</v>
      </c>
      <c r="G495" s="1">
        <f t="shared" ref="G495:K495" si="527">IFERROR(G350/G318,0)*G473</f>
        <v>0</v>
      </c>
      <c r="H495" s="1">
        <f t="shared" si="527"/>
        <v>0</v>
      </c>
      <c r="I495" s="1">
        <f t="shared" si="527"/>
        <v>0</v>
      </c>
      <c r="J495" s="1">
        <f t="shared" si="527"/>
        <v>0</v>
      </c>
      <c r="K495" s="1">
        <f t="shared" si="527"/>
        <v>0</v>
      </c>
      <c r="L495" s="1">
        <f t="shared" ref="L495:O495" si="528">IFERROR(L350/L318,0)*L473</f>
        <v>0</v>
      </c>
      <c r="M495" s="1">
        <f t="shared" si="528"/>
        <v>0</v>
      </c>
      <c r="N495" s="1">
        <f t="shared" si="528"/>
        <v>0</v>
      </c>
      <c r="O495" s="1">
        <f t="shared" si="528"/>
        <v>0</v>
      </c>
      <c r="P495" s="1">
        <f t="shared" si="524"/>
        <v>0</v>
      </c>
      <c r="Q495" s="1">
        <f t="shared" si="524"/>
        <v>0</v>
      </c>
      <c r="S495" s="3"/>
    </row>
    <row r="496" spans="1:19" x14ac:dyDescent="0.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21"/>
        <v>1.23325248262624E-3</v>
      </c>
      <c r="G496" s="1">
        <f t="shared" ref="G496:K496" si="529">IFERROR(G351/G319,0)*G474</f>
        <v>3.3972433515381211E-4</v>
      </c>
      <c r="H496" s="1">
        <f t="shared" si="529"/>
        <v>2.6883078224848272E-3</v>
      </c>
      <c r="I496" s="1">
        <f t="shared" si="529"/>
        <v>1.0991337452112215E-3</v>
      </c>
      <c r="J496" s="1">
        <f t="shared" si="529"/>
        <v>1.2528393897765339E-3</v>
      </c>
      <c r="K496" s="1">
        <f t="shared" si="529"/>
        <v>9.523788076891027E-4</v>
      </c>
      <c r="L496" s="1">
        <f t="shared" ref="L496:O496" si="530">IFERROR(L351/L319,0)*L474</f>
        <v>8.8048101765123346E-4</v>
      </c>
      <c r="M496" s="1">
        <f t="shared" si="530"/>
        <v>1.0471642256689433E-3</v>
      </c>
      <c r="N496" s="1">
        <f t="shared" si="530"/>
        <v>7.8919248351284313E-4</v>
      </c>
      <c r="O496" s="1">
        <f t="shared" si="530"/>
        <v>8.6158218420156964E-4</v>
      </c>
      <c r="P496" s="1">
        <f t="shared" si="524"/>
        <v>3.5590723072936926E-3</v>
      </c>
      <c r="Q496" s="1">
        <f t="shared" si="524"/>
        <v>4.4774199097816578E-3</v>
      </c>
      <c r="S496" s="3"/>
    </row>
    <row r="497" spans="1:19" x14ac:dyDescent="0.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21"/>
        <v>0</v>
      </c>
      <c r="G497" s="1">
        <f t="shared" ref="G497:K497" si="531">IFERROR(G352/G320,0)*G475</f>
        <v>0</v>
      </c>
      <c r="H497" s="1">
        <f t="shared" si="531"/>
        <v>0</v>
      </c>
      <c r="I497" s="1">
        <f t="shared" si="531"/>
        <v>0</v>
      </c>
      <c r="J497" s="1">
        <f t="shared" si="531"/>
        <v>0</v>
      </c>
      <c r="K497" s="1">
        <f t="shared" si="531"/>
        <v>0</v>
      </c>
      <c r="L497" s="1">
        <f t="shared" ref="L497:O497" si="532">IFERROR(L352/L320,0)*L475</f>
        <v>0</v>
      </c>
      <c r="M497" s="1">
        <f t="shared" si="532"/>
        <v>0</v>
      </c>
      <c r="N497" s="1">
        <f t="shared" si="532"/>
        <v>0</v>
      </c>
      <c r="O497" s="1">
        <f t="shared" si="532"/>
        <v>0</v>
      </c>
      <c r="P497" s="1">
        <f t="shared" si="524"/>
        <v>0</v>
      </c>
      <c r="Q497" s="1">
        <f t="shared" si="524"/>
        <v>0</v>
      </c>
      <c r="S497" s="3"/>
    </row>
    <row r="498" spans="1:19" x14ac:dyDescent="0.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21"/>
        <v>1.9954600593973877E-3</v>
      </c>
      <c r="G498" s="1">
        <f t="shared" ref="G498:K498" si="533">IFERROR(G353/G321,0)*G476</f>
        <v>2.4153908493473944E-3</v>
      </c>
      <c r="H498" s="1">
        <f t="shared" si="533"/>
        <v>2.2082180916768095E-2</v>
      </c>
      <c r="I498" s="1">
        <f t="shared" si="533"/>
        <v>5.8826800259274607E-2</v>
      </c>
      <c r="J498" s="1">
        <f t="shared" si="533"/>
        <v>4.8979319831589992E-2</v>
      </c>
      <c r="K498" s="1">
        <f t="shared" si="533"/>
        <v>3.9178936830050123E-2</v>
      </c>
      <c r="L498" s="1">
        <f t="shared" ref="L498:O498" si="534">IFERROR(L353/L321,0)*L476</f>
        <v>2.6313596946593246E-2</v>
      </c>
      <c r="M498" s="1">
        <f t="shared" si="534"/>
        <v>2.5572818993097525E-2</v>
      </c>
      <c r="N498" s="1">
        <f t="shared" si="534"/>
        <v>2.2881503587022504E-2</v>
      </c>
      <c r="O498" s="1">
        <f t="shared" si="534"/>
        <v>2.103863957445086E-2</v>
      </c>
      <c r="P498" s="1">
        <f t="shared" si="524"/>
        <v>1.9547446742418484E-2</v>
      </c>
      <c r="Q498" s="1">
        <f t="shared" si="524"/>
        <v>1.9276894305085789E-2</v>
      </c>
      <c r="S498" s="3"/>
    </row>
    <row r="499" spans="1:19" x14ac:dyDescent="0.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21"/>
        <v>0</v>
      </c>
      <c r="G499" s="1">
        <f t="shared" ref="G499:K499" si="535">IFERROR(G354/G322,0)*G477</f>
        <v>0</v>
      </c>
      <c r="H499" s="1">
        <f t="shared" si="535"/>
        <v>0</v>
      </c>
      <c r="I499" s="1">
        <f t="shared" si="535"/>
        <v>0</v>
      </c>
      <c r="J499" s="1">
        <f t="shared" si="535"/>
        <v>0</v>
      </c>
      <c r="K499" s="1">
        <f t="shared" si="535"/>
        <v>0</v>
      </c>
      <c r="L499" s="1">
        <f t="shared" ref="L499:O499" si="536">IFERROR(L354/L322,0)*L477</f>
        <v>0</v>
      </c>
      <c r="M499" s="1">
        <f t="shared" si="536"/>
        <v>0</v>
      </c>
      <c r="N499" s="1">
        <f t="shared" si="536"/>
        <v>0</v>
      </c>
      <c r="O499" s="1">
        <f t="shared" si="536"/>
        <v>0</v>
      </c>
      <c r="P499" s="1">
        <f t="shared" si="524"/>
        <v>0</v>
      </c>
      <c r="Q499" s="1">
        <f t="shared" si="524"/>
        <v>0</v>
      </c>
      <c r="S499" s="3"/>
    </row>
    <row r="500" spans="1:19" x14ac:dyDescent="0.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1.5807063638083325</v>
      </c>
      <c r="G500" s="1">
        <f t="shared" ref="G500:K500" si="537">G478</f>
        <v>1.7911660009582306</v>
      </c>
      <c r="H500" s="1">
        <f t="shared" si="537"/>
        <v>1.7428133299945836</v>
      </c>
      <c r="I500" s="1">
        <f t="shared" si="537"/>
        <v>1.6537298232340276</v>
      </c>
      <c r="J500" s="1">
        <f t="shared" si="537"/>
        <v>1.5350111675107601</v>
      </c>
      <c r="K500" s="1">
        <f t="shared" si="537"/>
        <v>1.4069209328299845</v>
      </c>
      <c r="L500" s="1">
        <f t="shared" ref="L500:O500" si="538">L478</f>
        <v>1.3922460635495171</v>
      </c>
      <c r="M500" s="1">
        <f t="shared" si="538"/>
        <v>1.3722611978989261</v>
      </c>
      <c r="N500" s="1">
        <f t="shared" si="538"/>
        <v>1.3714085797203088</v>
      </c>
      <c r="O500" s="1">
        <f t="shared" si="538"/>
        <v>1.3747963805584904</v>
      </c>
      <c r="P500" s="1">
        <f>P478</f>
        <v>1.3750625885440499</v>
      </c>
      <c r="Q500" s="1">
        <f>Q478</f>
        <v>1.4422430072456485</v>
      </c>
      <c r="S500" s="3"/>
    </row>
    <row r="501" spans="1:19" x14ac:dyDescent="0.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2.3460663913560786E-2</v>
      </c>
      <c r="G501" s="1">
        <f t="shared" ref="G501:K501" si="539">IFERROR(G356/G324,0)*G479</f>
        <v>4.1313415569860096E-2</v>
      </c>
      <c r="H501" s="1">
        <f t="shared" si="539"/>
        <v>7.4095393850000468E-2</v>
      </c>
      <c r="I501" s="1">
        <f t="shared" si="539"/>
        <v>0.14764279687338316</v>
      </c>
      <c r="J501" s="1">
        <f t="shared" si="539"/>
        <v>0.21464499193949488</v>
      </c>
      <c r="K501" s="1">
        <f t="shared" si="539"/>
        <v>0.15091312654615396</v>
      </c>
      <c r="L501" s="1">
        <f t="shared" ref="L501:O501" si="540">IFERROR(L356/L324,0)*L479</f>
        <v>0.11130056790626375</v>
      </c>
      <c r="M501" s="1">
        <f t="shared" si="540"/>
        <v>6.9866459589904964E-2</v>
      </c>
      <c r="N501" s="1">
        <f t="shared" si="540"/>
        <v>6.4249231720980252E-2</v>
      </c>
      <c r="O501" s="1">
        <f t="shared" si="540"/>
        <v>6.3081743601722598E-2</v>
      </c>
      <c r="P501" s="1">
        <f>IFERROR(P356/P324,0)*P479</f>
        <v>6.924401610417448E-2</v>
      </c>
      <c r="Q501" s="1">
        <f>IFERROR(Q356/Q324,0)*Q479</f>
        <v>8.0411189378355563E-2</v>
      </c>
      <c r="S501" s="3"/>
    </row>
    <row r="502" spans="1:19" x14ac:dyDescent="0.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41">IFERROR(G357/G325,0)*G480</f>
        <v>0</v>
      </c>
      <c r="H502" s="1">
        <f t="shared" si="541"/>
        <v>0</v>
      </c>
      <c r="I502" s="1">
        <f t="shared" si="541"/>
        <v>2.4706521543924374E-5</v>
      </c>
      <c r="J502" s="1">
        <f t="shared" si="541"/>
        <v>6.3280290542075916E-5</v>
      </c>
      <c r="K502" s="1">
        <f t="shared" si="541"/>
        <v>4.3389175679893045E-5</v>
      </c>
      <c r="L502" s="1">
        <f t="shared" ref="L502:O502" si="542">IFERROR(L357/L325,0)*L480</f>
        <v>2.4307189798114701E-5</v>
      </c>
      <c r="M502" s="1">
        <f t="shared" si="542"/>
        <v>4.7185153177332732E-5</v>
      </c>
      <c r="N502" s="1">
        <f t="shared" si="542"/>
        <v>4.3369399359191507E-5</v>
      </c>
      <c r="O502" s="1">
        <f t="shared" si="542"/>
        <v>8.8413105028656706E-5</v>
      </c>
      <c r="P502" s="1">
        <f>IFERROR(P357/P325,0)*P480</f>
        <v>6.9647211022757041E-5</v>
      </c>
      <c r="Q502" s="1">
        <f>IFERROR(Q357/Q325,0)*Q480</f>
        <v>1.7557550538251481E-4</v>
      </c>
      <c r="S502" s="3"/>
    </row>
    <row r="503" spans="1:19" x14ac:dyDescent="0.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3.3175215101392683</v>
      </c>
      <c r="G503" s="1">
        <f t="shared" ref="G503:K503" si="543">SUM(G504:G505)</f>
        <v>3.3046645777809034</v>
      </c>
      <c r="H503" s="1">
        <f t="shared" si="543"/>
        <v>4.7995316591944936</v>
      </c>
      <c r="I503" s="1">
        <f t="shared" si="543"/>
        <v>4.6781621919258942</v>
      </c>
      <c r="J503" s="1">
        <f t="shared" si="543"/>
        <v>4.542145589585207</v>
      </c>
      <c r="K503" s="1">
        <f t="shared" si="543"/>
        <v>4.413611962379167</v>
      </c>
      <c r="L503" s="1">
        <f t="shared" ref="L503:O503" si="544">SUM(L504:L505)</f>
        <v>4.2525369123300436</v>
      </c>
      <c r="M503" s="1">
        <f t="shared" si="544"/>
        <v>4.0403602063360848</v>
      </c>
      <c r="N503" s="1">
        <f t="shared" si="544"/>
        <v>4.040327876700113</v>
      </c>
      <c r="O503" s="1">
        <f t="shared" si="544"/>
        <v>4.0403579051300671</v>
      </c>
      <c r="P503" s="1">
        <f>SUM(P504:P505)</f>
        <v>4.0403344805435371</v>
      </c>
      <c r="Q503" s="1">
        <f>SUM(Q504:Q505)</f>
        <v>4.0404242704888915</v>
      </c>
      <c r="S503" s="3"/>
    </row>
    <row r="504" spans="1:19" x14ac:dyDescent="0.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3.3175215101392683</v>
      </c>
      <c r="G504" s="6">
        <f>'[1]Electricity and CHPs_IN'!C$44-G363</f>
        <v>3.3046645777809034</v>
      </c>
      <c r="H504" s="6">
        <f>'[1]Electricity and CHPs_IN'!D$44-H363</f>
        <v>4.7995316591944936</v>
      </c>
      <c r="I504" s="6">
        <f>'[1]Electricity and CHPs_IN'!E$44-I363</f>
        <v>4.6781621919258942</v>
      </c>
      <c r="J504" s="6">
        <f>'[1]Electricity and CHPs_IN'!F$44-J363</f>
        <v>4.542145589585207</v>
      </c>
      <c r="K504" s="6">
        <f>'[1]Electricity and CHPs_IN'!G$44-K363</f>
        <v>4.413611962379167</v>
      </c>
      <c r="L504" s="6">
        <f>'[1]Electricity and CHPs_IN'!H$44-L363</f>
        <v>4.2525369123300436</v>
      </c>
      <c r="M504" s="6">
        <f>'[1]Electricity and CHPs_IN'!I$44-M363</f>
        <v>4.0403602063360848</v>
      </c>
      <c r="N504" s="6">
        <f>'[1]Electricity and CHPs_IN'!J$44-N363</f>
        <v>4.040327876700113</v>
      </c>
      <c r="O504" s="6">
        <f>'[1]Electricity and CHPs_IN'!K$44-O363</f>
        <v>4.0403579051300671</v>
      </c>
      <c r="P504" s="6">
        <f>'[1]Electricity and CHPs_IN'!L$44-P363</f>
        <v>4.0403344805435371</v>
      </c>
      <c r="Q504" s="6">
        <f>'[1]Electricity and CHPs_IN'!M$44-Q363</f>
        <v>4.0404242704888915</v>
      </c>
      <c r="S504" s="3"/>
    </row>
    <row r="505" spans="1:19" x14ac:dyDescent="0.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'[1]Electricity and CHPs_IN'!F$45</f>
        <v>0</v>
      </c>
      <c r="K505" s="1">
        <f>'[1]Electricity and CHPs_IN'!G$45</f>
        <v>0</v>
      </c>
      <c r="L505" s="1">
        <f>'[1]Electricity and CHPs_IN'!H$45</f>
        <v>0</v>
      </c>
      <c r="M505" s="1">
        <f>'[1]Electricity and CHPs_IN'!I$45</f>
        <v>0</v>
      </c>
      <c r="N505" s="1">
        <f>'[1]Electricity and CHPs_IN'!J$45</f>
        <v>0</v>
      </c>
      <c r="O505" s="1">
        <f>'[1]Electricity and CHPs_IN'!K$45</f>
        <v>0</v>
      </c>
      <c r="P505" s="1">
        <f>'[1]Electricity and CHPs_IN'!L$45</f>
        <v>0</v>
      </c>
      <c r="Q505" s="1">
        <f>'[1]Electricity and CHPs_IN'!M$45</f>
        <v>0</v>
      </c>
      <c r="S505" s="3"/>
    </row>
    <row r="506" spans="1:19" x14ac:dyDescent="0.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45">SUM(G507:G508)</f>
        <v>0</v>
      </c>
      <c r="H506" s="1">
        <f t="shared" si="545"/>
        <v>0</v>
      </c>
      <c r="I506" s="1">
        <f t="shared" si="545"/>
        <v>0</v>
      </c>
      <c r="J506" s="1">
        <f t="shared" si="545"/>
        <v>0</v>
      </c>
      <c r="K506" s="1">
        <f t="shared" si="545"/>
        <v>0</v>
      </c>
      <c r="L506" s="1">
        <f t="shared" ref="L506:O506" si="546">SUM(L507:L508)</f>
        <v>0</v>
      </c>
      <c r="M506" s="1">
        <f t="shared" si="546"/>
        <v>0</v>
      </c>
      <c r="N506" s="1">
        <f t="shared" si="546"/>
        <v>0</v>
      </c>
      <c r="O506" s="1">
        <f t="shared" si="546"/>
        <v>0</v>
      </c>
      <c r="P506" s="1">
        <f>SUM(P507:P508)</f>
        <v>0</v>
      </c>
      <c r="Q506" s="1">
        <f>SUM(Q507:Q508)</f>
        <v>0</v>
      </c>
      <c r="S506" s="3"/>
    </row>
    <row r="507" spans="1:19" x14ac:dyDescent="0.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S507" s="3"/>
    </row>
    <row r="508" spans="1:19" x14ac:dyDescent="0.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S508" s="3"/>
    </row>
    <row r="509" spans="1:19" x14ac:dyDescent="0.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3.3175215101392683</v>
      </c>
      <c r="G509" s="1">
        <f t="shared" ref="G509:K509" si="547">SUM(G510:G511)</f>
        <v>3.3046645777809034</v>
      </c>
      <c r="H509" s="1">
        <f t="shared" si="547"/>
        <v>4.7995316591944936</v>
      </c>
      <c r="I509" s="1">
        <f t="shared" si="547"/>
        <v>4.6781621919258942</v>
      </c>
      <c r="J509" s="1">
        <f t="shared" si="547"/>
        <v>4.542145589585207</v>
      </c>
      <c r="K509" s="1">
        <f t="shared" si="547"/>
        <v>4.413611962379167</v>
      </c>
      <c r="L509" s="1">
        <f t="shared" ref="L509:O509" si="548">SUM(L510:L511)</f>
        <v>4.2525369123300436</v>
      </c>
      <c r="M509" s="1">
        <f t="shared" si="548"/>
        <v>4.0403602063360848</v>
      </c>
      <c r="N509" s="1">
        <f t="shared" si="548"/>
        <v>4.040327876700113</v>
      </c>
      <c r="O509" s="1">
        <f t="shared" si="548"/>
        <v>4.0403579051300671</v>
      </c>
      <c r="P509" s="1">
        <f>SUM(P510:P511)</f>
        <v>4.0403344805435371</v>
      </c>
      <c r="Q509" s="1">
        <f>SUM(Q510:Q511)</f>
        <v>4.0404242704888915</v>
      </c>
      <c r="S509" s="3"/>
    </row>
    <row r="510" spans="1:19" x14ac:dyDescent="0.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3.3175215101392683</v>
      </c>
      <c r="G510" s="1">
        <f t="shared" ref="G510:K510" si="549">G504</f>
        <v>3.3046645777809034</v>
      </c>
      <c r="H510" s="1">
        <f t="shared" si="549"/>
        <v>4.7995316591944936</v>
      </c>
      <c r="I510" s="1">
        <f t="shared" si="549"/>
        <v>4.6781621919258942</v>
      </c>
      <c r="J510" s="1">
        <f t="shared" si="549"/>
        <v>4.542145589585207</v>
      </c>
      <c r="K510" s="1">
        <f t="shared" si="549"/>
        <v>4.413611962379167</v>
      </c>
      <c r="L510" s="1">
        <f t="shared" ref="L510:O510" si="550">L504</f>
        <v>4.2525369123300436</v>
      </c>
      <c r="M510" s="1">
        <f t="shared" si="550"/>
        <v>4.0403602063360848</v>
      </c>
      <c r="N510" s="1">
        <f t="shared" si="550"/>
        <v>4.040327876700113</v>
      </c>
      <c r="O510" s="1">
        <f t="shared" si="550"/>
        <v>4.0403579051300671</v>
      </c>
      <c r="P510" s="1">
        <f>P504</f>
        <v>4.0403344805435371</v>
      </c>
      <c r="Q510" s="1">
        <f>Q504</f>
        <v>4.0404242704888915</v>
      </c>
      <c r="S510" s="3"/>
    </row>
    <row r="511" spans="1:19" x14ac:dyDescent="0.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51">G505</f>
        <v>0</v>
      </c>
      <c r="H511" s="1">
        <f t="shared" si="551"/>
        <v>0</v>
      </c>
      <c r="I511" s="1">
        <f t="shared" si="551"/>
        <v>0</v>
      </c>
      <c r="J511" s="1">
        <f t="shared" si="551"/>
        <v>0</v>
      </c>
      <c r="K511" s="1">
        <f t="shared" si="551"/>
        <v>0</v>
      </c>
      <c r="L511" s="1">
        <f t="shared" ref="L511:O511" si="552">L505</f>
        <v>0</v>
      </c>
      <c r="M511" s="1">
        <f t="shared" si="552"/>
        <v>0</v>
      </c>
      <c r="N511" s="1">
        <f t="shared" si="552"/>
        <v>0</v>
      </c>
      <c r="O511" s="1">
        <f t="shared" si="552"/>
        <v>0</v>
      </c>
      <c r="P511" s="1">
        <f>P505</f>
        <v>0</v>
      </c>
      <c r="Q511" s="1">
        <f>Q505</f>
        <v>0</v>
      </c>
      <c r="S511" s="3"/>
    </row>
    <row r="512" spans="1:19" x14ac:dyDescent="0.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0.69267172793163589</v>
      </c>
      <c r="G512" s="1">
        <f t="shared" ref="G512:K512" si="553">SUM(G513:G517)</f>
        <v>1.7946118620362213</v>
      </c>
      <c r="H512" s="1">
        <f t="shared" si="553"/>
        <v>3.3954393117886692</v>
      </c>
      <c r="I512" s="1">
        <f t="shared" si="553"/>
        <v>4.1353441089918626</v>
      </c>
      <c r="J512" s="1">
        <f t="shared" si="553"/>
        <v>5.0111871161392711</v>
      </c>
      <c r="K512" s="1">
        <f t="shared" si="553"/>
        <v>5.7688435363648232</v>
      </c>
      <c r="L512" s="1">
        <f t="shared" ref="L512:O512" si="554">SUM(L513:L517)</f>
        <v>7.4671813048552664</v>
      </c>
      <c r="M512" s="1">
        <f t="shared" si="554"/>
        <v>9.3868134930781313</v>
      </c>
      <c r="N512" s="1">
        <f t="shared" si="554"/>
        <v>10.212050890561999</v>
      </c>
      <c r="O512" s="1">
        <f t="shared" si="554"/>
        <v>10.202677392130367</v>
      </c>
      <c r="P512" s="1">
        <f>SUM(P513:P517)</f>
        <v>10.141333302226842</v>
      </c>
      <c r="Q512" s="1">
        <f>SUM(Q513:Q517)</f>
        <v>10.26941219741818</v>
      </c>
      <c r="S512" s="3"/>
    </row>
    <row r="513" spans="1:19" x14ac:dyDescent="0.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0.69267172793163589</v>
      </c>
      <c r="G513" s="6">
        <f>'[1]Electricity and CHPs_IN'!C$42-G382</f>
        <v>1.7946118620362213</v>
      </c>
      <c r="H513" s="6">
        <f>'[1]Electricity and CHPs_IN'!D$42-H382</f>
        <v>3.3954393117886692</v>
      </c>
      <c r="I513" s="6">
        <f>'[1]Electricity and CHPs_IN'!E$42-I382</f>
        <v>4.1112166180888394</v>
      </c>
      <c r="J513" s="6">
        <f>'[1]Electricity and CHPs_IN'!F$42-J382</f>
        <v>4.9812606004197804</v>
      </c>
      <c r="K513" s="6">
        <f>'[1]Electricity and CHPs_IN'!G$42-K382</f>
        <v>5.7415028768520457</v>
      </c>
      <c r="L513" s="6">
        <f>'[1]Electricity and CHPs_IN'!H$42-L382</f>
        <v>7.4377140894516938</v>
      </c>
      <c r="M513" s="6">
        <f>'[1]Electricity and CHPs_IN'!I$42-M382</f>
        <v>9.3178842226141931</v>
      </c>
      <c r="N513" s="6">
        <f>'[1]Electricity and CHPs_IN'!J$42-N382</f>
        <v>10.151571972873906</v>
      </c>
      <c r="O513" s="6">
        <f>'[1]Electricity and CHPs_IN'!K$42-O382</f>
        <v>10.134764065453812</v>
      </c>
      <c r="P513" s="6">
        <f>'[1]Electricity and CHPs_IN'!L$42-P382</f>
        <v>10.083844187783516</v>
      </c>
      <c r="Q513" s="6">
        <f>'[1]Electricity and CHPs_IN'!M$42-Q382</f>
        <v>10.153602758593028</v>
      </c>
      <c r="S513" s="3"/>
    </row>
    <row r="514" spans="1:19" x14ac:dyDescent="0.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'[1]Electricity and CHPs_IN'!F$43-J383</f>
        <v>0</v>
      </c>
      <c r="K514" s="1">
        <f>'[1]Electricity and CHPs_IN'!G$43-K383</f>
        <v>4.4576625651690402E-4</v>
      </c>
      <c r="L514" s="1">
        <f>'[1]Electricity and CHPs_IN'!H$43-L383</f>
        <v>4.9467450100366831E-4</v>
      </c>
      <c r="M514" s="1">
        <f>'[1]Electricity and CHPs_IN'!I$43-M383</f>
        <v>1.2680717160062781E-3</v>
      </c>
      <c r="N514" s="1">
        <f>'[1]Electricity and CHPs_IN'!J$43-N383</f>
        <v>6.1348648092095952E-4</v>
      </c>
      <c r="O514" s="1">
        <f>'[1]Electricity and CHPs_IN'!K$43-O383</f>
        <v>1.1718481345943524E-3</v>
      </c>
      <c r="P514" s="1">
        <f>'[1]Electricity and CHPs_IN'!L$43-P383</f>
        <v>9.7291247074082808E-4</v>
      </c>
      <c r="Q514" s="1">
        <f>'[1]Electricity and CHPs_IN'!M$43-Q383</f>
        <v>2.2947578555887892E-3</v>
      </c>
      <c r="S514" s="3"/>
    </row>
    <row r="515" spans="1:19" x14ac:dyDescent="0.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5.0835656825381475E-3</v>
      </c>
      <c r="J515" s="1">
        <f>'[1]Electricity and CHPs_IN'!F$50-J384</f>
        <v>9.3398421858969221E-3</v>
      </c>
      <c r="K515" s="1">
        <f>'[1]Electricity and CHPs_IN'!G$50-K384</f>
        <v>9.2073878186355249E-3</v>
      </c>
      <c r="L515" s="1">
        <f>'[1]Electricity and CHPs_IN'!H$50-L384</f>
        <v>9.0628902249662371E-3</v>
      </c>
      <c r="M515" s="1">
        <f>'[1]Electricity and CHPs_IN'!I$50-M384</f>
        <v>2.104054393236391E-2</v>
      </c>
      <c r="N515" s="1">
        <f>'[1]Electricity and CHPs_IN'!J$50-N384</f>
        <v>1.8144685694405457E-2</v>
      </c>
      <c r="O515" s="1">
        <f>'[1]Electricity and CHPs_IN'!K$50-O384</f>
        <v>2.4184179001300835E-2</v>
      </c>
      <c r="P515" s="1">
        <f>'[1]Electricity and CHPs_IN'!L$50-P384</f>
        <v>1.6215952217128474E-2</v>
      </c>
      <c r="Q515" s="1">
        <f>'[1]Electricity and CHPs_IN'!M$50-Q384</f>
        <v>3.1566652915931012E-2</v>
      </c>
      <c r="S515" s="3"/>
    </row>
    <row r="516" spans="1:19" x14ac:dyDescent="0.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1.1393629057938393E-2</v>
      </c>
      <c r="J516" s="1">
        <f>'[1]Electricity and CHPs_IN'!F$53-J385</f>
        <v>1.4517930664172868E-2</v>
      </c>
      <c r="K516" s="1">
        <f>'[1]Electricity and CHPs_IN'!G$53-K385</f>
        <v>1.2921170170143785E-2</v>
      </c>
      <c r="L516" s="1">
        <f>'[1]Electricity and CHPs_IN'!H$53-L385</f>
        <v>1.3225289245199768E-2</v>
      </c>
      <c r="M516" s="1">
        <f>'[1]Electricity and CHPs_IN'!I$53-M385</f>
        <v>3.5516315934745052E-2</v>
      </c>
      <c r="N516" s="1">
        <f>'[1]Electricity and CHPs_IN'!J$53-N385</f>
        <v>3.2258912308857537E-2</v>
      </c>
      <c r="O516" s="1">
        <f>'[1]Electricity and CHPs_IN'!K$53-O385</f>
        <v>2.977876313296246E-2</v>
      </c>
      <c r="P516" s="1">
        <f>'[1]Electricity and CHPs_IN'!L$53-P385</f>
        <v>2.7765514338744992E-2</v>
      </c>
      <c r="Q516" s="1">
        <f>'[1]Electricity and CHPs_IN'!M$53-Q385</f>
        <v>5.430982644890392E-2</v>
      </c>
      <c r="S516" s="3"/>
    </row>
    <row r="517" spans="1:19" x14ac:dyDescent="0.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7.650296162546642E-3</v>
      </c>
      <c r="J517" s="1">
        <f>'[1]Electricity and CHPs_IN'!F$56-J386</f>
        <v>6.0687428694209426E-3</v>
      </c>
      <c r="K517" s="1">
        <f>'[1]Electricity and CHPs_IN'!G$56-K386</f>
        <v>4.7663352674808274E-3</v>
      </c>
      <c r="L517" s="1">
        <f>'[1]Electricity and CHPs_IN'!H$56-L386</f>
        <v>6.6843614324042675E-3</v>
      </c>
      <c r="M517" s="1">
        <f>'[1]Electricity and CHPs_IN'!I$56-M386</f>
        <v>1.1104338880823485E-2</v>
      </c>
      <c r="N517" s="1">
        <f>'[1]Electricity and CHPs_IN'!J$56-N386</f>
        <v>9.4618332039068092E-3</v>
      </c>
      <c r="O517" s="1">
        <f>'[1]Electricity and CHPs_IN'!K$56-O386</f>
        <v>1.2778536407696149E-2</v>
      </c>
      <c r="P517" s="1">
        <f>'[1]Electricity and CHPs_IN'!L$56-P386</f>
        <v>1.253473541671157E-2</v>
      </c>
      <c r="Q517" s="1">
        <f>'[1]Electricity and CHPs_IN'!M$56-Q386</f>
        <v>2.7638201604729677E-2</v>
      </c>
      <c r="S517" s="3"/>
    </row>
    <row r="518" spans="1:19" x14ac:dyDescent="0.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55">SUM(G519:G520)</f>
        <v>0</v>
      </c>
      <c r="H518" s="1">
        <f t="shared" si="555"/>
        <v>0</v>
      </c>
      <c r="I518" s="1">
        <f t="shared" si="555"/>
        <v>2.6012324581631613E-3</v>
      </c>
      <c r="J518" s="1">
        <f t="shared" si="555"/>
        <v>6.657038307938375E-3</v>
      </c>
      <c r="K518" s="1">
        <f t="shared" si="555"/>
        <v>8.7290650859759428E-3</v>
      </c>
      <c r="L518" s="1">
        <f t="shared" ref="L518:O518" si="556">SUM(L519:L520)</f>
        <v>8.3584907769299437E-3</v>
      </c>
      <c r="M518" s="1">
        <f t="shared" si="556"/>
        <v>2.2039928569287406E-2</v>
      </c>
      <c r="N518" s="1">
        <f t="shared" si="556"/>
        <v>1.898824086837126E-2</v>
      </c>
      <c r="O518" s="1">
        <f t="shared" si="556"/>
        <v>5.3326023415105409E-2</v>
      </c>
      <c r="P518" s="1">
        <f>SUM(P519:P520)</f>
        <v>5.1851394631575322E-2</v>
      </c>
      <c r="Q518" s="1">
        <f>SUM(Q519:Q520)</f>
        <v>6.9587226992711443E-2</v>
      </c>
      <c r="S518" s="3"/>
    </row>
    <row r="519" spans="1:19" x14ac:dyDescent="0.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1.5352483699755471E-3</v>
      </c>
      <c r="J519" s="1">
        <f>'[1]Electricity and CHPs_IN'!F$46-J399</f>
        <v>4.3254602475593599E-3</v>
      </c>
      <c r="K519" s="1">
        <f>'[1]Electricity and CHPs_IN'!G$46-K399</f>
        <v>6.4016784526332738E-3</v>
      </c>
      <c r="L519" s="1">
        <f>'[1]Electricity and CHPs_IN'!H$46-L399</f>
        <v>5.7438242065297445E-3</v>
      </c>
      <c r="M519" s="1">
        <f>'[1]Electricity and CHPs_IN'!I$46-M399</f>
        <v>1.5700142282248662E-2</v>
      </c>
      <c r="N519" s="1">
        <f>'[1]Electricity and CHPs_IN'!J$46-N399</f>
        <v>1.3157916978686429E-2</v>
      </c>
      <c r="O519" s="1">
        <f>'[1]Electricity and CHPs_IN'!K$46-O399</f>
        <v>3.9091346050823275E-2</v>
      </c>
      <c r="P519" s="1">
        <f>'[1]Electricity and CHPs_IN'!L$46-P399</f>
        <v>4.1096835627755166E-2</v>
      </c>
      <c r="Q519" s="1">
        <f>'[1]Electricity and CHPs_IN'!M$46-Q399</f>
        <v>4.9044322465888676E-2</v>
      </c>
      <c r="S519" s="3"/>
    </row>
    <row r="520" spans="1:19" x14ac:dyDescent="0.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1.065984088187614E-3</v>
      </c>
      <c r="J520" s="1">
        <f>'[1]Electricity and CHPs_IN'!F$57-J400</f>
        <v>2.3315780603790155E-3</v>
      </c>
      <c r="K520" s="1">
        <f>'[1]Electricity and CHPs_IN'!G$57-K400</f>
        <v>2.3273866333426685E-3</v>
      </c>
      <c r="L520" s="1">
        <f>'[1]Electricity and CHPs_IN'!H$57-L400</f>
        <v>2.6146665704001983E-3</v>
      </c>
      <c r="M520" s="1">
        <f>'[1]Electricity and CHPs_IN'!I$57-M400</f>
        <v>6.3397862870387435E-3</v>
      </c>
      <c r="N520" s="1">
        <f>'[1]Electricity and CHPs_IN'!J$57-N400</f>
        <v>5.8303238896848311E-3</v>
      </c>
      <c r="O520" s="1">
        <f>'[1]Electricity and CHPs_IN'!K$57-O400</f>
        <v>1.4234677364282137E-2</v>
      </c>
      <c r="P520" s="1">
        <f>'[1]Electricity and CHPs_IN'!L$57-P400</f>
        <v>1.0754559003820156E-2</v>
      </c>
      <c r="Q520" s="1">
        <f>'[1]Electricity and CHPs_IN'!M$57-Q400</f>
        <v>2.0542904526822767E-2</v>
      </c>
      <c r="S520" s="3"/>
    </row>
    <row r="521" spans="1:19" x14ac:dyDescent="0.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M521" s="12" t="s">
        <v>292</v>
      </c>
      <c r="N521" s="12" t="s">
        <v>292</v>
      </c>
      <c r="O521" s="12" t="s">
        <v>292</v>
      </c>
      <c r="P521" s="12" t="s">
        <v>292</v>
      </c>
      <c r="Q521" s="12" t="s">
        <v>292</v>
      </c>
      <c r="S521" s="3"/>
    </row>
    <row r="522" spans="1:19" x14ac:dyDescent="0.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57">IFERROR(F65/F293,"-")</f>
        <v>0.32978917097101124</v>
      </c>
      <c r="G522" s="13">
        <f t="shared" si="557"/>
        <v>0.32669871895321739</v>
      </c>
      <c r="H522" s="13">
        <f t="shared" si="557"/>
        <v>0.32598920124915537</v>
      </c>
      <c r="I522" s="13">
        <f t="shared" si="557"/>
        <v>0.32988560658170474</v>
      </c>
      <c r="J522" s="13">
        <f t="shared" si="557"/>
        <v>0.3302484457879567</v>
      </c>
      <c r="K522" s="13">
        <f t="shared" si="557"/>
        <v>0.33157933201783224</v>
      </c>
      <c r="L522" s="13">
        <f t="shared" ref="L522:O522" si="558">IFERROR(L65/L293,"-")</f>
        <v>0.25246936741849552</v>
      </c>
      <c r="M522" s="13">
        <f t="shared" si="558"/>
        <v>0.27041528100324635</v>
      </c>
      <c r="N522" s="13">
        <f t="shared" si="558"/>
        <v>0.26792267156126359</v>
      </c>
      <c r="O522" s="13">
        <f t="shared" si="558"/>
        <v>0.26750000017572695</v>
      </c>
      <c r="P522" s="13">
        <f>IFERROR(P65/P293,"-")</f>
        <v>0.2642274025454846</v>
      </c>
      <c r="Q522" s="13">
        <f>IFERROR(Q65/Q293,"-")</f>
        <v>0.27364297094175594</v>
      </c>
      <c r="S522" s="3"/>
    </row>
    <row r="523" spans="1:19" x14ac:dyDescent="0.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59">IFERROR(F67/F295,"-")</f>
        <v>1</v>
      </c>
      <c r="G523" s="13">
        <f t="shared" si="559"/>
        <v>1</v>
      </c>
      <c r="H523" s="13">
        <f t="shared" si="559"/>
        <v>1</v>
      </c>
      <c r="I523" s="13">
        <f t="shared" si="559"/>
        <v>1</v>
      </c>
      <c r="J523" s="13">
        <f t="shared" si="559"/>
        <v>1</v>
      </c>
      <c r="K523" s="13">
        <f t="shared" si="559"/>
        <v>1</v>
      </c>
      <c r="L523" s="13">
        <f t="shared" ref="L523:O523" si="560">IFERROR(L67/L295,"-")</f>
        <v>1</v>
      </c>
      <c r="M523" s="13">
        <f t="shared" si="560"/>
        <v>1</v>
      </c>
      <c r="N523" s="13">
        <f t="shared" si="560"/>
        <v>1</v>
      </c>
      <c r="O523" s="13">
        <f t="shared" si="560"/>
        <v>1</v>
      </c>
      <c r="P523" s="13">
        <f t="shared" ref="P523:Q525" si="561">IFERROR(P67/P295,"-")</f>
        <v>1</v>
      </c>
      <c r="Q523" s="13">
        <f t="shared" si="561"/>
        <v>1</v>
      </c>
      <c r="S523" s="3"/>
    </row>
    <row r="524" spans="1:19" x14ac:dyDescent="0.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59"/>
        <v>1</v>
      </c>
      <c r="G524" s="13">
        <f t="shared" si="559"/>
        <v>1</v>
      </c>
      <c r="H524" s="13">
        <f t="shared" si="559"/>
        <v>1</v>
      </c>
      <c r="I524" s="13">
        <f t="shared" si="559"/>
        <v>1</v>
      </c>
      <c r="J524" s="13">
        <f t="shared" si="559"/>
        <v>1</v>
      </c>
      <c r="K524" s="13">
        <f t="shared" si="559"/>
        <v>1</v>
      </c>
      <c r="L524" s="13">
        <f t="shared" ref="L524:O524" si="562">IFERROR(L68/L296,"-")</f>
        <v>1</v>
      </c>
      <c r="M524" s="13">
        <f t="shared" si="562"/>
        <v>1</v>
      </c>
      <c r="N524" s="13">
        <f t="shared" si="562"/>
        <v>1</v>
      </c>
      <c r="O524" s="13">
        <f t="shared" si="562"/>
        <v>1</v>
      </c>
      <c r="P524" s="13">
        <f t="shared" si="561"/>
        <v>1</v>
      </c>
      <c r="Q524" s="13">
        <f t="shared" si="561"/>
        <v>1</v>
      </c>
      <c r="S524" s="3"/>
    </row>
    <row r="525" spans="1:19" x14ac:dyDescent="0.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59"/>
        <v>0.79999971650008783</v>
      </c>
      <c r="G525" s="13">
        <f t="shared" si="559"/>
        <v>0.79999984140215241</v>
      </c>
      <c r="H525" s="13">
        <f t="shared" si="559"/>
        <v>0.79999992211980164</v>
      </c>
      <c r="I525" s="13">
        <f t="shared" si="559"/>
        <v>0.79999994273426112</v>
      </c>
      <c r="J525" s="13">
        <f t="shared" si="559"/>
        <v>0.79999985464706957</v>
      </c>
      <c r="K525" s="13">
        <f t="shared" si="559"/>
        <v>0.80000005651721839</v>
      </c>
      <c r="L525" s="13">
        <f t="shared" ref="L525:O525" si="563">IFERROR(L69/L297,"-")</f>
        <v>0.8000001049886809</v>
      </c>
      <c r="M525" s="13">
        <f t="shared" si="563"/>
        <v>0.80000006190737294</v>
      </c>
      <c r="N525" s="13">
        <f t="shared" si="563"/>
        <v>0.80000004338262809</v>
      </c>
      <c r="O525" s="13">
        <f t="shared" si="563"/>
        <v>0.8000000765373162</v>
      </c>
      <c r="P525" s="13">
        <f t="shared" si="561"/>
        <v>0.80000008525224275</v>
      </c>
      <c r="Q525" s="13">
        <f t="shared" si="561"/>
        <v>0.80000011181342801</v>
      </c>
      <c r="S525" s="3"/>
    </row>
    <row r="526" spans="1:19" x14ac:dyDescent="0.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0.32963346519203729</v>
      </c>
      <c r="G526" s="13">
        <f t="shared" ref="G526:K526" si="564">IFERROR(G71/G299,"-")</f>
        <v>0.16829982715257108</v>
      </c>
      <c r="H526" s="13">
        <f t="shared" si="564"/>
        <v>0.2951141175248615</v>
      </c>
      <c r="I526" s="13">
        <f t="shared" si="564"/>
        <v>0.30761382873584625</v>
      </c>
      <c r="J526" s="13">
        <f t="shared" si="564"/>
        <v>0.30322235270485642</v>
      </c>
      <c r="K526" s="13">
        <f t="shared" si="564"/>
        <v>0.31506408778994111</v>
      </c>
      <c r="L526" s="13">
        <f t="shared" ref="L526:O526" si="565">IFERROR(L71/L299,"-")</f>
        <v>0.32283453459782019</v>
      </c>
      <c r="M526" s="13">
        <f t="shared" si="565"/>
        <v>0.32024072644724322</v>
      </c>
      <c r="N526" s="13">
        <f t="shared" si="565"/>
        <v>0.31954226465231939</v>
      </c>
      <c r="O526" s="13">
        <f t="shared" si="565"/>
        <v>0.32161223586532095</v>
      </c>
      <c r="P526" s="13">
        <f>IFERROR(P71/P299,"-")</f>
        <v>0.32011115731650269</v>
      </c>
      <c r="Q526" s="13">
        <f>IFERROR(Q71/Q299,"-")</f>
        <v>0.31899871849133354</v>
      </c>
      <c r="S526" s="3"/>
    </row>
    <row r="527" spans="1:19" x14ac:dyDescent="0.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8.2504148672176883E-2</v>
      </c>
      <c r="G527" s="13">
        <f t="shared" ref="G527:K527" si="566">IFERROR(G72/(G300+G413),"-")</f>
        <v>7.1181095887473567E-2</v>
      </c>
      <c r="H527" s="13">
        <f t="shared" si="566"/>
        <v>9.6317230256850267E-2</v>
      </c>
      <c r="I527" s="13">
        <f t="shared" si="566"/>
        <v>0.10422510705950964</v>
      </c>
      <c r="J527" s="13">
        <f t="shared" si="566"/>
        <v>0.1044199641828695</v>
      </c>
      <c r="K527" s="13">
        <f t="shared" si="566"/>
        <v>0.10820835278754531</v>
      </c>
      <c r="L527" s="13">
        <f t="shared" ref="L527:O527" si="567">IFERROR(L72/(L300+L413),"-")</f>
        <v>0.10639320705621086</v>
      </c>
      <c r="M527" s="13">
        <f t="shared" si="567"/>
        <v>0.10080121014128472</v>
      </c>
      <c r="N527" s="13">
        <f t="shared" si="567"/>
        <v>0.1036963307436915</v>
      </c>
      <c r="O527" s="13">
        <f t="shared" si="567"/>
        <v>0.10162387221349188</v>
      </c>
      <c r="P527" s="13">
        <f>IFERROR(P72/(P300+P413),"-")</f>
        <v>0.10191570830691238</v>
      </c>
      <c r="Q527" s="13">
        <f>IFERROR(Q72/(Q300+Q413),"-")</f>
        <v>9.6834763910812291E-2</v>
      </c>
      <c r="S527" s="3"/>
    </row>
    <row r="528" spans="1:19" x14ac:dyDescent="0.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0.23850449554269651</v>
      </c>
      <c r="G528" s="13">
        <f t="shared" ref="G528:K528" si="568">IFERROR(G73/(G301+G465),"-")</f>
        <v>0.24666435355800057</v>
      </c>
      <c r="H528" s="13">
        <f t="shared" si="568"/>
        <v>0.22463820378922966</v>
      </c>
      <c r="I528" s="13">
        <f t="shared" si="568"/>
        <v>0.26262801929962681</v>
      </c>
      <c r="J528" s="13">
        <f t="shared" si="568"/>
        <v>0.26309451956647556</v>
      </c>
      <c r="K528" s="13">
        <f t="shared" si="568"/>
        <v>0.26115526818564833</v>
      </c>
      <c r="L528" s="13">
        <f t="shared" ref="L528:O528" si="569">IFERROR(L73/(L301+L465),"-")</f>
        <v>0.25852085805576946</v>
      </c>
      <c r="M528" s="13">
        <f t="shared" si="569"/>
        <v>0.2539206995060681</v>
      </c>
      <c r="N528" s="13">
        <f t="shared" si="569"/>
        <v>0.25312473836506816</v>
      </c>
      <c r="O528" s="13">
        <f t="shared" si="569"/>
        <v>0.25765131347288828</v>
      </c>
      <c r="P528" s="13">
        <f>IFERROR(P73/(P301+P465),"-")</f>
        <v>0.25790831562098754</v>
      </c>
      <c r="Q528" s="13">
        <f>IFERROR(Q73/(Q301+Q465),"-")</f>
        <v>0.25193312225163733</v>
      </c>
      <c r="S528" s="3"/>
    </row>
    <row r="529" spans="1:19" x14ac:dyDescent="0.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70">IFERROR(G83/G311,"-")</f>
        <v>-</v>
      </c>
      <c r="H529" s="13" t="str">
        <f t="shared" si="570"/>
        <v>-</v>
      </c>
      <c r="I529" s="13" t="str">
        <f t="shared" si="570"/>
        <v>-</v>
      </c>
      <c r="J529" s="13" t="str">
        <f t="shared" si="570"/>
        <v>-</v>
      </c>
      <c r="K529" s="13">
        <f t="shared" si="570"/>
        <v>0.59464370037962833</v>
      </c>
      <c r="L529" s="13">
        <f t="shared" ref="L529:O529" si="571">IFERROR(L83/L311,"-")</f>
        <v>0.62426825048806978</v>
      </c>
      <c r="M529" s="13">
        <f t="shared" si="571"/>
        <v>0.6275531183279236</v>
      </c>
      <c r="N529" s="13">
        <f t="shared" si="571"/>
        <v>0.62342659134062905</v>
      </c>
      <c r="O529" s="13">
        <f t="shared" si="571"/>
        <v>0.62350665114633841</v>
      </c>
      <c r="P529" s="13">
        <f t="shared" ref="P529:Q531" si="572">IFERROR(P83/P311,"-")</f>
        <v>0.62345972036804831</v>
      </c>
      <c r="Q529" s="13">
        <f t="shared" si="572"/>
        <v>0.62336020582624441</v>
      </c>
      <c r="S529" s="3"/>
    </row>
    <row r="530" spans="1:19" x14ac:dyDescent="0.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73">IFERROR(G84/G312,"-")</f>
        <v>-</v>
      </c>
      <c r="H530" s="13" t="str">
        <f t="shared" si="573"/>
        <v>-</v>
      </c>
      <c r="I530" s="13" t="str">
        <f t="shared" si="573"/>
        <v>-</v>
      </c>
      <c r="J530" s="13">
        <f t="shared" si="573"/>
        <v>0.39953621411925699</v>
      </c>
      <c r="K530" s="13">
        <f t="shared" si="573"/>
        <v>0.38349693556521486</v>
      </c>
      <c r="L530" s="13">
        <f t="shared" ref="L530:O530" si="574">IFERROR(L84/L312,"-")</f>
        <v>0.42423075122741871</v>
      </c>
      <c r="M530" s="13">
        <f t="shared" si="574"/>
        <v>0.43472012274777394</v>
      </c>
      <c r="N530" s="13">
        <f t="shared" si="574"/>
        <v>0.44105996244005313</v>
      </c>
      <c r="O530" s="13">
        <f t="shared" si="574"/>
        <v>0.44134455045967746</v>
      </c>
      <c r="P530" s="13">
        <f t="shared" si="572"/>
        <v>0.43680214663445244</v>
      </c>
      <c r="Q530" s="13">
        <f t="shared" si="572"/>
        <v>0.44140321207810446</v>
      </c>
      <c r="S530" s="3"/>
    </row>
    <row r="531" spans="1:19" x14ac:dyDescent="0.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75">IFERROR(G85/G313,"-")</f>
        <v>-</v>
      </c>
      <c r="H531" s="13" t="str">
        <f t="shared" si="575"/>
        <v>-</v>
      </c>
      <c r="I531" s="13" t="str">
        <f t="shared" si="575"/>
        <v>-</v>
      </c>
      <c r="J531" s="13" t="str">
        <f t="shared" si="575"/>
        <v>-</v>
      </c>
      <c r="K531" s="13">
        <f t="shared" si="575"/>
        <v>0</v>
      </c>
      <c r="L531" s="13">
        <f t="shared" ref="L531:O531" si="576">IFERROR(L85/L313,"-")</f>
        <v>0</v>
      </c>
      <c r="M531" s="13">
        <f t="shared" si="576"/>
        <v>0</v>
      </c>
      <c r="N531" s="13">
        <f t="shared" si="576"/>
        <v>0</v>
      </c>
      <c r="O531" s="13">
        <f t="shared" si="576"/>
        <v>0</v>
      </c>
      <c r="P531" s="13">
        <f t="shared" si="572"/>
        <v>0</v>
      </c>
      <c r="Q531" s="13">
        <f t="shared" si="572"/>
        <v>0</v>
      </c>
      <c r="S531" s="3"/>
    </row>
    <row r="532" spans="1:19" x14ac:dyDescent="0.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0.2624789622403933</v>
      </c>
      <c r="G532" s="13">
        <f t="shared" ref="G532:K532" si="577">IFERROR(G86/SUM(G314,G419),"-")</f>
        <v>0.21243689663177676</v>
      </c>
      <c r="H532" s="13">
        <f t="shared" si="577"/>
        <v>0.24622364480019804</v>
      </c>
      <c r="I532" s="13">
        <f t="shared" si="577"/>
        <v>0.24651441868710211</v>
      </c>
      <c r="J532" s="13">
        <f t="shared" si="577"/>
        <v>0.24771298490677701</v>
      </c>
      <c r="K532" s="13">
        <f t="shared" si="577"/>
        <v>0.24874126813644956</v>
      </c>
      <c r="L532" s="13">
        <f t="shared" ref="L532:O532" si="578">IFERROR(L86/SUM(L314,L419),"-")</f>
        <v>0.2496921969419392</v>
      </c>
      <c r="M532" s="13">
        <f t="shared" si="578"/>
        <v>0.24930000645466974</v>
      </c>
      <c r="N532" s="13">
        <f t="shared" si="578"/>
        <v>0.25063093389681823</v>
      </c>
      <c r="O532" s="13">
        <f t="shared" si="578"/>
        <v>0.24169373445226391</v>
      </c>
      <c r="P532" s="13">
        <f>IFERROR(P86/SUM(P314,P419),"-")</f>
        <v>0.22385442308244879</v>
      </c>
      <c r="Q532" s="13">
        <f>IFERROR(Q86/SUM(Q314,Q419),"-")</f>
        <v>0.21231145744241434</v>
      </c>
      <c r="S532" s="3"/>
    </row>
    <row r="533" spans="1:19" x14ac:dyDescent="0.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79">IFERROR(G87/SUM(G315,G420),"-")</f>
        <v>-</v>
      </c>
      <c r="H533" s="13" t="str">
        <f t="shared" si="579"/>
        <v>-</v>
      </c>
      <c r="I533" s="13" t="str">
        <f t="shared" si="579"/>
        <v>-</v>
      </c>
      <c r="J533" s="13" t="str">
        <f t="shared" si="579"/>
        <v>-</v>
      </c>
      <c r="K533" s="13">
        <f t="shared" si="579"/>
        <v>0.40000000000000041</v>
      </c>
      <c r="L533" s="13">
        <f t="shared" ref="L533:O533" si="580">IFERROR(L87/SUM(L315,L420),"-")</f>
        <v>0.40000000000000024</v>
      </c>
      <c r="M533" s="13">
        <f t="shared" si="580"/>
        <v>0.39999999999999974</v>
      </c>
      <c r="N533" s="13">
        <f t="shared" si="580"/>
        <v>0.4</v>
      </c>
      <c r="O533" s="13">
        <f t="shared" si="580"/>
        <v>0.3999999999999998</v>
      </c>
      <c r="P533" s="13">
        <f>IFERROR(P87/SUM(P315,P420),"-")</f>
        <v>0.39999999999999991</v>
      </c>
      <c r="Q533" s="13">
        <f>IFERROR(Q87/SUM(Q315,Q420),"-")</f>
        <v>0.4</v>
      </c>
      <c r="S533" s="3"/>
    </row>
    <row r="534" spans="1:19" x14ac:dyDescent="0.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0.34869395232147909</v>
      </c>
      <c r="G534" s="13">
        <f t="shared" ref="G534:K534" si="581">IFERROR(G88/SUM(G316,G471),"-'")</f>
        <v>0.35194682279297346</v>
      </c>
      <c r="H534" s="13">
        <f t="shared" si="581"/>
        <v>0.35040466216185789</v>
      </c>
      <c r="I534" s="13">
        <f t="shared" si="581"/>
        <v>0.35989796174471367</v>
      </c>
      <c r="J534" s="13">
        <f t="shared" si="581"/>
        <v>0.35990756364548898</v>
      </c>
      <c r="K534" s="13">
        <f t="shared" si="581"/>
        <v>0.35626050145204202</v>
      </c>
      <c r="L534" s="13">
        <f t="shared" ref="L534:O534" si="582">IFERROR(L88/SUM(L316,L471),"-'")</f>
        <v>0.3536525464235149</v>
      </c>
      <c r="M534" s="13">
        <f t="shared" si="582"/>
        <v>0.3501329617290308</v>
      </c>
      <c r="N534" s="13">
        <f t="shared" si="582"/>
        <v>0.3475121563733149</v>
      </c>
      <c r="O534" s="13">
        <f t="shared" si="582"/>
        <v>0.3455911337007318</v>
      </c>
      <c r="P534" s="13">
        <f>IFERROR(P88/SUM(P316,P471),"-'")</f>
        <v>0.3495855915869982</v>
      </c>
      <c r="Q534" s="13">
        <f>IFERROR(Q88/SUM(Q316,Q471),"-'")</f>
        <v>0.34730527570123687</v>
      </c>
      <c r="S534" s="3"/>
    </row>
    <row r="535" spans="1:19" x14ac:dyDescent="0.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83">IFERROR(F89/SUM(F317,F472),"-")</f>
        <v>-</v>
      </c>
      <c r="G535" s="13" t="str">
        <f t="shared" ref="G535:K535" si="584">IFERROR(G89/SUM(G317,G472),"-")</f>
        <v>-</v>
      </c>
      <c r="H535" s="13" t="str">
        <f t="shared" si="584"/>
        <v>-</v>
      </c>
      <c r="I535" s="13" t="str">
        <f t="shared" si="584"/>
        <v>-</v>
      </c>
      <c r="J535" s="13" t="str">
        <f t="shared" si="584"/>
        <v>-</v>
      </c>
      <c r="K535" s="13">
        <f t="shared" si="584"/>
        <v>0</v>
      </c>
      <c r="L535" s="13">
        <f t="shared" ref="L535:O535" si="585">IFERROR(L89/SUM(L317,L472),"-")</f>
        <v>0</v>
      </c>
      <c r="M535" s="13">
        <f t="shared" si="585"/>
        <v>0</v>
      </c>
      <c r="N535" s="13">
        <f t="shared" si="585"/>
        <v>0</v>
      </c>
      <c r="O535" s="13">
        <f t="shared" si="585"/>
        <v>0</v>
      </c>
      <c r="P535" s="13">
        <f t="shared" ref="P535:Q543" si="586">IFERROR(P89/SUM(P317,P472),"-")</f>
        <v>0</v>
      </c>
      <c r="Q535" s="13">
        <f t="shared" si="586"/>
        <v>0</v>
      </c>
      <c r="S535" s="3"/>
    </row>
    <row r="536" spans="1:19" x14ac:dyDescent="0.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83"/>
        <v>-</v>
      </c>
      <c r="G536" s="13" t="str">
        <f t="shared" ref="G536:K536" si="587">IFERROR(G90/SUM(G318,G473),"-")</f>
        <v>-</v>
      </c>
      <c r="H536" s="13" t="str">
        <f t="shared" si="587"/>
        <v>-</v>
      </c>
      <c r="I536" s="13" t="str">
        <f t="shared" si="587"/>
        <v>-</v>
      </c>
      <c r="J536" s="13" t="str">
        <f t="shared" si="587"/>
        <v>-</v>
      </c>
      <c r="K536" s="13" t="str">
        <f t="shared" si="587"/>
        <v>-</v>
      </c>
      <c r="L536" s="13" t="str">
        <f t="shared" ref="L536:O536" si="588">IFERROR(L90/SUM(L318,L473),"-")</f>
        <v>-</v>
      </c>
      <c r="M536" s="13" t="str">
        <f t="shared" si="588"/>
        <v>-</v>
      </c>
      <c r="N536" s="13" t="str">
        <f t="shared" si="588"/>
        <v>-</v>
      </c>
      <c r="O536" s="13" t="str">
        <f t="shared" si="588"/>
        <v>-</v>
      </c>
      <c r="P536" s="13" t="str">
        <f t="shared" si="586"/>
        <v>-</v>
      </c>
      <c r="Q536" s="13" t="str">
        <f t="shared" si="586"/>
        <v>-</v>
      </c>
      <c r="S536" s="3"/>
    </row>
    <row r="537" spans="1:19" x14ac:dyDescent="0.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83"/>
        <v>0.21402514150176272</v>
      </c>
      <c r="G537" s="13">
        <f t="shared" ref="G537:K537" si="589">IFERROR(G91/SUM(G319,G474),"-")</f>
        <v>0.27077774879251959</v>
      </c>
      <c r="H537" s="13">
        <f t="shared" si="589"/>
        <v>0.24635070126801231</v>
      </c>
      <c r="I537" s="13">
        <f t="shared" si="589"/>
        <v>0.25900698053221544</v>
      </c>
      <c r="J537" s="13">
        <f t="shared" si="589"/>
        <v>0.25054693123443089</v>
      </c>
      <c r="K537" s="13">
        <f t="shared" si="589"/>
        <v>0.25791067797018369</v>
      </c>
      <c r="L537" s="13">
        <f t="shared" ref="L537:O537" si="590">IFERROR(L91/SUM(L319,L474),"-")</f>
        <v>0.26550195202892646</v>
      </c>
      <c r="M537" s="13">
        <f t="shared" si="590"/>
        <v>0.25481976902209991</v>
      </c>
      <c r="N537" s="13">
        <f t="shared" si="590"/>
        <v>0.26902468192932361</v>
      </c>
      <c r="O537" s="13">
        <f t="shared" si="590"/>
        <v>0.2516583754605084</v>
      </c>
      <c r="P537" s="13">
        <f t="shared" si="586"/>
        <v>0.28258855091689422</v>
      </c>
      <c r="Q537" s="13">
        <f t="shared" si="586"/>
        <v>0.27705873256016295</v>
      </c>
      <c r="S537" s="3"/>
    </row>
    <row r="538" spans="1:19" x14ac:dyDescent="0.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83"/>
        <v>-</v>
      </c>
      <c r="G538" s="13" t="str">
        <f t="shared" ref="G538:K538" si="591">IFERROR(G92/SUM(G320,G475),"-")</f>
        <v>-</v>
      </c>
      <c r="H538" s="13" t="str">
        <f t="shared" si="591"/>
        <v>-</v>
      </c>
      <c r="I538" s="13">
        <f t="shared" si="591"/>
        <v>0.42</v>
      </c>
      <c r="J538" s="13">
        <f t="shared" si="591"/>
        <v>0.4300000000000001</v>
      </c>
      <c r="K538" s="13">
        <f t="shared" si="591"/>
        <v>0.43999999999999995</v>
      </c>
      <c r="L538" s="13">
        <f t="shared" ref="L538:O538" si="592">IFERROR(L92/SUM(L320,L475),"-")</f>
        <v>0.44500000000000012</v>
      </c>
      <c r="M538" s="13">
        <f t="shared" si="592"/>
        <v>0.44999999999999996</v>
      </c>
      <c r="N538" s="13">
        <f t="shared" si="592"/>
        <v>0.45000000000000012</v>
      </c>
      <c r="O538" s="13">
        <f t="shared" si="592"/>
        <v>0.45</v>
      </c>
      <c r="P538" s="13">
        <f t="shared" si="586"/>
        <v>0.45000000000000018</v>
      </c>
      <c r="Q538" s="13">
        <f t="shared" si="586"/>
        <v>0.44999999999999951</v>
      </c>
      <c r="S538" s="3"/>
    </row>
    <row r="539" spans="1:19" x14ac:dyDescent="0.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83"/>
        <v>0.25020630791639054</v>
      </c>
      <c r="G539" s="13">
        <f t="shared" ref="G539:K539" si="593">IFERROR(G93/SUM(G321,G476),"-")</f>
        <v>0.29184648302761207</v>
      </c>
      <c r="H539" s="13">
        <f t="shared" si="593"/>
        <v>0.29158747865751</v>
      </c>
      <c r="I539" s="13">
        <f t="shared" si="593"/>
        <v>0.29883358230179174</v>
      </c>
      <c r="J539" s="13">
        <f t="shared" si="593"/>
        <v>0.3008932937840984</v>
      </c>
      <c r="K539" s="13">
        <f t="shared" si="593"/>
        <v>0.30243327204352777</v>
      </c>
      <c r="L539" s="13">
        <f t="shared" ref="L539:O539" si="594">IFERROR(L93/SUM(L321,L476),"-")</f>
        <v>0.30499339646749996</v>
      </c>
      <c r="M539" s="13">
        <f t="shared" si="594"/>
        <v>0.30736925276744759</v>
      </c>
      <c r="N539" s="13">
        <f t="shared" si="594"/>
        <v>0.30777079861496787</v>
      </c>
      <c r="O539" s="13">
        <f t="shared" si="594"/>
        <v>0.30693145127087218</v>
      </c>
      <c r="P539" s="13">
        <f t="shared" si="586"/>
        <v>0.3075420281993409</v>
      </c>
      <c r="Q539" s="13">
        <f t="shared" si="586"/>
        <v>0.3058399269242813</v>
      </c>
      <c r="S539" s="3"/>
    </row>
    <row r="540" spans="1:19" x14ac:dyDescent="0.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83"/>
        <v>-</v>
      </c>
      <c r="G540" s="13" t="str">
        <f t="shared" ref="G540:K540" si="595">IFERROR(G94/SUM(G322,G477),"-")</f>
        <v>-</v>
      </c>
      <c r="H540" s="13" t="str">
        <f t="shared" si="595"/>
        <v>-</v>
      </c>
      <c r="I540" s="13">
        <f t="shared" si="595"/>
        <v>0.41999999999999987</v>
      </c>
      <c r="J540" s="13">
        <f t="shared" si="595"/>
        <v>0.42999999999999966</v>
      </c>
      <c r="K540" s="13">
        <f t="shared" si="595"/>
        <v>0.43999999999999972</v>
      </c>
      <c r="L540" s="13">
        <f t="shared" ref="L540:O540" si="596">IFERROR(L94/SUM(L322,L477),"-")</f>
        <v>0.44499999999999984</v>
      </c>
      <c r="M540" s="13">
        <f t="shared" si="596"/>
        <v>0.4499999999999999</v>
      </c>
      <c r="N540" s="13">
        <f t="shared" si="596"/>
        <v>0.44999999999999979</v>
      </c>
      <c r="O540" s="13">
        <f t="shared" si="596"/>
        <v>0.45000000000000012</v>
      </c>
      <c r="P540" s="13">
        <f t="shared" si="586"/>
        <v>0.45000000000000012</v>
      </c>
      <c r="Q540" s="13">
        <f t="shared" si="586"/>
        <v>0.45000000000000007</v>
      </c>
      <c r="S540" s="3"/>
    </row>
    <row r="541" spans="1:19" x14ac:dyDescent="0.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83"/>
        <v>0.36265442742636184</v>
      </c>
      <c r="G541" s="13">
        <f t="shared" ref="G541:K541" si="597">IFERROR(G95/SUM(G323,G478),"-")</f>
        <v>0.3630702260978298</v>
      </c>
      <c r="H541" s="13">
        <f t="shared" si="597"/>
        <v>0.36350786359705844</v>
      </c>
      <c r="I541" s="13">
        <f t="shared" si="597"/>
        <v>0.36439304577958764</v>
      </c>
      <c r="J541" s="13">
        <f t="shared" si="597"/>
        <v>0.36961345355437797</v>
      </c>
      <c r="K541" s="13">
        <f t="shared" si="597"/>
        <v>0.37443944483510039</v>
      </c>
      <c r="L541" s="13">
        <f t="shared" ref="L541:O541" si="598">IFERROR(L95/SUM(L323,L478),"-")</f>
        <v>0.37838674561161045</v>
      </c>
      <c r="M541" s="13">
        <f t="shared" si="598"/>
        <v>0.38389901088802642</v>
      </c>
      <c r="N541" s="13">
        <f t="shared" si="598"/>
        <v>0.38413821779691815</v>
      </c>
      <c r="O541" s="13">
        <f t="shared" si="598"/>
        <v>0.38319455291917864</v>
      </c>
      <c r="P541" s="13">
        <f t="shared" si="586"/>
        <v>0.38312376950748722</v>
      </c>
      <c r="Q541" s="13">
        <f t="shared" si="586"/>
        <v>0.38172787840944672</v>
      </c>
      <c r="S541" s="3"/>
    </row>
    <row r="542" spans="1:19" x14ac:dyDescent="0.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83"/>
        <v>0.35716959673936827</v>
      </c>
      <c r="G542" s="13">
        <f t="shared" ref="G542:K542" si="599">IFERROR(G96/SUM(G324,G479),"-")</f>
        <v>0.359999395910298</v>
      </c>
      <c r="H542" s="13">
        <f t="shared" si="599"/>
        <v>0.35952597175232143</v>
      </c>
      <c r="I542" s="13">
        <f t="shared" si="599"/>
        <v>0.35914161655200966</v>
      </c>
      <c r="J542" s="13">
        <f t="shared" si="599"/>
        <v>0.35867360767865158</v>
      </c>
      <c r="K542" s="13">
        <f t="shared" si="599"/>
        <v>0.35724402700756719</v>
      </c>
      <c r="L542" s="13">
        <f t="shared" ref="L542:O542" si="600">IFERROR(L96/SUM(L324,L479),"-")</f>
        <v>0.35692931212870699</v>
      </c>
      <c r="M542" s="13">
        <f t="shared" si="600"/>
        <v>0.35785848111437035</v>
      </c>
      <c r="N542" s="13">
        <f t="shared" si="600"/>
        <v>0.35746373329911846</v>
      </c>
      <c r="O542" s="13">
        <f t="shared" si="600"/>
        <v>0.35712312508041916</v>
      </c>
      <c r="P542" s="13">
        <f t="shared" si="586"/>
        <v>0.35781724519191827</v>
      </c>
      <c r="Q542" s="13">
        <f t="shared" si="586"/>
        <v>0.35763205387786118</v>
      </c>
      <c r="S542" s="3"/>
    </row>
    <row r="543" spans="1:19" x14ac:dyDescent="0.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83"/>
        <v>-</v>
      </c>
      <c r="G543" s="13" t="str">
        <f t="shared" ref="G543:K543" si="601">IFERROR(G97/SUM(G325,G480),"-")</f>
        <v>-</v>
      </c>
      <c r="H543" s="13" t="str">
        <f t="shared" si="601"/>
        <v>-</v>
      </c>
      <c r="I543" s="13">
        <f t="shared" si="601"/>
        <v>0.59999999999999964</v>
      </c>
      <c r="J543" s="13">
        <f t="shared" si="601"/>
        <v>0.60499999999999965</v>
      </c>
      <c r="K543" s="13">
        <f t="shared" si="601"/>
        <v>0.61</v>
      </c>
      <c r="L543" s="13">
        <f t="shared" ref="L543:O543" si="602">IFERROR(L97/SUM(L325,L480),"-")</f>
        <v>0.61500000000000044</v>
      </c>
      <c r="M543" s="13">
        <f t="shared" si="602"/>
        <v>0.61999999999999966</v>
      </c>
      <c r="N543" s="13">
        <f t="shared" si="602"/>
        <v>0.62000000000000022</v>
      </c>
      <c r="O543" s="13">
        <f t="shared" si="602"/>
        <v>0.61999999999999977</v>
      </c>
      <c r="P543" s="13">
        <f t="shared" si="586"/>
        <v>0.61999999999999966</v>
      </c>
      <c r="Q543" s="13">
        <f t="shared" si="586"/>
        <v>0.61999999999999977</v>
      </c>
      <c r="S543" s="3"/>
    </row>
    <row r="544" spans="1:19" x14ac:dyDescent="0.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0.35745695376016606</v>
      </c>
      <c r="G544" s="13">
        <f t="shared" ref="G544:K544" si="603">IFERROR(G131/G359,"-")</f>
        <v>0.35745695376016573</v>
      </c>
      <c r="H544" s="13">
        <f t="shared" si="603"/>
        <v>0.35745695376016651</v>
      </c>
      <c r="I544" s="13">
        <f t="shared" si="603"/>
        <v>0.35745695376016606</v>
      </c>
      <c r="J544" s="13">
        <f t="shared" si="603"/>
        <v>0.35745695376016595</v>
      </c>
      <c r="K544" s="13">
        <f t="shared" si="603"/>
        <v>0.35745695376016551</v>
      </c>
      <c r="L544" s="13">
        <f t="shared" ref="L544:O544" si="604">IFERROR(L131/L359,"-")</f>
        <v>0.3574569537601659</v>
      </c>
      <c r="M544" s="13">
        <f t="shared" si="604"/>
        <v>0.35745695376016584</v>
      </c>
      <c r="N544" s="13">
        <f t="shared" si="604"/>
        <v>0.3574569537601664</v>
      </c>
      <c r="O544" s="13">
        <f t="shared" si="604"/>
        <v>0.35745695376016612</v>
      </c>
      <c r="P544" s="13">
        <f>IFERROR(P131/P359,"-")</f>
        <v>0.35745695376016612</v>
      </c>
      <c r="Q544" s="13">
        <f>IFERROR(Q131/Q359,"-")</f>
        <v>0.35745695376016617</v>
      </c>
      <c r="S544" s="3"/>
    </row>
    <row r="545" spans="2:19" x14ac:dyDescent="0.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605">IFERROR(G132/G360,"-")</f>
        <v>-</v>
      </c>
      <c r="H545" s="13" t="str">
        <f t="shared" si="605"/>
        <v>-</v>
      </c>
      <c r="I545" s="13" t="str">
        <f t="shared" si="605"/>
        <v>-</v>
      </c>
      <c r="J545" s="13" t="str">
        <f t="shared" si="605"/>
        <v>-</v>
      </c>
      <c r="K545" s="13" t="str">
        <f t="shared" si="605"/>
        <v>-</v>
      </c>
      <c r="L545" s="13" t="str">
        <f t="shared" ref="L545:O545" si="606">IFERROR(L132/L360,"-")</f>
        <v>-</v>
      </c>
      <c r="M545" s="13" t="str">
        <f t="shared" si="606"/>
        <v>-</v>
      </c>
      <c r="N545" s="13" t="str">
        <f t="shared" si="606"/>
        <v>-</v>
      </c>
      <c r="O545" s="13" t="str">
        <f t="shared" si="606"/>
        <v>-</v>
      </c>
      <c r="P545" s="13" t="str">
        <f>IFERROR(P132/P360,"-")</f>
        <v>-</v>
      </c>
      <c r="Q545" s="13" t="str">
        <f>IFERROR(Q132/Q360,"-")</f>
        <v>-</v>
      </c>
      <c r="S545" s="3"/>
    </row>
    <row r="546" spans="2:19" x14ac:dyDescent="0.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3.8350071403318191E-2</v>
      </c>
      <c r="G546" s="13">
        <f t="shared" ref="G546:K546" si="607">IFERROR(G133/SUM(G361,G428),"-")</f>
        <v>3.7555415712052793E-2</v>
      </c>
      <c r="H546" s="13">
        <f t="shared" si="607"/>
        <v>3.7707020076026693E-2</v>
      </c>
      <c r="I546" s="13">
        <f t="shared" si="607"/>
        <v>3.7529078079323652E-2</v>
      </c>
      <c r="J546" s="13">
        <f t="shared" si="607"/>
        <v>3.7488531765220115E-2</v>
      </c>
      <c r="K546" s="13">
        <f t="shared" si="607"/>
        <v>3.7697522147997979E-2</v>
      </c>
      <c r="L546" s="13">
        <f t="shared" ref="L546:O546" si="608">IFERROR(L133/SUM(L361,L428),"-")</f>
        <v>3.7905419011215559E-2</v>
      </c>
      <c r="M546" s="13">
        <f t="shared" si="608"/>
        <v>3.8112931618887028E-2</v>
      </c>
      <c r="N546" s="13">
        <f t="shared" si="608"/>
        <v>3.8113026089016358E-2</v>
      </c>
      <c r="O546" s="13">
        <f t="shared" si="608"/>
        <v>3.8113163564368314E-2</v>
      </c>
      <c r="P546" s="13">
        <f>IFERROR(P133/SUM(P361,P428),"-")</f>
        <v>3.8113199708231738E-2</v>
      </c>
      <c r="Q546" s="13">
        <f>IFERROR(Q133/SUM(Q361,Q428),"-")</f>
        <v>3.8113944620162613E-2</v>
      </c>
      <c r="S546" s="3"/>
    </row>
    <row r="547" spans="2:19" x14ac:dyDescent="0.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609">IFERROR(G134/SUM(G362,G429),"-")</f>
        <v>-</v>
      </c>
      <c r="H547" s="13" t="str">
        <f t="shared" si="609"/>
        <v>-</v>
      </c>
      <c r="I547" s="13" t="str">
        <f t="shared" si="609"/>
        <v>-</v>
      </c>
      <c r="J547" s="13" t="str">
        <f t="shared" si="609"/>
        <v>-</v>
      </c>
      <c r="K547" s="13" t="str">
        <f t="shared" si="609"/>
        <v>-</v>
      </c>
      <c r="L547" s="13" t="str">
        <f t="shared" ref="L547:O547" si="610">IFERROR(L134/SUM(L362,L429),"-")</f>
        <v>-</v>
      </c>
      <c r="M547" s="13" t="str">
        <f t="shared" si="610"/>
        <v>-</v>
      </c>
      <c r="N547" s="13" t="str">
        <f t="shared" si="610"/>
        <v>-</v>
      </c>
      <c r="O547" s="13" t="str">
        <f t="shared" si="610"/>
        <v>-</v>
      </c>
      <c r="P547" s="13" t="str">
        <f>IFERROR(P134/SUM(P362,P429),"-")</f>
        <v>-</v>
      </c>
      <c r="Q547" s="13" t="str">
        <f>IFERROR(Q134/SUM(Q362,Q429),"-")</f>
        <v>-</v>
      </c>
      <c r="S547" s="3"/>
    </row>
    <row r="548" spans="2:19" x14ac:dyDescent="0.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6.1975569278081205E-2</v>
      </c>
      <c r="G548" s="13">
        <f t="shared" ref="G548:K548" si="611">IFERROR(G135/SUM(G363,G504),"-")</f>
        <v>6.1973114557842643E-2</v>
      </c>
      <c r="H548" s="13">
        <f t="shared" si="611"/>
        <v>6.1972650567355292E-2</v>
      </c>
      <c r="I548" s="13">
        <f t="shared" si="611"/>
        <v>6.197265056735532E-2</v>
      </c>
      <c r="J548" s="13">
        <f t="shared" si="611"/>
        <v>6.1972650567355264E-2</v>
      </c>
      <c r="K548" s="13">
        <f t="shared" si="611"/>
        <v>6.1972650567355334E-2</v>
      </c>
      <c r="L548" s="13">
        <f t="shared" ref="L548:O548" si="612">IFERROR(L135/SUM(L363,L504),"-")</f>
        <v>6.1972650567355236E-2</v>
      </c>
      <c r="M548" s="13">
        <f t="shared" si="612"/>
        <v>6.1972650567355236E-2</v>
      </c>
      <c r="N548" s="13">
        <f t="shared" si="612"/>
        <v>6.197265056735525E-2</v>
      </c>
      <c r="O548" s="13">
        <f t="shared" si="612"/>
        <v>6.1972650567355264E-2</v>
      </c>
      <c r="P548" s="13">
        <f>IFERROR(P135/SUM(P363,P504),"-")</f>
        <v>6.1972650567355361E-2</v>
      </c>
      <c r="Q548" s="13">
        <f>IFERROR(Q135/SUM(Q363,Q504),"-")</f>
        <v>6.1972650567355243E-2</v>
      </c>
      <c r="S548" s="3"/>
    </row>
    <row r="549" spans="2:19" x14ac:dyDescent="0.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613">IFERROR(G136/SUM(G364,G505),"-")</f>
        <v>-</v>
      </c>
      <c r="H549" s="13" t="str">
        <f t="shared" si="613"/>
        <v>-</v>
      </c>
      <c r="I549" s="13" t="str">
        <f t="shared" si="613"/>
        <v>-</v>
      </c>
      <c r="J549" s="13" t="str">
        <f t="shared" si="613"/>
        <v>-</v>
      </c>
      <c r="K549" s="13" t="str">
        <f t="shared" si="613"/>
        <v>-</v>
      </c>
      <c r="L549" s="13" t="str">
        <f t="shared" ref="L549:O549" si="614">IFERROR(L136/SUM(L364,L505),"-")</f>
        <v>-</v>
      </c>
      <c r="M549" s="13" t="str">
        <f t="shared" si="614"/>
        <v>-</v>
      </c>
      <c r="N549" s="13" t="str">
        <f t="shared" si="614"/>
        <v>-</v>
      </c>
      <c r="O549" s="13" t="str">
        <f t="shared" si="614"/>
        <v>-</v>
      </c>
      <c r="P549" s="13" t="str">
        <f>IFERROR(P136/SUM(P364,P505),"-")</f>
        <v>-</v>
      </c>
      <c r="Q549" s="13" t="str">
        <f>IFERROR(Q136/SUM(Q364,Q505),"-")</f>
        <v>-</v>
      </c>
      <c r="S549" s="3"/>
    </row>
    <row r="550" spans="2:19" x14ac:dyDescent="0.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0.24380235181264784</v>
      </c>
      <c r="G550" s="13">
        <f t="shared" ref="G550:K550" si="615">IFERROR(G152/SUM(G380,G437),"-")</f>
        <v>0.25009494935754867</v>
      </c>
      <c r="H550" s="13">
        <f t="shared" si="615"/>
        <v>0.2593027848225718</v>
      </c>
      <c r="I550" s="13">
        <f t="shared" si="615"/>
        <v>0.27497816994814001</v>
      </c>
      <c r="J550" s="13">
        <f t="shared" si="615"/>
        <v>0.29059108546487622</v>
      </c>
      <c r="K550" s="13">
        <f t="shared" si="615"/>
        <v>0.30616452151196644</v>
      </c>
      <c r="L550" s="13">
        <f t="shared" ref="L550:O550" si="616">IFERROR(L152/SUM(L380,L437),"-")</f>
        <v>0.30611625843846585</v>
      </c>
      <c r="M550" s="13">
        <f t="shared" si="616"/>
        <v>0.30586686957272397</v>
      </c>
      <c r="N550" s="13">
        <f t="shared" si="616"/>
        <v>0.30586268910198228</v>
      </c>
      <c r="O550" s="13">
        <f t="shared" si="616"/>
        <v>0.30574881574385238</v>
      </c>
      <c r="P550" s="13">
        <f>IFERROR(P152/SUM(P380,P437),"-")</f>
        <v>0.30594747174890574</v>
      </c>
      <c r="Q550" s="13">
        <f>IFERROR(Q152/SUM(Q380,Q437),"-")</f>
        <v>0.3052862507922337</v>
      </c>
      <c r="S550" s="3"/>
    </row>
    <row r="551" spans="2:19" x14ac:dyDescent="0.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617">IFERROR(G153/G381,"-")</f>
        <v>-</v>
      </c>
      <c r="H551" s="13" t="str">
        <f t="shared" si="617"/>
        <v>-</v>
      </c>
      <c r="I551" s="13" t="str">
        <f t="shared" si="617"/>
        <v>-</v>
      </c>
      <c r="J551" s="13" t="str">
        <f t="shared" si="617"/>
        <v>-</v>
      </c>
      <c r="K551" s="13">
        <f t="shared" si="617"/>
        <v>0</v>
      </c>
      <c r="L551" s="13">
        <f t="shared" ref="L551:O551" si="618">IFERROR(L153/L381,"-")</f>
        <v>0</v>
      </c>
      <c r="M551" s="13">
        <f t="shared" si="618"/>
        <v>0</v>
      </c>
      <c r="N551" s="13">
        <f t="shared" si="618"/>
        <v>0</v>
      </c>
      <c r="O551" s="13">
        <f t="shared" si="618"/>
        <v>0</v>
      </c>
      <c r="P551" s="13">
        <f>IFERROR(P153/P381,"-")</f>
        <v>0</v>
      </c>
      <c r="Q551" s="13">
        <f>IFERROR(Q153/Q381,"-")</f>
        <v>0</v>
      </c>
      <c r="S551" s="3"/>
    </row>
    <row r="552" spans="2:19" x14ac:dyDescent="0.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0.19746677633089174</v>
      </c>
      <c r="G552" s="13">
        <f t="shared" ref="G552:K552" si="619">IFERROR(G154/SUM(G382,G513),"-")</f>
        <v>0.22581601964172077</v>
      </c>
      <c r="H552" s="13">
        <f t="shared" si="619"/>
        <v>0.2547125505718062</v>
      </c>
      <c r="I552" s="13">
        <f t="shared" si="619"/>
        <v>0.33838635350165708</v>
      </c>
      <c r="J552" s="13">
        <f t="shared" si="619"/>
        <v>0.34571357230593402</v>
      </c>
      <c r="K552" s="13">
        <f t="shared" si="619"/>
        <v>0.3530500708236527</v>
      </c>
      <c r="L552" s="13">
        <f t="shared" ref="L552:O552" si="620">IFERROR(L154/SUM(L382,L513),"-")</f>
        <v>0.36035155617519504</v>
      </c>
      <c r="M552" s="13">
        <f t="shared" si="620"/>
        <v>0.36762823485927443</v>
      </c>
      <c r="N552" s="13">
        <f t="shared" si="620"/>
        <v>0.36764850219832379</v>
      </c>
      <c r="O552" s="13">
        <f t="shared" si="620"/>
        <v>0.36762479062109338</v>
      </c>
      <c r="P552" s="13">
        <f t="shared" ref="P552:Q556" si="621">IFERROR(P154/SUM(P382,P513),"-")</f>
        <v>0.36763080492759653</v>
      </c>
      <c r="Q552" s="13">
        <f t="shared" si="621"/>
        <v>0.36758262897895905</v>
      </c>
      <c r="S552" s="3"/>
    </row>
    <row r="553" spans="2:19" x14ac:dyDescent="0.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622">IFERROR(G155/SUM(G383,G514),"-")</f>
        <v>-</v>
      </c>
      <c r="H553" s="13" t="str">
        <f t="shared" si="622"/>
        <v>-</v>
      </c>
      <c r="I553" s="13" t="str">
        <f t="shared" si="622"/>
        <v>-</v>
      </c>
      <c r="J553" s="13" t="str">
        <f t="shared" si="622"/>
        <v>-</v>
      </c>
      <c r="K553" s="13">
        <f t="shared" si="622"/>
        <v>0</v>
      </c>
      <c r="L553" s="13">
        <f t="shared" ref="L553:O553" si="623">IFERROR(L155/SUM(L383,L514),"-")</f>
        <v>0</v>
      </c>
      <c r="M553" s="13">
        <f t="shared" si="623"/>
        <v>0</v>
      </c>
      <c r="N553" s="13">
        <f t="shared" si="623"/>
        <v>0</v>
      </c>
      <c r="O553" s="13">
        <f t="shared" si="623"/>
        <v>0</v>
      </c>
      <c r="P553" s="13">
        <f t="shared" si="621"/>
        <v>0</v>
      </c>
      <c r="Q553" s="13">
        <f t="shared" si="621"/>
        <v>0</v>
      </c>
      <c r="S553" s="3"/>
    </row>
    <row r="554" spans="2:19" x14ac:dyDescent="0.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24">IFERROR(G156/SUM(G384,G515),"-")</f>
        <v>-</v>
      </c>
      <c r="H554" s="13" t="str">
        <f t="shared" si="624"/>
        <v>-</v>
      </c>
      <c r="I554" s="13">
        <f t="shared" si="624"/>
        <v>0.19382110999953867</v>
      </c>
      <c r="J554" s="13">
        <f t="shared" si="624"/>
        <v>0.21314417842842617</v>
      </c>
      <c r="K554" s="13">
        <f t="shared" si="624"/>
        <v>0.21862108491345975</v>
      </c>
      <c r="L554" s="13">
        <f t="shared" ref="L554:O554" si="625">IFERROR(L156/SUM(L384,L515),"-")</f>
        <v>0.21833311043916351</v>
      </c>
      <c r="M554" s="13">
        <f t="shared" si="625"/>
        <v>0.21869563145078574</v>
      </c>
      <c r="N554" s="13">
        <f t="shared" si="625"/>
        <v>0.23866790176760325</v>
      </c>
      <c r="O554" s="13">
        <f t="shared" si="625"/>
        <v>0.22763860313166046</v>
      </c>
      <c r="P554" s="13">
        <f t="shared" si="621"/>
        <v>0.21888011041089839</v>
      </c>
      <c r="Q554" s="13">
        <f t="shared" si="621"/>
        <v>0.2093363521769257</v>
      </c>
      <c r="S554" s="3"/>
    </row>
    <row r="555" spans="2:19" x14ac:dyDescent="0.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26">IFERROR(G157/SUM(G385,G516),"-")</f>
        <v>-</v>
      </c>
      <c r="H555" s="13" t="str">
        <f t="shared" si="626"/>
        <v>-</v>
      </c>
      <c r="I555" s="13">
        <f t="shared" si="626"/>
        <v>0.23945103798176409</v>
      </c>
      <c r="J555" s="13">
        <f t="shared" si="626"/>
        <v>0.24426508361347199</v>
      </c>
      <c r="K555" s="13">
        <f t="shared" si="626"/>
        <v>0.24695719639150571</v>
      </c>
      <c r="L555" s="13">
        <f t="shared" ref="L555:O555" si="627">IFERROR(L157/SUM(L385,L516),"-")</f>
        <v>0.24961958411351992</v>
      </c>
      <c r="M555" s="13">
        <f t="shared" si="627"/>
        <v>0.25586770109100143</v>
      </c>
      <c r="N555" s="13">
        <f t="shared" si="627"/>
        <v>0.26889791464159501</v>
      </c>
      <c r="O555" s="13">
        <f t="shared" si="627"/>
        <v>0.25318800737072406</v>
      </c>
      <c r="P555" s="13">
        <f t="shared" si="621"/>
        <v>0.25674351692511421</v>
      </c>
      <c r="Q555" s="13">
        <f t="shared" si="621"/>
        <v>0.25105032505769587</v>
      </c>
      <c r="S555" s="3"/>
    </row>
    <row r="556" spans="2:19" x14ac:dyDescent="0.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28">IFERROR(G158/SUM(G386,G517),"-")</f>
        <v>-</v>
      </c>
      <c r="H556" s="13" t="str">
        <f t="shared" si="628"/>
        <v>-</v>
      </c>
      <c r="I556" s="13">
        <f t="shared" si="628"/>
        <v>0.3195994517136434</v>
      </c>
      <c r="J556" s="13">
        <f t="shared" si="628"/>
        <v>0.31149884511925285</v>
      </c>
      <c r="K556" s="13">
        <f t="shared" si="628"/>
        <v>0.30892842926831832</v>
      </c>
      <c r="L556" s="13">
        <f t="shared" ref="L556:O556" si="629">IFERROR(L158/SUM(L386,L517),"-")</f>
        <v>0.32725873577565801</v>
      </c>
      <c r="M556" s="13">
        <f t="shared" si="629"/>
        <v>0.31783838549140669</v>
      </c>
      <c r="N556" s="13">
        <f t="shared" si="629"/>
        <v>0.33661937771431855</v>
      </c>
      <c r="O556" s="13">
        <f t="shared" si="629"/>
        <v>0.32707587818991268</v>
      </c>
      <c r="P556" s="13">
        <f t="shared" si="621"/>
        <v>0.33361320827267044</v>
      </c>
      <c r="Q556" s="13">
        <f t="shared" si="621"/>
        <v>0.33117965413032152</v>
      </c>
      <c r="S556" s="3"/>
    </row>
    <row r="557" spans="2:19" x14ac:dyDescent="0.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M557" s="13">
        <v>1</v>
      </c>
      <c r="N557" s="13">
        <v>1</v>
      </c>
      <c r="O557" s="13">
        <v>1</v>
      </c>
      <c r="P557" s="13">
        <v>1</v>
      </c>
      <c r="Q557" s="13">
        <v>1</v>
      </c>
      <c r="S557" s="3"/>
    </row>
    <row r="558" spans="2:19" x14ac:dyDescent="0.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M558" s="13">
        <v>1</v>
      </c>
      <c r="N558" s="13">
        <v>1</v>
      </c>
      <c r="O558" s="13">
        <v>1</v>
      </c>
      <c r="P558" s="13">
        <v>1</v>
      </c>
      <c r="Q558" s="13">
        <v>1</v>
      </c>
      <c r="S558" s="3"/>
    </row>
    <row r="559" spans="2:19" x14ac:dyDescent="0.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M559" s="13">
        <v>1</v>
      </c>
      <c r="N559" s="13">
        <v>1</v>
      </c>
      <c r="O559" s="13">
        <v>1</v>
      </c>
      <c r="P559" s="13">
        <v>1</v>
      </c>
      <c r="Q559" s="13">
        <v>1</v>
      </c>
      <c r="S559" s="3"/>
    </row>
    <row r="560" spans="2:19" x14ac:dyDescent="0.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M560" s="13">
        <v>1</v>
      </c>
      <c r="N560" s="13">
        <v>1</v>
      </c>
      <c r="O560" s="13">
        <v>1</v>
      </c>
      <c r="P560" s="13">
        <v>1</v>
      </c>
      <c r="Q560" s="13">
        <v>1</v>
      </c>
      <c r="S560" s="3"/>
    </row>
    <row r="561" spans="2:19" x14ac:dyDescent="0.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M561" s="13">
        <v>1</v>
      </c>
      <c r="N561" s="13">
        <v>1</v>
      </c>
      <c r="O561" s="13">
        <v>1</v>
      </c>
      <c r="P561" s="13">
        <v>1</v>
      </c>
      <c r="Q561" s="13">
        <v>1</v>
      </c>
      <c r="S561" s="3"/>
    </row>
    <row r="562" spans="2:19" x14ac:dyDescent="0.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M562" s="13">
        <v>1</v>
      </c>
      <c r="N562" s="13">
        <v>1</v>
      </c>
      <c r="O562" s="13">
        <v>1</v>
      </c>
      <c r="P562" s="13">
        <v>1</v>
      </c>
      <c r="Q562" s="13">
        <v>1</v>
      </c>
      <c r="S562" s="3"/>
    </row>
    <row r="563" spans="2:19" x14ac:dyDescent="0.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30">IFERROR(G168/G396,"-")</f>
        <v>-</v>
      </c>
      <c r="H563" s="13" t="str">
        <f t="shared" si="630"/>
        <v>-</v>
      </c>
      <c r="I563" s="13" t="str">
        <f t="shared" si="630"/>
        <v>-</v>
      </c>
      <c r="J563" s="13" t="str">
        <f t="shared" si="630"/>
        <v>-</v>
      </c>
      <c r="K563" s="13" t="str">
        <f t="shared" si="630"/>
        <v>-</v>
      </c>
      <c r="L563" s="13">
        <f t="shared" ref="L563:O563" si="631">IFERROR(L168/L396,"-")</f>
        <v>0.14999999999999994</v>
      </c>
      <c r="M563" s="13">
        <f t="shared" si="631"/>
        <v>0.15000000000000002</v>
      </c>
      <c r="N563" s="13">
        <f t="shared" si="631"/>
        <v>0.15000000000000002</v>
      </c>
      <c r="O563" s="13">
        <f t="shared" si="631"/>
        <v>0.14999999999999991</v>
      </c>
      <c r="P563" s="13">
        <f>IFERROR(P168/P396,"-")</f>
        <v>0.14999999999999986</v>
      </c>
      <c r="Q563" s="13">
        <f>IFERROR(Q168/Q396,"-")</f>
        <v>0.15000000000000008</v>
      </c>
      <c r="S563" s="3"/>
    </row>
    <row r="564" spans="2:19" x14ac:dyDescent="0.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32">IFERROR(G170/SUM(G398,G439),"-")</f>
        <v>-</v>
      </c>
      <c r="H564" s="13" t="str">
        <f t="shared" si="632"/>
        <v>-</v>
      </c>
      <c r="I564" s="13" t="str">
        <f t="shared" si="632"/>
        <v>-</v>
      </c>
      <c r="J564" s="13" t="str">
        <f t="shared" si="632"/>
        <v>-</v>
      </c>
      <c r="K564" s="13">
        <f t="shared" si="632"/>
        <v>0.42000000000000004</v>
      </c>
      <c r="L564" s="13">
        <f t="shared" ref="L564:O564" si="633">IFERROR(L170/SUM(L398,L439),"-")</f>
        <v>0.42000000000000026</v>
      </c>
      <c r="M564" s="13">
        <f t="shared" si="633"/>
        <v>0.42000000000000037</v>
      </c>
      <c r="N564" s="13">
        <f t="shared" si="633"/>
        <v>0.42000000000000032</v>
      </c>
      <c r="O564" s="13">
        <f t="shared" si="633"/>
        <v>0.41999999999999987</v>
      </c>
      <c r="P564" s="13">
        <f>IFERROR(P170/SUM(P398,P439),"-")</f>
        <v>0.42000000000000004</v>
      </c>
      <c r="Q564" s="13">
        <f>IFERROR(Q170/SUM(Q398,Q439),"-")</f>
        <v>0.42000000000000054</v>
      </c>
      <c r="S564" s="3"/>
    </row>
    <row r="565" spans="2:19" x14ac:dyDescent="0.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34">IFERROR(G171/SUM(G399,G519),"-")</f>
        <v>-</v>
      </c>
      <c r="H565" s="13" t="str">
        <f t="shared" si="634"/>
        <v>-</v>
      </c>
      <c r="I565" s="13">
        <f t="shared" si="634"/>
        <v>0.49499999999999972</v>
      </c>
      <c r="J565" s="13">
        <f t="shared" si="634"/>
        <v>0.52250000000000019</v>
      </c>
      <c r="K565" s="13">
        <f t="shared" si="634"/>
        <v>0.55000000000000016</v>
      </c>
      <c r="L565" s="13">
        <f t="shared" ref="L565:O565" si="635">IFERROR(L171/SUM(L399,L519),"-")</f>
        <v>0.57499999999999984</v>
      </c>
      <c r="M565" s="13">
        <f t="shared" si="635"/>
        <v>0.60000000000000064</v>
      </c>
      <c r="N565" s="13">
        <f t="shared" si="635"/>
        <v>0.60000000000000009</v>
      </c>
      <c r="O565" s="13">
        <f t="shared" si="635"/>
        <v>0.60000000000000064</v>
      </c>
      <c r="P565" s="13">
        <f>IFERROR(P171/SUM(P399,P519),"-")</f>
        <v>0.60000000000000053</v>
      </c>
      <c r="Q565" s="13">
        <f>IFERROR(Q171/SUM(Q399,Q519),"-")</f>
        <v>0.59999999999999976</v>
      </c>
      <c r="S565" s="3"/>
    </row>
    <row r="566" spans="2:19" x14ac:dyDescent="0.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36">IFERROR(G172/SUM(G400,G520),"-")</f>
        <v>-</v>
      </c>
      <c r="H566" s="13" t="str">
        <f t="shared" si="636"/>
        <v>-</v>
      </c>
      <c r="I566" s="13">
        <f t="shared" si="636"/>
        <v>0.47500000000000003</v>
      </c>
      <c r="J566" s="13">
        <f t="shared" si="636"/>
        <v>0.5075000000000004</v>
      </c>
      <c r="K566" s="13">
        <f t="shared" si="636"/>
        <v>0.53999999999999981</v>
      </c>
      <c r="L566" s="13">
        <f t="shared" ref="L566:O566" si="637">IFERROR(L172/SUM(L400,L520),"-")</f>
        <v>0.55750000000000033</v>
      </c>
      <c r="M566" s="13">
        <f t="shared" si="637"/>
        <v>0.57499999999999996</v>
      </c>
      <c r="N566" s="13">
        <f t="shared" si="637"/>
        <v>0.57500000000000029</v>
      </c>
      <c r="O566" s="13">
        <f t="shared" si="637"/>
        <v>0.57499999999999984</v>
      </c>
      <c r="P566" s="13">
        <f>IFERROR(P172/SUM(P400,P520),"-")</f>
        <v>0.57499999999999973</v>
      </c>
      <c r="Q566" s="13">
        <f>IFERROR(Q172/SUM(Q400,Q520),"-")</f>
        <v>0.5750000000000004</v>
      </c>
      <c r="S566" s="3"/>
    </row>
    <row r="567" spans="2:19" x14ac:dyDescent="0.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38">IFERROR(F174/F402,"-")</f>
        <v>0.69982316307120274</v>
      </c>
      <c r="G567" s="13">
        <f t="shared" si="638"/>
        <v>0.69986880676160357</v>
      </c>
      <c r="H567" s="13">
        <f t="shared" si="638"/>
        <v>0.69999956551368669</v>
      </c>
      <c r="I567" s="13">
        <f t="shared" si="638"/>
        <v>0.69998445156099443</v>
      </c>
      <c r="J567" s="13">
        <f t="shared" si="638"/>
        <v>0.69998057454748508</v>
      </c>
      <c r="K567" s="13">
        <f t="shared" si="638"/>
        <v>0.69998452229632924</v>
      </c>
      <c r="L567" s="13">
        <f t="shared" ref="L567:O567" si="639">IFERROR(L174/L402,"-")</f>
        <v>0.69987114139523732</v>
      </c>
      <c r="M567" s="13">
        <f t="shared" si="639"/>
        <v>0.69991282662168686</v>
      </c>
      <c r="N567" s="13">
        <f t="shared" si="639"/>
        <v>0.69998840407917073</v>
      </c>
      <c r="O567" s="13">
        <f t="shared" si="639"/>
        <v>0.69998580859816839</v>
      </c>
      <c r="P567" s="13">
        <f t="shared" ref="P567:Q573" si="640">IFERROR(P174/P402,"-")</f>
        <v>0.69998502859256584</v>
      </c>
      <c r="Q567" s="13">
        <f t="shared" si="640"/>
        <v>0.69998071297103848</v>
      </c>
      <c r="S567" s="3"/>
    </row>
    <row r="568" spans="2:19" x14ac:dyDescent="0.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38"/>
        <v>0.86641924754651434</v>
      </c>
      <c r="G568" s="13">
        <f t="shared" si="638"/>
        <v>0.86510867403181047</v>
      </c>
      <c r="H568" s="13">
        <f t="shared" si="638"/>
        <v>0.86702527091016035</v>
      </c>
      <c r="I568" s="13">
        <f t="shared" si="638"/>
        <v>0.86679566277022957</v>
      </c>
      <c r="J568" s="13">
        <f t="shared" si="638"/>
        <v>0.86696187445739314</v>
      </c>
      <c r="K568" s="13">
        <f t="shared" si="638"/>
        <v>0.8670365632525967</v>
      </c>
      <c r="L568" s="13">
        <f t="shared" ref="L568:O568" si="641">IFERROR(L175/L403,"-")</f>
        <v>0.86703749961336507</v>
      </c>
      <c r="M568" s="13">
        <f t="shared" si="641"/>
        <v>0.86702606352748113</v>
      </c>
      <c r="N568" s="13">
        <f t="shared" si="641"/>
        <v>0.86703871613669425</v>
      </c>
      <c r="O568" s="13">
        <f t="shared" si="641"/>
        <v>0.86702500453816156</v>
      </c>
      <c r="P568" s="13">
        <f t="shared" si="640"/>
        <v>0.86703109228122888</v>
      </c>
      <c r="Q568" s="13">
        <f t="shared" si="640"/>
        <v>0.8670176584526883</v>
      </c>
      <c r="S568" s="3"/>
    </row>
    <row r="569" spans="2:19" x14ac:dyDescent="0.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38"/>
        <v>0.8945400140392703</v>
      </c>
      <c r="G569" s="13">
        <f t="shared" si="638"/>
        <v>0.89409759130525746</v>
      </c>
      <c r="H569" s="13">
        <f t="shared" si="638"/>
        <v>0.89399571347365192</v>
      </c>
      <c r="I569" s="13">
        <f t="shared" si="638"/>
        <v>0.89400373039587067</v>
      </c>
      <c r="J569" s="13">
        <f t="shared" si="638"/>
        <v>0.89423491936343147</v>
      </c>
      <c r="K569" s="13">
        <f t="shared" si="638"/>
        <v>0.89426591664867661</v>
      </c>
      <c r="L569" s="13">
        <f t="shared" ref="L569:O569" si="642">IFERROR(L176/L404,"-")</f>
        <v>0.89426912325177754</v>
      </c>
      <c r="M569" s="13">
        <f t="shared" si="642"/>
        <v>0.89426759560660407</v>
      </c>
      <c r="N569" s="13">
        <f t="shared" si="642"/>
        <v>0.89426959135649353</v>
      </c>
      <c r="O569" s="13">
        <f t="shared" si="642"/>
        <v>0.89426870001933523</v>
      </c>
      <c r="P569" s="13">
        <f t="shared" si="640"/>
        <v>0.89426893246580019</v>
      </c>
      <c r="Q569" s="13">
        <f t="shared" si="640"/>
        <v>0.89426785023776811</v>
      </c>
      <c r="S569" s="3"/>
    </row>
    <row r="570" spans="2:19" x14ac:dyDescent="0.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38"/>
        <v>0.90313045184071394</v>
      </c>
      <c r="G570" s="13">
        <f t="shared" si="638"/>
        <v>0.9029002647515828</v>
      </c>
      <c r="H570" s="13">
        <f t="shared" si="638"/>
        <v>0.90356565109906906</v>
      </c>
      <c r="I570" s="13">
        <f t="shared" si="638"/>
        <v>0.90425496656984561</v>
      </c>
      <c r="J570" s="13">
        <f t="shared" si="638"/>
        <v>0.90426010071001484</v>
      </c>
      <c r="K570" s="13">
        <f t="shared" si="638"/>
        <v>0.90426449585428526</v>
      </c>
      <c r="L570" s="13">
        <f t="shared" ref="L570:O570" si="643">IFERROR(L177/L405,"-")</f>
        <v>0.90426452163090476</v>
      </c>
      <c r="M570" s="13">
        <f t="shared" si="643"/>
        <v>0.90425278639373052</v>
      </c>
      <c r="N570" s="13">
        <f t="shared" si="643"/>
        <v>0.90426457838872387</v>
      </c>
      <c r="O570" s="13">
        <f t="shared" si="643"/>
        <v>0.90424180238545138</v>
      </c>
      <c r="P570" s="13">
        <f t="shared" si="640"/>
        <v>0.90426248078390647</v>
      </c>
      <c r="Q570" s="13">
        <f t="shared" si="640"/>
        <v>0.90422762072260177</v>
      </c>
      <c r="S570" s="3"/>
    </row>
    <row r="571" spans="2:19" x14ac:dyDescent="0.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38"/>
        <v>0.90312886044419183</v>
      </c>
      <c r="G571" s="13">
        <f t="shared" si="638"/>
        <v>0.9028882894284479</v>
      </c>
      <c r="H571" s="13">
        <f t="shared" si="638"/>
        <v>0.9038432626217423</v>
      </c>
      <c r="I571" s="13">
        <f t="shared" si="638"/>
        <v>0.90425159549580669</v>
      </c>
      <c r="J571" s="13">
        <f t="shared" si="638"/>
        <v>0.90425866357388907</v>
      </c>
      <c r="K571" s="13">
        <f t="shared" si="638"/>
        <v>0.90426396427868294</v>
      </c>
      <c r="L571" s="13">
        <f t="shared" ref="L571:O571" si="644">IFERROR(L178/L406,"-")</f>
        <v>0.90426423498904507</v>
      </c>
      <c r="M571" s="13">
        <f t="shared" si="644"/>
        <v>0.9042496254984238</v>
      </c>
      <c r="N571" s="13">
        <f t="shared" si="644"/>
        <v>0.90426385091915029</v>
      </c>
      <c r="O571" s="13">
        <f t="shared" si="644"/>
        <v>0.9042264444633008</v>
      </c>
      <c r="P571" s="13">
        <f t="shared" si="640"/>
        <v>0.90425057353345861</v>
      </c>
      <c r="Q571" s="13">
        <f t="shared" si="640"/>
        <v>0.9041801363691454</v>
      </c>
      <c r="S571" s="3"/>
    </row>
    <row r="572" spans="2:19" x14ac:dyDescent="0.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38"/>
        <v>0.90313054465980491</v>
      </c>
      <c r="G572" s="13">
        <f t="shared" si="638"/>
        <v>0.9028920168864828</v>
      </c>
      <c r="H572" s="13">
        <f t="shared" si="638"/>
        <v>0.90395380542604953</v>
      </c>
      <c r="I572" s="13">
        <f t="shared" si="638"/>
        <v>0.90425463216949153</v>
      </c>
      <c r="J572" s="13">
        <f t="shared" si="638"/>
        <v>0.90425715241559335</v>
      </c>
      <c r="K572" s="13">
        <f t="shared" si="638"/>
        <v>0.90426490595536646</v>
      </c>
      <c r="L572" s="13">
        <f t="shared" ref="L572:O572" si="645">IFERROR(L179/L407,"-")</f>
        <v>0.90426474734450168</v>
      </c>
      <c r="M572" s="13">
        <f t="shared" si="645"/>
        <v>0.90424874994962379</v>
      </c>
      <c r="N572" s="13">
        <f t="shared" si="645"/>
        <v>0.90426403335166305</v>
      </c>
      <c r="O572" s="13">
        <f t="shared" si="645"/>
        <v>0.90421510840396313</v>
      </c>
      <c r="P572" s="13">
        <f t="shared" si="640"/>
        <v>0.90424964763714677</v>
      </c>
      <c r="Q572" s="13">
        <f t="shared" si="640"/>
        <v>0.90418014454040363</v>
      </c>
      <c r="S572" s="3"/>
    </row>
    <row r="573" spans="2:19" x14ac:dyDescent="0.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38"/>
        <v>0.90313436122600887</v>
      </c>
      <c r="G573" s="13">
        <f t="shared" si="638"/>
        <v>0.90289647954827978</v>
      </c>
      <c r="H573" s="13">
        <f t="shared" si="638"/>
        <v>0.90388533486697742</v>
      </c>
      <c r="I573" s="13">
        <f t="shared" si="638"/>
        <v>0.90425760360632568</v>
      </c>
      <c r="J573" s="13">
        <f t="shared" si="638"/>
        <v>0.90426159108199078</v>
      </c>
      <c r="K573" s="13">
        <f t="shared" si="638"/>
        <v>0.90426610591858991</v>
      </c>
      <c r="L573" s="13">
        <f t="shared" ref="L573:O573" si="646">IFERROR(L180/L408,"-")</f>
        <v>0.90426599704490207</v>
      </c>
      <c r="M573" s="13">
        <f t="shared" si="646"/>
        <v>0.9042544599328004</v>
      </c>
      <c r="N573" s="13">
        <f t="shared" si="646"/>
        <v>0.90426538671370671</v>
      </c>
      <c r="O573" s="13">
        <f t="shared" si="646"/>
        <v>0.9042363734499238</v>
      </c>
      <c r="P573" s="13">
        <f t="shared" si="640"/>
        <v>0.90425299278668492</v>
      </c>
      <c r="Q573" s="13">
        <f t="shared" si="640"/>
        <v>0.9042022118673636</v>
      </c>
      <c r="S573" s="3"/>
    </row>
    <row r="574" spans="2:19" x14ac:dyDescent="0.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M574" t="s">
        <v>292</v>
      </c>
      <c r="N574" t="s">
        <v>292</v>
      </c>
      <c r="O574" t="s">
        <v>292</v>
      </c>
      <c r="P574" t="s">
        <v>292</v>
      </c>
      <c r="Q574" t="s">
        <v>292</v>
      </c>
      <c r="S574" s="3"/>
    </row>
    <row r="575" spans="2:19" x14ac:dyDescent="0.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0.59933820749442057</v>
      </c>
      <c r="G575" s="4">
        <f t="shared" ref="G575:K575" si="647">IFERROR(G212/G442,"-")</f>
        <v>0.55467926780495025</v>
      </c>
      <c r="H575" s="4">
        <f t="shared" si="647"/>
        <v>0.55471937547968875</v>
      </c>
      <c r="I575" s="4">
        <f t="shared" si="647"/>
        <v>0.38987853793576493</v>
      </c>
      <c r="J575" s="4">
        <f t="shared" si="647"/>
        <v>0.47939839363072728</v>
      </c>
      <c r="K575" s="4">
        <f t="shared" si="647"/>
        <v>0.47943666917225397</v>
      </c>
      <c r="L575" s="4">
        <f t="shared" ref="L575:O575" si="648">IFERROR(L212/L442,"-")</f>
        <v>0.38620671327660494</v>
      </c>
      <c r="M575" s="4">
        <f t="shared" si="648"/>
        <v>0.38138124623775171</v>
      </c>
      <c r="N575" s="4">
        <f t="shared" si="648"/>
        <v>0.38106525506440453</v>
      </c>
      <c r="O575" s="4">
        <f t="shared" si="648"/>
        <v>0.38156320053667869</v>
      </c>
      <c r="P575" s="4">
        <f>IFERROR(P212/P442,"-")</f>
        <v>0.3810022688820428</v>
      </c>
      <c r="Q575" s="4">
        <f>IFERROR(Q212/Q442,"-")</f>
        <v>0.38106486300060527</v>
      </c>
      <c r="S575" s="3"/>
    </row>
    <row r="576" spans="2:19" x14ac:dyDescent="0.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49">IFERROR(G218/G448,"-")</f>
        <v>2</v>
      </c>
      <c r="H576" s="4">
        <f t="shared" si="649"/>
        <v>2</v>
      </c>
      <c r="I576" s="4">
        <f t="shared" si="649"/>
        <v>2</v>
      </c>
      <c r="J576" s="4">
        <f t="shared" si="649"/>
        <v>2</v>
      </c>
      <c r="K576" s="4" t="str">
        <f t="shared" si="649"/>
        <v>-</v>
      </c>
      <c r="L576" s="4" t="str">
        <f t="shared" ref="L576:O576" si="650">IFERROR(L218/L448,"-")</f>
        <v>-</v>
      </c>
      <c r="M576" s="4" t="str">
        <f t="shared" si="650"/>
        <v>-</v>
      </c>
      <c r="N576" s="4" t="str">
        <f t="shared" si="650"/>
        <v>-</v>
      </c>
      <c r="O576" s="4" t="str">
        <f t="shared" si="650"/>
        <v>-</v>
      </c>
      <c r="P576" s="4" t="str">
        <f>IFERROR(P218/P448,"-")</f>
        <v>-</v>
      </c>
      <c r="Q576" s="4" t="str">
        <f>IFERROR(Q218/Q448,"-")</f>
        <v>-</v>
      </c>
      <c r="S576" s="3"/>
    </row>
    <row r="577" spans="2:19" x14ac:dyDescent="0.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0.85445501111132371</v>
      </c>
      <c r="G577" s="4">
        <f t="shared" ref="G577:K577" si="651">IFERROR(G220/G450,"-")</f>
        <v>0.85445501111132505</v>
      </c>
      <c r="H577" s="4">
        <f t="shared" si="651"/>
        <v>0.85445501111132482</v>
      </c>
      <c r="I577" s="4">
        <f t="shared" si="651"/>
        <v>0.85445501111132505</v>
      </c>
      <c r="J577" s="4">
        <f t="shared" si="651"/>
        <v>0.85445501111132438</v>
      </c>
      <c r="K577" s="4">
        <f t="shared" si="651"/>
        <v>0.85445501111132605</v>
      </c>
      <c r="L577" s="4">
        <f t="shared" ref="L577:O577" si="652">IFERROR(L220/L450,"-")</f>
        <v>0.85445501111132494</v>
      </c>
      <c r="M577" s="4">
        <f t="shared" si="652"/>
        <v>0.8544550111113246</v>
      </c>
      <c r="N577" s="4">
        <f t="shared" si="652"/>
        <v>0.85445501111132571</v>
      </c>
      <c r="O577" s="4">
        <f t="shared" si="652"/>
        <v>0.85445501111132593</v>
      </c>
      <c r="P577" s="4">
        <f>IFERROR(P220/P450,"-")</f>
        <v>0.85445501111132505</v>
      </c>
      <c r="Q577" s="4">
        <f>IFERROR(Q220/Q450,"-")</f>
        <v>0.85445501111132494</v>
      </c>
      <c r="S577" s="3"/>
    </row>
    <row r="578" spans="2:19" x14ac:dyDescent="0.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0.70000000000000062</v>
      </c>
      <c r="G578" s="4">
        <f t="shared" ref="G578:K578" si="653">IFERROR(G226/G456,"-")</f>
        <v>0.69999999999999984</v>
      </c>
      <c r="H578" s="4">
        <f t="shared" si="653"/>
        <v>0.69999999999999973</v>
      </c>
      <c r="I578" s="4">
        <f t="shared" si="653"/>
        <v>0.69999999999999973</v>
      </c>
      <c r="J578" s="4">
        <f t="shared" si="653"/>
        <v>0.70000000000000007</v>
      </c>
      <c r="K578" s="4">
        <f t="shared" si="653"/>
        <v>0.70000000000000007</v>
      </c>
      <c r="L578" s="4">
        <f t="shared" ref="L578:O578" si="654">IFERROR(L226/L456,"-")</f>
        <v>0.70000000000000051</v>
      </c>
      <c r="M578" s="4">
        <f t="shared" si="654"/>
        <v>0.70000000000000062</v>
      </c>
      <c r="N578" s="4">
        <f t="shared" si="654"/>
        <v>0.70000000000000029</v>
      </c>
      <c r="O578" s="4">
        <f t="shared" si="654"/>
        <v>0.70000000000000007</v>
      </c>
      <c r="P578" s="4">
        <f>IFERROR(P226/P456,"-")</f>
        <v>0.69999999999999984</v>
      </c>
      <c r="Q578" s="4">
        <f>IFERROR(Q226/Q456,"-")</f>
        <v>0.70000000000000018</v>
      </c>
      <c r="S578" s="3"/>
    </row>
    <row r="579" spans="2:19" x14ac:dyDescent="0.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55">IFERROR(G228/G458,"-")</f>
        <v>-</v>
      </c>
      <c r="H579" t="str">
        <f t="shared" si="655"/>
        <v>-</v>
      </c>
      <c r="I579">
        <f t="shared" si="655"/>
        <v>0.50000000000000022</v>
      </c>
      <c r="J579">
        <f t="shared" si="655"/>
        <v>0.50000000000000022</v>
      </c>
      <c r="K579">
        <f t="shared" si="655"/>
        <v>0.50000000000000022</v>
      </c>
      <c r="L579">
        <f t="shared" ref="L579:O579" si="656">IFERROR(L228/L458,"-")</f>
        <v>0.49999999999999989</v>
      </c>
      <c r="M579">
        <f t="shared" si="656"/>
        <v>0.49999999999999972</v>
      </c>
      <c r="N579">
        <f t="shared" si="656"/>
        <v>0.5</v>
      </c>
      <c r="O579">
        <f t="shared" si="656"/>
        <v>0.50000000000000011</v>
      </c>
      <c r="P579">
        <f>IFERROR(P228/P458,"-")</f>
        <v>0.5</v>
      </c>
      <c r="Q579">
        <f>IFERROR(Q228/Q458,"-")</f>
        <v>0.49999999999999917</v>
      </c>
      <c r="S579" s="3"/>
    </row>
    <row r="580" spans="2:19" x14ac:dyDescent="0.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57">IFERROR(G230/G460,"-")</f>
        <v>-</v>
      </c>
      <c r="H580" t="str">
        <f t="shared" si="657"/>
        <v>-</v>
      </c>
      <c r="I580" t="str">
        <f t="shared" si="657"/>
        <v>-</v>
      </c>
      <c r="J580" t="str">
        <f t="shared" si="657"/>
        <v>-</v>
      </c>
      <c r="K580">
        <f t="shared" si="657"/>
        <v>0.85000000000000042</v>
      </c>
      <c r="L580">
        <f t="shared" ref="L580:O580" si="658">IFERROR(L230/L460,"-")</f>
        <v>0.85000000000000075</v>
      </c>
      <c r="M580">
        <f t="shared" si="658"/>
        <v>0.8500000000000002</v>
      </c>
      <c r="N580">
        <f t="shared" si="658"/>
        <v>0.85000000000000042</v>
      </c>
      <c r="O580">
        <f t="shared" si="658"/>
        <v>0.85000000000000042</v>
      </c>
      <c r="P580">
        <f>IFERROR(P230/P460,"-")</f>
        <v>0.85000000000000064</v>
      </c>
      <c r="Q580">
        <f>IFERROR(Q230/Q460,"-")</f>
        <v>0.84999999999999953</v>
      </c>
      <c r="S580" s="3"/>
    </row>
    <row r="581" spans="2:19" x14ac:dyDescent="0.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59">IFERROR(G232/G462,"-")</f>
        <v>3.0000000000000004</v>
      </c>
      <c r="H581" s="4">
        <f t="shared" si="659"/>
        <v>2.9999999999999991</v>
      </c>
      <c r="I581" s="4">
        <f t="shared" si="659"/>
        <v>3.0000000000000018</v>
      </c>
      <c r="J581" s="4">
        <f t="shared" si="659"/>
        <v>3.0000000000000009</v>
      </c>
      <c r="K581" s="4">
        <f t="shared" si="659"/>
        <v>2.9999999999999978</v>
      </c>
      <c r="L581" s="4">
        <f t="shared" ref="L581:O581" si="660">IFERROR(L232/L462,"-")</f>
        <v>3.0000000000000027</v>
      </c>
      <c r="M581" s="4">
        <f t="shared" si="660"/>
        <v>2.9999999999999947</v>
      </c>
      <c r="N581" s="4">
        <f t="shared" si="660"/>
        <v>3.0000000000000013</v>
      </c>
      <c r="O581" s="4">
        <f t="shared" si="660"/>
        <v>3.0000000000000009</v>
      </c>
      <c r="P581" s="4">
        <f>IFERROR(P232/P462,"-")</f>
        <v>3.0000000000000004</v>
      </c>
      <c r="Q581" s="4">
        <f>IFERROR(Q232/Q462,"-")</f>
        <v>3.0000000000000009</v>
      </c>
      <c r="S581" s="3"/>
    </row>
    <row r="582" spans="2:19" x14ac:dyDescent="0.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0.6280324052813665</v>
      </c>
      <c r="G582" s="3">
        <f>[1]Other_transformation!C$5</f>
        <v>0.63726163748484699</v>
      </c>
      <c r="H582" s="3">
        <f>[1]Other_transformation!D$5</f>
        <v>0.63091909888992825</v>
      </c>
      <c r="I582" s="3">
        <f>[1]Other_transformation!E$5</f>
        <v>3.863059565957575E-4</v>
      </c>
      <c r="J582" s="3">
        <f>[1]Other_transformation!F$5</f>
        <v>3.0772662581496314E-4</v>
      </c>
      <c r="K582" s="3">
        <f>[1]Other_transformation!G$5</f>
        <v>7.6578949243698063E-4</v>
      </c>
      <c r="L582" s="3">
        <f>[1]Other_transformation!H$5</f>
        <v>9.6302342172668377E-4</v>
      </c>
      <c r="M582" s="3">
        <f>[1]Other_transformation!I$5</f>
        <v>0.20859626447189672</v>
      </c>
      <c r="N582" s="3">
        <f>[1]Other_transformation!J$5</f>
        <v>0.28518723936851592</v>
      </c>
      <c r="O582" s="3">
        <f>[1]Other_transformation!K$5</f>
        <v>0.46505199359218613</v>
      </c>
      <c r="P582" s="3">
        <f>[1]Other_transformation!L$5</f>
        <v>1.3152165971102321</v>
      </c>
      <c r="Q582" s="3">
        <f>[1]Other_transformation!M$5</f>
        <v>1.578957369024607</v>
      </c>
      <c r="S582" s="3"/>
    </row>
    <row r="583" spans="2:19" x14ac:dyDescent="0.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0.6280324052813665</v>
      </c>
      <c r="G583" s="1">
        <f t="shared" ref="G583:K583" si="661">G582</f>
        <v>0.63726163748484699</v>
      </c>
      <c r="H583" s="1">
        <f t="shared" si="661"/>
        <v>0.63091909888992825</v>
      </c>
      <c r="I583" s="1">
        <f t="shared" si="661"/>
        <v>3.863059565957575E-4</v>
      </c>
      <c r="J583" s="1">
        <f t="shared" si="661"/>
        <v>3.0772662581496314E-4</v>
      </c>
      <c r="K583" s="1">
        <f t="shared" si="661"/>
        <v>7.6578949243698063E-4</v>
      </c>
      <c r="L583" s="1">
        <f t="shared" ref="L583:O583" si="662">L582</f>
        <v>9.6302342172668377E-4</v>
      </c>
      <c r="M583" s="1">
        <f t="shared" si="662"/>
        <v>0.20859626447189672</v>
      </c>
      <c r="N583" s="1">
        <f t="shared" si="662"/>
        <v>0.28518723936851592</v>
      </c>
      <c r="O583" s="1">
        <f t="shared" si="662"/>
        <v>0.46505199359218613</v>
      </c>
      <c r="P583" s="1">
        <f>P582</f>
        <v>1.3152165971102321</v>
      </c>
      <c r="Q583" s="1">
        <f>Q582</f>
        <v>1.578957369024607</v>
      </c>
      <c r="S583" s="3"/>
    </row>
    <row r="584" spans="2:19" x14ac:dyDescent="0.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0.6280324052813665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0.63726163748484699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0.63091909888992825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3.863059565957575E-4</v>
      </c>
      <c r="J584" s="1" cm="1">
        <f t="array" ref="J584">SUMPRODUCT(("CT_CWODBDS"=[1]OUT_SyntheticFuels!$C$4:$C$1000)*1,("BDS"=[1]OUT_SyntheticFuels!$A$4:$A$1000)*1,("Var_Fout"=[1]OUT_SyntheticFuels!$B$4:$B$1000)*1,[1]OUT_SyntheticFuels!I$4:I$1000)</f>
        <v>3.0772662581496314E-4</v>
      </c>
      <c r="K584" s="1" cm="1">
        <f t="array" ref="K584">SUMPRODUCT(("CT_CWODBDS"=[1]OUT_SyntheticFuels!$C$4:$C$1000)*1,("BDS"=[1]OUT_SyntheticFuels!$A$4:$A$1000)*1,("Var_Fout"=[1]OUT_SyntheticFuels!$B$4:$B$1000)*1,[1]OUT_SyntheticFuels!J$4:J$1000)</f>
        <v>7.6578949243698063E-4</v>
      </c>
      <c r="L584" s="1" cm="1">
        <f t="array" ref="L584">SUMPRODUCT(("CT_CWODBDS"=[1]OUT_SyntheticFuels!$C$4:$C$1000)*1,("BDS"=[1]OUT_SyntheticFuels!$A$4:$A$1000)*1,("Var_Fout"=[1]OUT_SyntheticFuels!$B$4:$B$1000)*1,[1]OUT_SyntheticFuels!K$4:K$1000)</f>
        <v>9.6302342172668377E-4</v>
      </c>
      <c r="M584" s="1" cm="1">
        <f t="array" ref="M584">SUMPRODUCT(("CT_CWODBDS"=[1]OUT_SyntheticFuels!$C$4:$C$1000)*1,("BDS"=[1]OUT_SyntheticFuels!$A$4:$A$1000)*1,("Var_Fout"=[1]OUT_SyntheticFuels!$B$4:$B$1000)*1,[1]OUT_SyntheticFuels!L$4:L$1000)</f>
        <v>0.20859626447189672</v>
      </c>
      <c r="N584" s="1" cm="1">
        <f t="array" ref="N584">SUMPRODUCT(("CT_CWODBDS"=[1]OUT_SyntheticFuels!$C$4:$C$1000)*1,("BDS"=[1]OUT_SyntheticFuels!$A$4:$A$1000)*1,("Var_Fout"=[1]OUT_SyntheticFuels!$B$4:$B$1000)*1,[1]OUT_SyntheticFuels!M$4:M$1000)</f>
        <v>0.28518723936851592</v>
      </c>
      <c r="O584" s="1" cm="1">
        <f t="array" ref="O584">SUMPRODUCT(("CT_CWODBDS"=[1]OUT_SyntheticFuels!$C$4:$C$1000)*1,("BDS"=[1]OUT_SyntheticFuels!$A$4:$A$1000)*1,("Var_Fout"=[1]OUT_SyntheticFuels!$B$4:$B$1000)*1,[1]OUT_SyntheticFuels!N$4:N$1000)</f>
        <v>0.46505199359218613</v>
      </c>
      <c r="P584" s="1" cm="1">
        <f t="array" ref="P584">SUMPRODUCT(("CT_CWODBDS"=[1]OUT_SyntheticFuels!$C$4:$C$1000)*1,("BDS"=[1]OUT_SyntheticFuels!$A$4:$A$1000)*1,("Var_Fout"=[1]OUT_SyntheticFuels!$B$4:$B$1000)*1,[1]OUT_SyntheticFuels!O$4:O$1000)</f>
        <v>1.3152165971102321</v>
      </c>
      <c r="Q584" s="1" cm="1">
        <f t="array" ref="Q584">SUMPRODUCT(("CT_CWODBDS"=[1]OUT_SyntheticFuels!$C$4:$C$1000)*1,("BDS"=[1]OUT_SyntheticFuels!$A$4:$A$1000)*1,("Var_Fout"=[1]OUT_SyntheticFuels!$B$4:$B$1000)*1,[1]OUT_SyntheticFuels!P$4:P$1000)</f>
        <v>1.578957369024607</v>
      </c>
      <c r="S584" s="3"/>
    </row>
    <row r="585" spans="2:19" x14ac:dyDescent="0.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SUMPRODUCT(("CT_CWODBDSCCS"=[1]OUT_SyntheticFuels!$C$4:$C$1000)*1,("BDS"=[1]OUT_SyntheticFuels!$A$4:$A$1000)*1,("Var_Fout"=[1]OUT_SyntheticFuels!$B$4:$B$1000)*1,[1]OUT_SyntheticFuels!I$4:I$1000)</f>
        <v>0</v>
      </c>
      <c r="K585" s="1" cm="1">
        <f t="array" ref="K585">SUMPRODUCT(("CT_CWODBDSCCS"=[1]OUT_SyntheticFuels!$C$4:$C$1000)*1,("BDS"=[1]OUT_SyntheticFuels!$A$4:$A$1000)*1,("Var_Fout"=[1]OUT_SyntheticFuels!$B$4:$B$1000)*1,[1]OUT_SyntheticFuels!J$4:J$1000)</f>
        <v>0</v>
      </c>
      <c r="L585" s="1" cm="1">
        <f t="array" ref="L585">SUMPRODUCT(("CT_CWODBDSCCS"=[1]OUT_SyntheticFuels!$C$4:$C$1000)*1,("BDS"=[1]OUT_SyntheticFuels!$A$4:$A$1000)*1,("Var_Fout"=[1]OUT_SyntheticFuels!$B$4:$B$1000)*1,[1]OUT_SyntheticFuels!K$4:K$1000)</f>
        <v>0</v>
      </c>
      <c r="M585" s="1" cm="1">
        <f t="array" ref="M585">SUMPRODUCT(("CT_CWODBDSCCS"=[1]OUT_SyntheticFuels!$C$4:$C$1000)*1,("BDS"=[1]OUT_SyntheticFuels!$A$4:$A$1000)*1,("Var_Fout"=[1]OUT_SyntheticFuels!$B$4:$B$1000)*1,[1]OUT_SyntheticFuels!L$4:L$1000)</f>
        <v>0</v>
      </c>
      <c r="N585" s="1" cm="1">
        <f t="array" ref="N585">SUMPRODUCT(("CT_CWODBDSCCS"=[1]OUT_SyntheticFuels!$C$4:$C$1000)*1,("BDS"=[1]OUT_SyntheticFuels!$A$4:$A$1000)*1,("Var_Fout"=[1]OUT_SyntheticFuels!$B$4:$B$1000)*1,[1]OUT_SyntheticFuels!M$4:M$1000)</f>
        <v>0</v>
      </c>
      <c r="O585" s="1" cm="1">
        <f t="array" ref="O585">SUMPRODUCT(("CT_CWODBDSCCS"=[1]OUT_SyntheticFuels!$C$4:$C$1000)*1,("BDS"=[1]OUT_SyntheticFuels!$A$4:$A$1000)*1,("Var_Fout"=[1]OUT_SyntheticFuels!$B$4:$B$1000)*1,[1]OUT_SyntheticFuels!N$4:N$1000)</f>
        <v>0</v>
      </c>
      <c r="P585" s="1" cm="1">
        <f t="array" ref="P585">SUMPRODUCT(("CT_CWODBDSCCS"=[1]OUT_SyntheticFuels!$C$4:$C$1000)*1,("BDS"=[1]OUT_SyntheticFuels!$A$4:$A$1000)*1,("Var_Fout"=[1]OUT_SyntheticFuels!$B$4:$B$1000)*1,[1]OUT_SyntheticFuels!O$4:O$1000)</f>
        <v>0</v>
      </c>
      <c r="Q585" s="1" cm="1">
        <f t="array" ref="Q585">SUMPRODUCT(("CT_CWODBDSCCS"=[1]OUT_SyntheticFuels!$C$4:$C$1000)*1,("BDS"=[1]OUT_SyntheticFuels!$A$4:$A$1000)*1,("Var_Fout"=[1]OUT_SyntheticFuels!$B$4:$B$1000)*1,[1]OUT_SyntheticFuels!P$4:P$1000)</f>
        <v>0</v>
      </c>
      <c r="S585" s="3"/>
    </row>
    <row r="586" spans="2:19" x14ac:dyDescent="0.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0.24493263805973267</v>
      </c>
      <c r="G586" s="3">
        <f t="shared" ref="G586:O586" si="663">G587</f>
        <v>0.24853203861908998</v>
      </c>
      <c r="H586" s="3">
        <f t="shared" si="663"/>
        <v>0.24605844856707182</v>
      </c>
      <c r="I586" s="3">
        <f t="shared" si="663"/>
        <v>1.5065932307234512E-4</v>
      </c>
      <c r="J586" s="3">
        <f t="shared" si="663"/>
        <v>1.2001338406783545E-4</v>
      </c>
      <c r="K586" s="3">
        <f t="shared" si="663"/>
        <v>2.9865790205042217E-4</v>
      </c>
      <c r="L586" s="3">
        <f t="shared" si="663"/>
        <v>3.7557913447340628E-4</v>
      </c>
      <c r="M586" s="3">
        <f t="shared" si="663"/>
        <v>8.1352543144039682E-2</v>
      </c>
      <c r="N586" s="3">
        <f t="shared" si="663"/>
        <v>0.11122302335372099</v>
      </c>
      <c r="O586" s="3">
        <f t="shared" si="663"/>
        <v>0.18137027750095241</v>
      </c>
      <c r="P586" s="3">
        <f>P587</f>
        <v>0.51293447287298999</v>
      </c>
      <c r="Q586" s="3">
        <f>Q587</f>
        <v>0.61579337391959543</v>
      </c>
      <c r="S586" s="3"/>
    </row>
    <row r="587" spans="2:19" x14ac:dyDescent="0.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0.24493263805973267</v>
      </c>
      <c r="G587" s="1">
        <f t="shared" ref="G587:K587" si="664">SUM(G588:G589)</f>
        <v>0.24853203861908998</v>
      </c>
      <c r="H587" s="1">
        <f t="shared" si="664"/>
        <v>0.24605844856707182</v>
      </c>
      <c r="I587" s="1">
        <f t="shared" si="664"/>
        <v>1.5065932307234512E-4</v>
      </c>
      <c r="J587" s="1">
        <f t="shared" si="664"/>
        <v>1.2001338406783545E-4</v>
      </c>
      <c r="K587" s="1">
        <f t="shared" si="664"/>
        <v>2.9865790205042217E-4</v>
      </c>
      <c r="L587" s="1">
        <f t="shared" ref="L587:O587" si="665">SUM(L588:L589)</f>
        <v>3.7557913447340628E-4</v>
      </c>
      <c r="M587" s="1">
        <f t="shared" si="665"/>
        <v>8.1352543144039682E-2</v>
      </c>
      <c r="N587" s="1">
        <f t="shared" si="665"/>
        <v>0.11122302335372099</v>
      </c>
      <c r="O587" s="1">
        <f t="shared" si="665"/>
        <v>0.18137027750095241</v>
      </c>
      <c r="P587" s="1">
        <f>SUM(P588:P589)</f>
        <v>0.51293447287298999</v>
      </c>
      <c r="Q587" s="1">
        <f>SUM(Q588:Q589)</f>
        <v>0.61579337391959543</v>
      </c>
      <c r="S587" s="3"/>
    </row>
    <row r="588" spans="2:19" x14ac:dyDescent="0.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0.24493263805973267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0.24853203861908998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0.24605844856707182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1.5065932307234512E-4</v>
      </c>
      <c r="J588" s="1" cm="1">
        <f t="array" ref="J588">SUMPRODUCT(("CT_CWODBDS"=[1]OUT_SyntheticFuels!$C$4:$C$1000)*1,("LTH"=[1]OUT_SyntheticFuels!$A$4:$A$1000)*1,("Var_Fout"=[1]OUT_SyntheticFuels!$B$4:$B$1000)*1,[1]OUT_SyntheticFuels!I$4:I$1000)</f>
        <v>1.2001338406783545E-4</v>
      </c>
      <c r="K588" s="1" cm="1">
        <f t="array" ref="K588">SUMPRODUCT(("CT_CWODBDS"=[1]OUT_SyntheticFuels!$C$4:$C$1000)*1,("LTH"=[1]OUT_SyntheticFuels!$A$4:$A$1000)*1,("Var_Fout"=[1]OUT_SyntheticFuels!$B$4:$B$1000)*1,[1]OUT_SyntheticFuels!J$4:J$1000)</f>
        <v>2.9865790205042217E-4</v>
      </c>
      <c r="L588" s="1" cm="1">
        <f t="array" ref="L588">SUMPRODUCT(("CT_CWODBDS"=[1]OUT_SyntheticFuels!$C$4:$C$1000)*1,("LTH"=[1]OUT_SyntheticFuels!$A$4:$A$1000)*1,("Var_Fout"=[1]OUT_SyntheticFuels!$B$4:$B$1000)*1,[1]OUT_SyntheticFuels!K$4:K$1000)</f>
        <v>3.7557913447340628E-4</v>
      </c>
      <c r="M588" s="1" cm="1">
        <f t="array" ref="M588">SUMPRODUCT(("CT_CWODBDS"=[1]OUT_SyntheticFuels!$C$4:$C$1000)*1,("LTH"=[1]OUT_SyntheticFuels!$A$4:$A$1000)*1,("Var_Fout"=[1]OUT_SyntheticFuels!$B$4:$B$1000)*1,[1]OUT_SyntheticFuels!L$4:L$1000)</f>
        <v>8.1352543144039682E-2</v>
      </c>
      <c r="N588" s="1" cm="1">
        <f t="array" ref="N588">SUMPRODUCT(("CT_CWODBDS"=[1]OUT_SyntheticFuels!$C$4:$C$1000)*1,("LTH"=[1]OUT_SyntheticFuels!$A$4:$A$1000)*1,("Var_Fout"=[1]OUT_SyntheticFuels!$B$4:$B$1000)*1,[1]OUT_SyntheticFuels!M$4:M$1000)</f>
        <v>0.11122302335372099</v>
      </c>
      <c r="O588" s="1" cm="1">
        <f t="array" ref="O588">SUMPRODUCT(("CT_CWODBDS"=[1]OUT_SyntheticFuels!$C$4:$C$1000)*1,("LTH"=[1]OUT_SyntheticFuels!$A$4:$A$1000)*1,("Var_Fout"=[1]OUT_SyntheticFuels!$B$4:$B$1000)*1,[1]OUT_SyntheticFuels!N$4:N$1000)</f>
        <v>0.18137027750095241</v>
      </c>
      <c r="P588" s="1" cm="1">
        <f t="array" ref="P588">SUMPRODUCT(("CT_CWODBDS"=[1]OUT_SyntheticFuels!$C$4:$C$1000)*1,("LTH"=[1]OUT_SyntheticFuels!$A$4:$A$1000)*1,("Var_Fout"=[1]OUT_SyntheticFuels!$B$4:$B$1000)*1,[1]OUT_SyntheticFuels!O$4:O$1000)</f>
        <v>0.51293447287298999</v>
      </c>
      <c r="Q588" s="1" cm="1">
        <f t="array" ref="Q588">SUMPRODUCT(("CT_CWODBDS"=[1]OUT_SyntheticFuels!$C$4:$C$1000)*1,("LTH"=[1]OUT_SyntheticFuels!$A$4:$A$1000)*1,("Var_Fout"=[1]OUT_SyntheticFuels!$B$4:$B$1000)*1,[1]OUT_SyntheticFuels!P$4:P$1000)</f>
        <v>0.61579337391959543</v>
      </c>
      <c r="S588" s="3"/>
    </row>
    <row r="589" spans="2:19" x14ac:dyDescent="0.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SUMPRODUCT(("CT_CWODBDSCCS"=[1]OUT_SyntheticFuels!$C$4:$C$1000)*1,("LTH"=[1]OUT_SyntheticFuels!$A$4:$A$1000)*1,("Var_Fout"=[1]OUT_SyntheticFuels!$B$4:$B$1000)*1,[1]OUT_SyntheticFuels!I$4:I$1000)</f>
        <v>0</v>
      </c>
      <c r="K589" s="1" cm="1">
        <f t="array" ref="K589">SUMPRODUCT(("CT_CWODBDSCCS"=[1]OUT_SyntheticFuels!$C$4:$C$1000)*1,("LTH"=[1]OUT_SyntheticFuels!$A$4:$A$1000)*1,("Var_Fout"=[1]OUT_SyntheticFuels!$B$4:$B$1000)*1,[1]OUT_SyntheticFuels!J$4:J$1000)</f>
        <v>0</v>
      </c>
      <c r="L589" s="1" cm="1">
        <f t="array" ref="L589">SUMPRODUCT(("CT_CWODBDSCCS"=[1]OUT_SyntheticFuels!$C$4:$C$1000)*1,("LTH"=[1]OUT_SyntheticFuels!$A$4:$A$1000)*1,("Var_Fout"=[1]OUT_SyntheticFuels!$B$4:$B$1000)*1,[1]OUT_SyntheticFuels!K$4:K$1000)</f>
        <v>0</v>
      </c>
      <c r="M589" s="1" cm="1">
        <f t="array" ref="M589">SUMPRODUCT(("CT_CWODBDSCCS"=[1]OUT_SyntheticFuels!$C$4:$C$1000)*1,("LTH"=[1]OUT_SyntheticFuels!$A$4:$A$1000)*1,("Var_Fout"=[1]OUT_SyntheticFuels!$B$4:$B$1000)*1,[1]OUT_SyntheticFuels!L$4:L$1000)</f>
        <v>0</v>
      </c>
      <c r="N589" s="1" cm="1">
        <f t="array" ref="N589">SUMPRODUCT(("CT_CWODBDSCCS"=[1]OUT_SyntheticFuels!$C$4:$C$1000)*1,("LTH"=[1]OUT_SyntheticFuels!$A$4:$A$1000)*1,("Var_Fout"=[1]OUT_SyntheticFuels!$B$4:$B$1000)*1,[1]OUT_SyntheticFuels!M$4:M$1000)</f>
        <v>0</v>
      </c>
      <c r="O589" s="1" cm="1">
        <f t="array" ref="O589">SUMPRODUCT(("CT_CWODBDSCCS"=[1]OUT_SyntheticFuels!$C$4:$C$1000)*1,("LTH"=[1]OUT_SyntheticFuels!$A$4:$A$1000)*1,("Var_Fout"=[1]OUT_SyntheticFuels!$B$4:$B$1000)*1,[1]OUT_SyntheticFuels!N$4:N$1000)</f>
        <v>0</v>
      </c>
      <c r="P589" s="1" cm="1">
        <f t="array" ref="P589">SUMPRODUCT(("CT_CWODBDSCCS"=[1]OUT_SyntheticFuels!$C$4:$C$1000)*1,("LTH"=[1]OUT_SyntheticFuels!$A$4:$A$1000)*1,("Var_Fout"=[1]OUT_SyntheticFuels!$B$4:$B$1000)*1,[1]OUT_SyntheticFuels!O$4:O$1000)</f>
        <v>0</v>
      </c>
      <c r="Q589" s="1" cm="1">
        <f t="array" ref="Q589">SUMPRODUCT(("CT_CWODBDSCCS"=[1]OUT_SyntheticFuels!$C$4:$C$1000)*1,("LTH"=[1]OUT_SyntheticFuels!$A$4:$A$1000)*1,("Var_Fout"=[1]OUT_SyntheticFuels!$B$4:$B$1000)*1,[1]OUT_SyntheticFuels!P$4:P$1000)</f>
        <v>0</v>
      </c>
      <c r="S589" s="3"/>
    </row>
    <row r="590" spans="2:19" x14ac:dyDescent="0.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1.8332265910163095</v>
      </c>
      <c r="G590" s="3">
        <f t="shared" ref="G590:K590" si="666">G591+G594</f>
        <v>1.8601667198182672</v>
      </c>
      <c r="H590" s="3">
        <f t="shared" si="666"/>
        <v>1.8416528496597013</v>
      </c>
      <c r="I590" s="3">
        <f t="shared" si="666"/>
        <v>1.1276270873030161E-3</v>
      </c>
      <c r="J590" s="3">
        <f t="shared" si="666"/>
        <v>8.9825402075387781E-4</v>
      </c>
      <c r="K590" s="3">
        <f t="shared" si="666"/>
        <v>2.2353395284235465E-3</v>
      </c>
      <c r="L590" s="3">
        <f t="shared" ref="L590:O590" si="667">L591+L594</f>
        <v>2.81106536802019E-3</v>
      </c>
      <c r="M590" s="3">
        <f t="shared" si="667"/>
        <v>0.60889249599346695</v>
      </c>
      <c r="N590" s="3">
        <f t="shared" si="667"/>
        <v>0.83246155171669756</v>
      </c>
      <c r="O590" s="3">
        <f t="shared" si="667"/>
        <v>1.3574867692955901</v>
      </c>
      <c r="P590" s="3">
        <f>P591+P594</f>
        <v>3.8391172469647699</v>
      </c>
      <c r="Q590" s="3">
        <f>Q591+Q594</f>
        <v>4.6089765601828212</v>
      </c>
      <c r="S590" s="3"/>
    </row>
    <row r="591" spans="2:19" x14ac:dyDescent="0.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1.7895783388492545</v>
      </c>
      <c r="G591" s="1">
        <f t="shared" ref="G591:K591" si="668">SUM(G592:G593)</f>
        <v>1.8158770360130703</v>
      </c>
      <c r="H591" s="1">
        <f t="shared" si="668"/>
        <v>1.7978039722868513</v>
      </c>
      <c r="I591" s="1">
        <f t="shared" si="668"/>
        <v>1.100778823319611E-3</v>
      </c>
      <c r="J591" s="1">
        <f t="shared" si="668"/>
        <v>8.7686702025973782E-4</v>
      </c>
      <c r="K591" s="1">
        <f t="shared" si="668"/>
        <v>2.1821171586991765E-3</v>
      </c>
      <c r="L591" s="1">
        <f t="shared" ref="L591:O591" si="669">SUM(L592:L593)</f>
        <v>2.7441352402101855E-3</v>
      </c>
      <c r="M591" s="1">
        <f t="shared" si="669"/>
        <v>0.59439505561267014</v>
      </c>
      <c r="N591" s="1">
        <f t="shared" si="669"/>
        <v>0.81264103858058567</v>
      </c>
      <c r="O591" s="1">
        <f t="shared" si="669"/>
        <v>1.3251656557409333</v>
      </c>
      <c r="P591" s="1">
        <f>SUM(P592:P593)</f>
        <v>3.7477096934656089</v>
      </c>
      <c r="Q591" s="1">
        <f>SUM(Q592:Q593)</f>
        <v>4.499239023035611</v>
      </c>
      <c r="S591" s="3"/>
    </row>
    <row r="592" spans="2:19" x14ac:dyDescent="0.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1.7895783388492545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1.8158770360130703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1.7978039722868513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1.100778823319611E-3</v>
      </c>
      <c r="J592" s="1" cm="1">
        <f t="array" ref="J592">SUMPRODUCT(("CT_CWODBDS"=[1]OUT_SyntheticFuels!$C$4:$C$1000)*1,("CWOD"=[1]OUT_SyntheticFuels!$A$4:$A$1000)*1,("Var_Fin"=[1]OUT_SyntheticFuels!$B$4:$B$1000)*1,[1]OUT_SyntheticFuels!I$4:I$1000)</f>
        <v>8.7686702025973782E-4</v>
      </c>
      <c r="K592" s="1" cm="1">
        <f t="array" ref="K592">SUMPRODUCT(("CT_CWODBDS"=[1]OUT_SyntheticFuels!$C$4:$C$1000)*1,("CWOD"=[1]OUT_SyntheticFuels!$A$4:$A$1000)*1,("Var_Fin"=[1]OUT_SyntheticFuels!$B$4:$B$1000)*1,[1]OUT_SyntheticFuels!J$4:J$1000)</f>
        <v>2.1821171586991765E-3</v>
      </c>
      <c r="L592" s="1" cm="1">
        <f t="array" ref="L592">SUMPRODUCT(("CT_CWODBDS"=[1]OUT_SyntheticFuels!$C$4:$C$1000)*1,("CWOD"=[1]OUT_SyntheticFuels!$A$4:$A$1000)*1,("Var_Fin"=[1]OUT_SyntheticFuels!$B$4:$B$1000)*1,[1]OUT_SyntheticFuels!K$4:K$1000)</f>
        <v>2.7441352402101855E-3</v>
      </c>
      <c r="M592" s="1" cm="1">
        <f t="array" ref="M592">SUMPRODUCT(("CT_CWODBDS"=[1]OUT_SyntheticFuels!$C$4:$C$1000)*1,("CWOD"=[1]OUT_SyntheticFuels!$A$4:$A$1000)*1,("Var_Fin"=[1]OUT_SyntheticFuels!$B$4:$B$1000)*1,[1]OUT_SyntheticFuels!L$4:L$1000)</f>
        <v>0.59439505561267014</v>
      </c>
      <c r="N592" s="1" cm="1">
        <f t="array" ref="N592">SUMPRODUCT(("CT_CWODBDS"=[1]OUT_SyntheticFuels!$C$4:$C$1000)*1,("CWOD"=[1]OUT_SyntheticFuels!$A$4:$A$1000)*1,("Var_Fin"=[1]OUT_SyntheticFuels!$B$4:$B$1000)*1,[1]OUT_SyntheticFuels!M$4:M$1000)</f>
        <v>0.81264103858058567</v>
      </c>
      <c r="O592" s="1" cm="1">
        <f t="array" ref="O592">SUMPRODUCT(("CT_CWODBDS"=[1]OUT_SyntheticFuels!$C$4:$C$1000)*1,("CWOD"=[1]OUT_SyntheticFuels!$A$4:$A$1000)*1,("Var_Fin"=[1]OUT_SyntheticFuels!$B$4:$B$1000)*1,[1]OUT_SyntheticFuels!N$4:N$1000)</f>
        <v>1.3251656557409333</v>
      </c>
      <c r="P592" s="1" cm="1">
        <f t="array" ref="P592">SUMPRODUCT(("CT_CWODBDS"=[1]OUT_SyntheticFuels!$C$4:$C$1000)*1,("CWOD"=[1]OUT_SyntheticFuels!$A$4:$A$1000)*1,("Var_Fin"=[1]OUT_SyntheticFuels!$B$4:$B$1000)*1,[1]OUT_SyntheticFuels!O$4:O$1000)</f>
        <v>3.7477096934656089</v>
      </c>
      <c r="Q592" s="1" cm="1">
        <f t="array" ref="Q592">SUMPRODUCT(("CT_CWODBDS"=[1]OUT_SyntheticFuels!$C$4:$C$1000)*1,("CWOD"=[1]OUT_SyntheticFuels!$A$4:$A$1000)*1,("Var_Fin"=[1]OUT_SyntheticFuels!$B$4:$B$1000)*1,[1]OUT_SyntheticFuels!P$4:P$1000)</f>
        <v>4.499239023035611</v>
      </c>
      <c r="S592" s="3"/>
    </row>
    <row r="593" spans="2:19" x14ac:dyDescent="0.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SUMPRODUCT(("CT_CWODBDSCCS"=[1]OUT_SyntheticFuels!$C$4:$C$1000)*1,("CWOD"=[1]OUT_SyntheticFuels!$A$4:$A$1000)*1,("Var_Fin"=[1]OUT_SyntheticFuels!$B$4:$B$1000)*1,[1]OUT_SyntheticFuels!I$4:I$1000)</f>
        <v>0</v>
      </c>
      <c r="K593" s="1" cm="1">
        <f t="array" ref="K593">SUMPRODUCT(("CT_CWODBDSCCS"=[1]OUT_SyntheticFuels!$C$4:$C$1000)*1,("CWOD"=[1]OUT_SyntheticFuels!$A$4:$A$1000)*1,("Var_Fin"=[1]OUT_SyntheticFuels!$B$4:$B$1000)*1,[1]OUT_SyntheticFuels!J$4:J$1000)</f>
        <v>0</v>
      </c>
      <c r="L593" s="1" cm="1">
        <f t="array" ref="L593">SUMPRODUCT(("CT_CWODBDSCCS"=[1]OUT_SyntheticFuels!$C$4:$C$1000)*1,("CWOD"=[1]OUT_SyntheticFuels!$A$4:$A$1000)*1,("Var_Fin"=[1]OUT_SyntheticFuels!$B$4:$B$1000)*1,[1]OUT_SyntheticFuels!K$4:K$1000)</f>
        <v>0</v>
      </c>
      <c r="M593" s="1" cm="1">
        <f t="array" ref="M593">SUMPRODUCT(("CT_CWODBDSCCS"=[1]OUT_SyntheticFuels!$C$4:$C$1000)*1,("CWOD"=[1]OUT_SyntheticFuels!$A$4:$A$1000)*1,("Var_Fin"=[1]OUT_SyntheticFuels!$B$4:$B$1000)*1,[1]OUT_SyntheticFuels!L$4:L$1000)</f>
        <v>0</v>
      </c>
      <c r="N593" s="1" cm="1">
        <f t="array" ref="N593">SUMPRODUCT(("CT_CWODBDSCCS"=[1]OUT_SyntheticFuels!$C$4:$C$1000)*1,("CWOD"=[1]OUT_SyntheticFuels!$A$4:$A$1000)*1,("Var_Fin"=[1]OUT_SyntheticFuels!$B$4:$B$1000)*1,[1]OUT_SyntheticFuels!M$4:M$1000)</f>
        <v>0</v>
      </c>
      <c r="O593" s="1" cm="1">
        <f t="array" ref="O593">SUMPRODUCT(("CT_CWODBDSCCS"=[1]OUT_SyntheticFuels!$C$4:$C$1000)*1,("CWOD"=[1]OUT_SyntheticFuels!$A$4:$A$1000)*1,("Var_Fin"=[1]OUT_SyntheticFuels!$B$4:$B$1000)*1,[1]OUT_SyntheticFuels!N$4:N$1000)</f>
        <v>0</v>
      </c>
      <c r="P593" s="1" cm="1">
        <f t="array" ref="P593">SUMPRODUCT(("CT_CWODBDSCCS"=[1]OUT_SyntheticFuels!$C$4:$C$1000)*1,("CWOD"=[1]OUT_SyntheticFuels!$A$4:$A$1000)*1,("Var_Fin"=[1]OUT_SyntheticFuels!$B$4:$B$1000)*1,[1]OUT_SyntheticFuels!O$4:O$1000)</f>
        <v>0</v>
      </c>
      <c r="Q593" s="1" cm="1">
        <f t="array" ref="Q593">SUMPRODUCT(("CT_CWODBDSCCS"=[1]OUT_SyntheticFuels!$C$4:$C$1000)*1,("CWOD"=[1]OUT_SyntheticFuels!$A$4:$A$1000)*1,("Var_Fin"=[1]OUT_SyntheticFuels!$B$4:$B$1000)*1,[1]OUT_SyntheticFuels!P$4:P$1000)</f>
        <v>0</v>
      </c>
      <c r="S593" s="3"/>
    </row>
    <row r="594" spans="2:19" x14ac:dyDescent="0.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4.3648252167054959E-2</v>
      </c>
      <c r="G594" s="1">
        <f t="shared" ref="G594:K594" si="670">SUM(G595:G596)</f>
        <v>4.4289683805196843E-2</v>
      </c>
      <c r="H594" s="1">
        <f t="shared" si="670"/>
        <v>4.3848877372850044E-2</v>
      </c>
      <c r="I594" s="1">
        <f t="shared" si="670"/>
        <v>2.6848263983405144E-5</v>
      </c>
      <c r="J594" s="1">
        <f t="shared" si="670"/>
        <v>2.1387000494139957E-5</v>
      </c>
      <c r="K594" s="1">
        <f t="shared" si="670"/>
        <v>5.3222369724370144E-5</v>
      </c>
      <c r="L594" s="1">
        <f t="shared" ref="L594:O594" si="671">SUM(L595:L596)</f>
        <v>6.6930127810004508E-5</v>
      </c>
      <c r="M594" s="1">
        <f t="shared" si="671"/>
        <v>1.4497440380796842E-2</v>
      </c>
      <c r="N594" s="1">
        <f t="shared" si="671"/>
        <v>1.982051313611187E-2</v>
      </c>
      <c r="O594" s="1">
        <f t="shared" si="671"/>
        <v>3.2321113554656909E-2</v>
      </c>
      <c r="P594" s="1">
        <f>SUM(P595:P596)</f>
        <v>9.1407553499161118E-2</v>
      </c>
      <c r="Q594" s="1">
        <f>SUM(Q595:Q596)</f>
        <v>0.10973753714721003</v>
      </c>
      <c r="S594" s="3"/>
    </row>
    <row r="595" spans="2:19" x14ac:dyDescent="0.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4.3648252167054959E-2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4.4289683805196843E-2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4.3848877372850044E-2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2.6848263983405144E-5</v>
      </c>
      <c r="J595" s="1" cm="1">
        <f t="array" ref="J595">SUMPRODUCT(("CT_CWODBDS"=[1]OUT_SyntheticFuels!$C$4:$C$1000)*1,("Celc"=[1]OUT_SyntheticFuels!$A$4:$A$1000)*1,("Var_Fin"=[1]OUT_SyntheticFuels!$B$4:$B$1000)*1,[1]OUT_SyntheticFuels!I$4:I$1000)</f>
        <v>2.1387000494139957E-5</v>
      </c>
      <c r="K595" s="1" cm="1">
        <f t="array" ref="K595">SUMPRODUCT(("CT_CWODBDS"=[1]OUT_SyntheticFuels!$C$4:$C$1000)*1,("Celc"=[1]OUT_SyntheticFuels!$A$4:$A$1000)*1,("Var_Fin"=[1]OUT_SyntheticFuels!$B$4:$B$1000)*1,[1]OUT_SyntheticFuels!J$4:J$1000)</f>
        <v>5.3222369724370144E-5</v>
      </c>
      <c r="L595" s="1" cm="1">
        <f t="array" ref="L595">SUMPRODUCT(("CT_CWODBDS"=[1]OUT_SyntheticFuels!$C$4:$C$1000)*1,("Celc"=[1]OUT_SyntheticFuels!$A$4:$A$1000)*1,("Var_Fin"=[1]OUT_SyntheticFuels!$B$4:$B$1000)*1,[1]OUT_SyntheticFuels!K$4:K$1000)</f>
        <v>6.6930127810004508E-5</v>
      </c>
      <c r="M595" s="1" cm="1">
        <f t="array" ref="M595">SUMPRODUCT(("CT_CWODBDS"=[1]OUT_SyntheticFuels!$C$4:$C$1000)*1,("Celc"=[1]OUT_SyntheticFuels!$A$4:$A$1000)*1,("Var_Fin"=[1]OUT_SyntheticFuels!$B$4:$B$1000)*1,[1]OUT_SyntheticFuels!L$4:L$1000)</f>
        <v>1.4497440380796842E-2</v>
      </c>
      <c r="N595" s="1" cm="1">
        <f t="array" ref="N595">SUMPRODUCT(("CT_CWODBDS"=[1]OUT_SyntheticFuels!$C$4:$C$1000)*1,("Celc"=[1]OUT_SyntheticFuels!$A$4:$A$1000)*1,("Var_Fin"=[1]OUT_SyntheticFuels!$B$4:$B$1000)*1,[1]OUT_SyntheticFuels!M$4:M$1000)</f>
        <v>1.982051313611187E-2</v>
      </c>
      <c r="O595" s="1" cm="1">
        <f t="array" ref="O595">SUMPRODUCT(("CT_CWODBDS"=[1]OUT_SyntheticFuels!$C$4:$C$1000)*1,("Celc"=[1]OUT_SyntheticFuels!$A$4:$A$1000)*1,("Var_Fin"=[1]OUT_SyntheticFuels!$B$4:$B$1000)*1,[1]OUT_SyntheticFuels!N$4:N$1000)</f>
        <v>3.2321113554656909E-2</v>
      </c>
      <c r="P595" s="1" cm="1">
        <f t="array" ref="P595">SUMPRODUCT(("CT_CWODBDS"=[1]OUT_SyntheticFuels!$C$4:$C$1000)*1,("Celc"=[1]OUT_SyntheticFuels!$A$4:$A$1000)*1,("Var_Fin"=[1]OUT_SyntheticFuels!$B$4:$B$1000)*1,[1]OUT_SyntheticFuels!O$4:O$1000)</f>
        <v>9.1407553499161118E-2</v>
      </c>
      <c r="Q595" s="1" cm="1">
        <f t="array" ref="Q595">SUMPRODUCT(("CT_CWODBDS"=[1]OUT_SyntheticFuels!$C$4:$C$1000)*1,("Celc"=[1]OUT_SyntheticFuels!$A$4:$A$1000)*1,("Var_Fin"=[1]OUT_SyntheticFuels!$B$4:$B$1000)*1,[1]OUT_SyntheticFuels!P$4:P$1000)</f>
        <v>0.10973753714721003</v>
      </c>
      <c r="S595" s="3"/>
    </row>
    <row r="596" spans="2:19" x14ac:dyDescent="0.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SUMPRODUCT(("CT_CWODBDSCCS"=[1]OUT_SyntheticFuels!$C$4:$C$1000)*1,("Celc"=[1]OUT_SyntheticFuels!$A$4:$A$1000)*1,("Var_Fin"=[1]OUT_SyntheticFuels!$B$4:$B$1000)*1,[1]OUT_SyntheticFuels!I$4:I$1000)</f>
        <v>0</v>
      </c>
      <c r="K596" s="1" cm="1">
        <f t="array" ref="K596">SUMPRODUCT(("CT_CWODBDSCCS"=[1]OUT_SyntheticFuels!$C$4:$C$1000)*1,("Celc"=[1]OUT_SyntheticFuels!$A$4:$A$1000)*1,("Var_Fin"=[1]OUT_SyntheticFuels!$B$4:$B$1000)*1,[1]OUT_SyntheticFuels!J$4:J$1000)</f>
        <v>0</v>
      </c>
      <c r="L596" s="1" cm="1">
        <f t="array" ref="L596">SUMPRODUCT(("CT_CWODBDSCCS"=[1]OUT_SyntheticFuels!$C$4:$C$1000)*1,("Celc"=[1]OUT_SyntheticFuels!$A$4:$A$1000)*1,("Var_Fin"=[1]OUT_SyntheticFuels!$B$4:$B$1000)*1,[1]OUT_SyntheticFuels!K$4:K$1000)</f>
        <v>0</v>
      </c>
      <c r="M596" s="1" cm="1">
        <f t="array" ref="M596">SUMPRODUCT(("CT_CWODBDSCCS"=[1]OUT_SyntheticFuels!$C$4:$C$1000)*1,("Celc"=[1]OUT_SyntheticFuels!$A$4:$A$1000)*1,("Var_Fin"=[1]OUT_SyntheticFuels!$B$4:$B$1000)*1,[1]OUT_SyntheticFuels!L$4:L$1000)</f>
        <v>0</v>
      </c>
      <c r="N596" s="1" cm="1">
        <f t="array" ref="N596">SUMPRODUCT(("CT_CWODBDSCCS"=[1]OUT_SyntheticFuels!$C$4:$C$1000)*1,("Celc"=[1]OUT_SyntheticFuels!$A$4:$A$1000)*1,("Var_Fin"=[1]OUT_SyntheticFuels!$B$4:$B$1000)*1,[1]OUT_SyntheticFuels!M$4:M$1000)</f>
        <v>0</v>
      </c>
      <c r="O596" s="1" cm="1">
        <f t="array" ref="O596">SUMPRODUCT(("CT_CWODBDSCCS"=[1]OUT_SyntheticFuels!$C$4:$C$1000)*1,("Celc"=[1]OUT_SyntheticFuels!$A$4:$A$1000)*1,("Var_Fin"=[1]OUT_SyntheticFuels!$B$4:$B$1000)*1,[1]OUT_SyntheticFuels!N$4:N$1000)</f>
        <v>0</v>
      </c>
      <c r="P596" s="1" cm="1">
        <f t="array" ref="P596">SUMPRODUCT(("CT_CWODBDSCCS"=[1]OUT_SyntheticFuels!$C$4:$C$1000)*1,("Celc"=[1]OUT_SyntheticFuels!$A$4:$A$1000)*1,("Var_Fin"=[1]OUT_SyntheticFuels!$B$4:$B$1000)*1,[1]OUT_SyntheticFuels!O$4:O$1000)</f>
        <v>0</v>
      </c>
      <c r="Q596" s="1" cm="1">
        <f t="array" ref="Q596">SUMPRODUCT(("CT_CWODBDSCCS"=[1]OUT_SyntheticFuels!$C$4:$C$1000)*1,("Celc"=[1]OUT_SyntheticFuels!$A$4:$A$1000)*1,("Var_Fin"=[1]OUT_SyntheticFuels!$B$4:$B$1000)*1,[1]OUT_SyntheticFuels!P$4:P$1000)</f>
        <v>0</v>
      </c>
      <c r="S596" s="3"/>
    </row>
    <row r="597" spans="2:19" x14ac:dyDescent="0.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M597" t="s">
        <v>292</v>
      </c>
      <c r="N597" t="s">
        <v>292</v>
      </c>
      <c r="O597" t="s">
        <v>292</v>
      </c>
      <c r="P597" t="s">
        <v>292</v>
      </c>
      <c r="Q597" t="s">
        <v>292</v>
      </c>
      <c r="S597" s="3"/>
    </row>
    <row r="598" spans="2:19" x14ac:dyDescent="0.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0.47619047619047589</v>
      </c>
      <c r="G598" s="4">
        <f t="shared" ref="G598:K599" si="672">IFERROR(SUM(G584,G588)/SUM(G592,G595),"-")</f>
        <v>0.47619047619047633</v>
      </c>
      <c r="H598" s="4">
        <f t="shared" si="672"/>
        <v>0.47619047619047589</v>
      </c>
      <c r="I598" s="4">
        <f t="shared" si="672"/>
        <v>0.47619047619047594</v>
      </c>
      <c r="J598" s="4">
        <f t="shared" si="672"/>
        <v>0.47619047619047578</v>
      </c>
      <c r="K598" s="4">
        <f t="shared" si="672"/>
        <v>0.47619047619047611</v>
      </c>
      <c r="L598" s="4">
        <f t="shared" ref="L598:O598" si="673">IFERROR(SUM(L584,L588)/SUM(L592,L595),"-")</f>
        <v>0.47619047619047605</v>
      </c>
      <c r="M598" s="4">
        <f t="shared" si="673"/>
        <v>0.47619047619047578</v>
      </c>
      <c r="N598" s="4">
        <f t="shared" si="673"/>
        <v>0.47619047619047616</v>
      </c>
      <c r="O598" s="4">
        <f t="shared" si="673"/>
        <v>0.4761904761904765</v>
      </c>
      <c r="P598" s="4">
        <f>IFERROR(SUM(P584,P588)/SUM(P592,P595),"-")</f>
        <v>0.47619047619047572</v>
      </c>
      <c r="Q598" s="4">
        <f>IFERROR(SUM(Q584,Q588)/SUM(Q592,Q595),"-")</f>
        <v>0.47619047619047661</v>
      </c>
      <c r="S598" s="3"/>
    </row>
    <row r="599" spans="2:19" x14ac:dyDescent="0.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72"/>
        <v>-</v>
      </c>
      <c r="H599" s="4" t="str">
        <f t="shared" si="672"/>
        <v>-</v>
      </c>
      <c r="I599" s="4" t="str">
        <f t="shared" si="672"/>
        <v>-</v>
      </c>
      <c r="J599" s="4" t="str">
        <f t="shared" si="672"/>
        <v>-</v>
      </c>
      <c r="K599" s="4" t="str">
        <f t="shared" si="672"/>
        <v>-</v>
      </c>
      <c r="L599" s="4" t="str">
        <f t="shared" ref="L599:O599" si="674">IFERROR(SUM(L585,L589)/SUM(L593,L596),"-")</f>
        <v>-</v>
      </c>
      <c r="M599" s="4" t="str">
        <f t="shared" si="674"/>
        <v>-</v>
      </c>
      <c r="N599" s="4" t="str">
        <f t="shared" si="674"/>
        <v>-</v>
      </c>
      <c r="O599" s="4" t="str">
        <f t="shared" si="674"/>
        <v>-</v>
      </c>
      <c r="P599" s="4" t="str">
        <f>IFERROR(SUM(P585,P589)/SUM(P593,P596),"-")</f>
        <v>-</v>
      </c>
      <c r="Q599" s="4" t="str">
        <f>IFERROR(SUM(Q585,Q589)/SUM(Q593,Q596),"-")</f>
        <v>-</v>
      </c>
      <c r="S599" s="3"/>
    </row>
    <row r="600" spans="2:19" x14ac:dyDescent="0.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0.18717947929539061</v>
      </c>
      <c r="G600" s="1">
        <f>[1]Other_transformation!C$12</f>
        <v>3.5964942908825471E-5</v>
      </c>
      <c r="H600" s="1">
        <f>[1]Other_transformation!D$12</f>
        <v>6.0804043021586848E-4</v>
      </c>
      <c r="I600" s="1">
        <f>[1]Other_transformation!E$12</f>
        <v>7.6973986605439717E-5</v>
      </c>
      <c r="J600" s="1">
        <f>[1]Other_transformation!F$12</f>
        <v>1.0844866382511711E-4</v>
      </c>
      <c r="K600" s="1">
        <f>[1]Other_transformation!G$12</f>
        <v>1.2634405740810021E-4</v>
      </c>
      <c r="L600" s="1">
        <f>[1]Other_transformation!H$12</f>
        <v>1.3203261942120023E-4</v>
      </c>
      <c r="M600" s="1">
        <f>[1]Other_transformation!I$12</f>
        <v>3.7998989601120296E-4</v>
      </c>
      <c r="N600" s="1">
        <f>[1]Other_transformation!J$12</f>
        <v>2.6647372305347065E-4</v>
      </c>
      <c r="O600" s="1">
        <f>[1]Other_transformation!K$12</f>
        <v>5.2294959153574344E-4</v>
      </c>
      <c r="P600" s="1">
        <f>[1]Other_transformation!L$12</f>
        <v>5.0623759849233933E-4</v>
      </c>
      <c r="Q600" s="1">
        <f>[1]Other_transformation!M$12</f>
        <v>1.0600177985096106E-3</v>
      </c>
      <c r="S600" s="3"/>
    </row>
    <row r="601" spans="2:19" x14ac:dyDescent="0.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0.18717947929539061</v>
      </c>
      <c r="G601" s="1">
        <f t="shared" ref="G601:K601" si="675">SUM(G602:G603)</f>
        <v>3.5964942908825471E-5</v>
      </c>
      <c r="H601" s="1">
        <f t="shared" si="675"/>
        <v>6.0804043021586848E-4</v>
      </c>
      <c r="I601" s="1">
        <f t="shared" si="675"/>
        <v>7.6973986605439717E-5</v>
      </c>
      <c r="J601" s="1">
        <f t="shared" si="675"/>
        <v>1.0844866382511711E-4</v>
      </c>
      <c r="K601" s="1">
        <f t="shared" si="675"/>
        <v>1.2634405740810021E-4</v>
      </c>
      <c r="L601" s="1">
        <f t="shared" ref="L601:O601" si="676">SUM(L602:L603)</f>
        <v>1.3203261942120023E-4</v>
      </c>
      <c r="M601" s="1">
        <f t="shared" si="676"/>
        <v>3.7998989601120296E-4</v>
      </c>
      <c r="N601" s="1">
        <f t="shared" si="676"/>
        <v>2.6647372305347065E-4</v>
      </c>
      <c r="O601" s="1">
        <f t="shared" si="676"/>
        <v>5.2294959153574344E-4</v>
      </c>
      <c r="P601" s="1">
        <f>SUM(P602:P603)</f>
        <v>5.0623759849233933E-4</v>
      </c>
      <c r="Q601" s="1">
        <f>SUM(Q602:Q603)</f>
        <v>1.0600177985096106E-3</v>
      </c>
      <c r="S601" s="3"/>
    </row>
    <row r="602" spans="2:19" x14ac:dyDescent="0.5">
      <c r="B602" s="5" t="s">
        <v>6</v>
      </c>
      <c r="C602" s="5" t="s">
        <v>7</v>
      </c>
      <c r="D602" t="s">
        <v>2165</v>
      </c>
      <c r="E602" t="str">
        <f t="shared" ref="E602:E603" si="677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0.18717947929539061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3.5964942908825471E-5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6.0804043021586848E-4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7.6973986605439717E-5</v>
      </c>
      <c r="J602" s="1" cm="1">
        <f t="array" ref="J602">SUMPRODUCT(("CT_CWODETH"=[1]OUT_SyntheticFuels!$C$4:$C$1000)*1,("ETH"=[1]OUT_SyntheticFuels!$A$4:$A$1000)*1,("Var_Fout"=[1]OUT_SyntheticFuels!$B$4:$B$1000)*1,[1]OUT_SyntheticFuels!I$4:I$1000)</f>
        <v>1.0844866382511711E-4</v>
      </c>
      <c r="K602" s="1" cm="1">
        <f t="array" ref="K602">SUMPRODUCT(("CT_CWODETH"=[1]OUT_SyntheticFuels!$C$4:$C$1000)*1,("ETH"=[1]OUT_SyntheticFuels!$A$4:$A$1000)*1,("Var_Fout"=[1]OUT_SyntheticFuels!$B$4:$B$1000)*1,[1]OUT_SyntheticFuels!J$4:J$1000)</f>
        <v>1.2634405740810021E-4</v>
      </c>
      <c r="L602" s="1" cm="1">
        <f t="array" ref="L602">SUMPRODUCT(("CT_CWODETH"=[1]OUT_SyntheticFuels!$C$4:$C$1000)*1,("ETH"=[1]OUT_SyntheticFuels!$A$4:$A$1000)*1,("Var_Fout"=[1]OUT_SyntheticFuels!$B$4:$B$1000)*1,[1]OUT_SyntheticFuels!K$4:K$1000)</f>
        <v>1.3203261942120023E-4</v>
      </c>
      <c r="M602" s="1" cm="1">
        <f t="array" ref="M602">SUMPRODUCT(("CT_CWODETH"=[1]OUT_SyntheticFuels!$C$4:$C$1000)*1,("ETH"=[1]OUT_SyntheticFuels!$A$4:$A$1000)*1,("Var_Fout"=[1]OUT_SyntheticFuels!$B$4:$B$1000)*1,[1]OUT_SyntheticFuels!L$4:L$1000)</f>
        <v>3.7998989601120296E-4</v>
      </c>
      <c r="N602" s="1" cm="1">
        <f t="array" ref="N602">SUMPRODUCT(("CT_CWODETH"=[1]OUT_SyntheticFuels!$C$4:$C$1000)*1,("ETH"=[1]OUT_SyntheticFuels!$A$4:$A$1000)*1,("Var_Fout"=[1]OUT_SyntheticFuels!$B$4:$B$1000)*1,[1]OUT_SyntheticFuels!M$4:M$1000)</f>
        <v>2.6647372305347065E-4</v>
      </c>
      <c r="O602" s="1" cm="1">
        <f t="array" ref="O602">SUMPRODUCT(("CT_CWODETH"=[1]OUT_SyntheticFuels!$C$4:$C$1000)*1,("ETH"=[1]OUT_SyntheticFuels!$A$4:$A$1000)*1,("Var_Fout"=[1]OUT_SyntheticFuels!$B$4:$B$1000)*1,[1]OUT_SyntheticFuels!N$4:N$1000)</f>
        <v>5.2294959153574344E-4</v>
      </c>
      <c r="P602" s="1" cm="1">
        <f t="array" ref="P602">SUMPRODUCT(("CT_CWODETH"=[1]OUT_SyntheticFuels!$C$4:$C$1000)*1,("ETH"=[1]OUT_SyntheticFuels!$A$4:$A$1000)*1,("Var_Fout"=[1]OUT_SyntheticFuels!$B$4:$B$1000)*1,[1]OUT_SyntheticFuels!O$4:O$1000)</f>
        <v>5.0623759849233933E-4</v>
      </c>
      <c r="Q602" s="1" cm="1">
        <f t="array" ref="Q602">SUMPRODUCT(("CT_CWODETH"=[1]OUT_SyntheticFuels!$C$4:$C$1000)*1,("ETH"=[1]OUT_SyntheticFuels!$A$4:$A$1000)*1,("Var_Fout"=[1]OUT_SyntheticFuels!$B$4:$B$1000)*1,[1]OUT_SyntheticFuels!P$4:P$1000)</f>
        <v>1.0600177985096106E-3</v>
      </c>
      <c r="S602" s="3"/>
    </row>
    <row r="603" spans="2:19" x14ac:dyDescent="0.5">
      <c r="B603" s="5" t="s">
        <v>6</v>
      </c>
      <c r="C603" s="5" t="s">
        <v>7</v>
      </c>
      <c r="D603" t="s">
        <v>2166</v>
      </c>
      <c r="E603" t="str">
        <f t="shared" si="677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SUMPRODUCT(("CT_CWODETHCCS"=[1]OUT_SyntheticFuels!$C$4:$C$1000)*1,("ETH"=[1]OUT_SyntheticFuels!$A$4:$A$1000)*1,("Var_Fout"=[1]OUT_SyntheticFuels!$B$4:$B$1000)*1,[1]OUT_SyntheticFuels!I$4:I$1000)</f>
        <v>0</v>
      </c>
      <c r="K603" s="1" cm="1">
        <f t="array" ref="K603">SUMPRODUCT(("CT_CWODETHCCS"=[1]OUT_SyntheticFuels!$C$4:$C$1000)*1,("ETH"=[1]OUT_SyntheticFuels!$A$4:$A$1000)*1,("Var_Fout"=[1]OUT_SyntheticFuels!$B$4:$B$1000)*1,[1]OUT_SyntheticFuels!J$4:J$1000)</f>
        <v>0</v>
      </c>
      <c r="L603" s="1" cm="1">
        <f t="array" ref="L603">SUMPRODUCT(("CT_CWODETHCCS"=[1]OUT_SyntheticFuels!$C$4:$C$1000)*1,("ETH"=[1]OUT_SyntheticFuels!$A$4:$A$1000)*1,("Var_Fout"=[1]OUT_SyntheticFuels!$B$4:$B$1000)*1,[1]OUT_SyntheticFuels!K$4:K$1000)</f>
        <v>0</v>
      </c>
      <c r="M603" s="1" cm="1">
        <f t="array" ref="M603">SUMPRODUCT(("CT_CWODETHCCS"=[1]OUT_SyntheticFuels!$C$4:$C$1000)*1,("ETH"=[1]OUT_SyntheticFuels!$A$4:$A$1000)*1,("Var_Fout"=[1]OUT_SyntheticFuels!$B$4:$B$1000)*1,[1]OUT_SyntheticFuels!L$4:L$1000)</f>
        <v>0</v>
      </c>
      <c r="N603" s="1" cm="1">
        <f t="array" ref="N603">SUMPRODUCT(("CT_CWODETHCCS"=[1]OUT_SyntheticFuels!$C$4:$C$1000)*1,("ETH"=[1]OUT_SyntheticFuels!$A$4:$A$1000)*1,("Var_Fout"=[1]OUT_SyntheticFuels!$B$4:$B$1000)*1,[1]OUT_SyntheticFuels!M$4:M$1000)</f>
        <v>0</v>
      </c>
      <c r="O603" s="1" cm="1">
        <f t="array" ref="O603">SUMPRODUCT(("CT_CWODETHCCS"=[1]OUT_SyntheticFuels!$C$4:$C$1000)*1,("ETH"=[1]OUT_SyntheticFuels!$A$4:$A$1000)*1,("Var_Fout"=[1]OUT_SyntheticFuels!$B$4:$B$1000)*1,[1]OUT_SyntheticFuels!N$4:N$1000)</f>
        <v>0</v>
      </c>
      <c r="P603" s="1" cm="1">
        <f t="array" ref="P603">SUMPRODUCT(("CT_CWODETHCCS"=[1]OUT_SyntheticFuels!$C$4:$C$1000)*1,("ETH"=[1]OUT_SyntheticFuels!$A$4:$A$1000)*1,("Var_Fout"=[1]OUT_SyntheticFuels!$B$4:$B$1000)*1,[1]OUT_SyntheticFuels!O$4:O$1000)</f>
        <v>0</v>
      </c>
      <c r="Q603" s="1" cm="1">
        <f t="array" ref="Q603">SUMPRODUCT(("CT_CWODETHCCS"=[1]OUT_SyntheticFuels!$C$4:$C$1000)*1,("ETH"=[1]OUT_SyntheticFuels!$A$4:$A$1000)*1,("Var_Fout"=[1]OUT_SyntheticFuels!$B$4:$B$1000)*1,[1]OUT_SyntheticFuels!P$4:P$1000)</f>
        <v>0</v>
      </c>
      <c r="S603" s="3"/>
    </row>
    <row r="604" spans="2:19" x14ac:dyDescent="0.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0.69817945777180712</v>
      </c>
      <c r="G604" s="3">
        <f t="shared" ref="G604:K604" si="678">G605+G608</f>
        <v>1.3414923704991907E-4</v>
      </c>
      <c r="H604" s="3">
        <f t="shared" si="678"/>
        <v>2.2679908047051923E-3</v>
      </c>
      <c r="I604" s="3">
        <f t="shared" si="678"/>
        <v>2.8711297003829026E-4</v>
      </c>
      <c r="J604" s="3">
        <f t="shared" si="678"/>
        <v>4.0451351606768675E-4</v>
      </c>
      <c r="K604" s="3">
        <f t="shared" si="678"/>
        <v>4.7126333413221352E-4</v>
      </c>
      <c r="L604" s="3">
        <f t="shared" ref="L604:O604" si="679">L605+L608</f>
        <v>4.9248167044107691E-4</v>
      </c>
      <c r="M604" s="3">
        <f t="shared" si="679"/>
        <v>1.417362312121786E-3</v>
      </c>
      <c r="N604" s="3">
        <f t="shared" si="679"/>
        <v>9.9394698698944579E-4</v>
      </c>
      <c r="O604" s="3">
        <f t="shared" si="679"/>
        <v>1.9506019764283236E-3</v>
      </c>
      <c r="P604" s="3">
        <f>P605+P608</f>
        <v>1.8882662423764264E-3</v>
      </c>
      <c r="Q604" s="3">
        <f>Q605+Q608</f>
        <v>3.9538663884408441E-3</v>
      </c>
      <c r="S604" s="3"/>
    </row>
    <row r="605" spans="2:19" x14ac:dyDescent="0.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0.39120511172736638</v>
      </c>
      <c r="G605" s="1">
        <f t="shared" ref="G605:K605" si="680">SUM(G606:G607)</f>
        <v>7.5166730679445271E-5</v>
      </c>
      <c r="H605" s="1">
        <f t="shared" si="680"/>
        <v>1.2708044991511674E-3</v>
      </c>
      <c r="I605" s="1">
        <f t="shared" si="680"/>
        <v>1.6087563200536915E-4</v>
      </c>
      <c r="J605" s="1">
        <f t="shared" si="680"/>
        <v>2.2665770739449474E-4</v>
      </c>
      <c r="K605" s="1">
        <f t="shared" si="680"/>
        <v>2.6405907998292932E-4</v>
      </c>
      <c r="L605" s="1">
        <f t="shared" ref="L605:O605" si="681">SUM(L606:L607)</f>
        <v>2.7594817459030839E-4</v>
      </c>
      <c r="M605" s="1">
        <f t="shared" si="681"/>
        <v>7.941788826634137E-4</v>
      </c>
      <c r="N605" s="1">
        <f t="shared" si="681"/>
        <v>5.5693008118175389E-4</v>
      </c>
      <c r="O605" s="1">
        <f t="shared" si="681"/>
        <v>1.0929646463097051E-3</v>
      </c>
      <c r="P605" s="1">
        <f>SUM(P606:P607)</f>
        <v>1.0580365808489892E-3</v>
      </c>
      <c r="Q605" s="1">
        <f>SUM(Q606:Q607)</f>
        <v>2.2154371988850844E-3</v>
      </c>
      <c r="S605" s="3"/>
    </row>
    <row r="606" spans="2:19" x14ac:dyDescent="0.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0.39120511172736638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7.5166730679445271E-5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1.2708044991511674E-3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1.6087563200536915E-4</v>
      </c>
      <c r="J606" s="1" cm="1">
        <f t="array" ref="J606">SUMPRODUCT(("CT_CWODETH"=[1]OUT_SyntheticFuels!$C$4:$C$1000)*1,("cwod"=[1]OUT_SyntheticFuels!$A$4:$A$1000)*1,("Var_Fin"=[1]OUT_SyntheticFuels!$B$4:$B$1000)*1,[1]OUT_SyntheticFuels!I$4:I$1000)</f>
        <v>2.2665770739449474E-4</v>
      </c>
      <c r="K606" s="1" cm="1">
        <f t="array" ref="K606">SUMPRODUCT(("CT_CWODETH"=[1]OUT_SyntheticFuels!$C$4:$C$1000)*1,("cwod"=[1]OUT_SyntheticFuels!$A$4:$A$1000)*1,("Var_Fin"=[1]OUT_SyntheticFuels!$B$4:$B$1000)*1,[1]OUT_SyntheticFuels!J$4:J$1000)</f>
        <v>2.6405907998292932E-4</v>
      </c>
      <c r="L606" s="1" cm="1">
        <f t="array" ref="L606">SUMPRODUCT(("CT_CWODETH"=[1]OUT_SyntheticFuels!$C$4:$C$1000)*1,("cwod"=[1]OUT_SyntheticFuels!$A$4:$A$1000)*1,("Var_Fin"=[1]OUT_SyntheticFuels!$B$4:$B$1000)*1,[1]OUT_SyntheticFuels!K$4:K$1000)</f>
        <v>2.7594817459030839E-4</v>
      </c>
      <c r="M606" s="1" cm="1">
        <f t="array" ref="M606">SUMPRODUCT(("CT_CWODETH"=[1]OUT_SyntheticFuels!$C$4:$C$1000)*1,("cwod"=[1]OUT_SyntheticFuels!$A$4:$A$1000)*1,("Var_Fin"=[1]OUT_SyntheticFuels!$B$4:$B$1000)*1,[1]OUT_SyntheticFuels!L$4:L$1000)</f>
        <v>7.941788826634137E-4</v>
      </c>
      <c r="N606" s="1" cm="1">
        <f t="array" ref="N606">SUMPRODUCT(("CT_CWODETH"=[1]OUT_SyntheticFuels!$C$4:$C$1000)*1,("cwod"=[1]OUT_SyntheticFuels!$A$4:$A$1000)*1,("Var_Fin"=[1]OUT_SyntheticFuels!$B$4:$B$1000)*1,[1]OUT_SyntheticFuels!M$4:M$1000)</f>
        <v>5.5693008118175389E-4</v>
      </c>
      <c r="O606" s="1" cm="1">
        <f t="array" ref="O606">SUMPRODUCT(("CT_CWODETH"=[1]OUT_SyntheticFuels!$C$4:$C$1000)*1,("cwod"=[1]OUT_SyntheticFuels!$A$4:$A$1000)*1,("Var_Fin"=[1]OUT_SyntheticFuels!$B$4:$B$1000)*1,[1]OUT_SyntheticFuels!N$4:N$1000)</f>
        <v>1.0929646463097051E-3</v>
      </c>
      <c r="P606" s="1" cm="1">
        <f t="array" ref="P606">SUMPRODUCT(("CT_CWODETH"=[1]OUT_SyntheticFuels!$C$4:$C$1000)*1,("cwod"=[1]OUT_SyntheticFuels!$A$4:$A$1000)*1,("Var_Fin"=[1]OUT_SyntheticFuels!$B$4:$B$1000)*1,[1]OUT_SyntheticFuels!O$4:O$1000)</f>
        <v>1.0580365808489892E-3</v>
      </c>
      <c r="Q606" s="1" cm="1">
        <f t="array" ref="Q606">SUMPRODUCT(("CT_CWODETH"=[1]OUT_SyntheticFuels!$C$4:$C$1000)*1,("cwod"=[1]OUT_SyntheticFuels!$A$4:$A$1000)*1,("Var_Fin"=[1]OUT_SyntheticFuels!$B$4:$B$1000)*1,[1]OUT_SyntheticFuels!P$4:P$1000)</f>
        <v>2.2154371988850844E-3</v>
      </c>
      <c r="S606" s="3"/>
    </row>
    <row r="607" spans="2:19" x14ac:dyDescent="0.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SUMPRODUCT(("CT_CWODETHCCS"=[1]OUT_SyntheticFuels!$C$4:$C$1000)*1,("cwod"=[1]OUT_SyntheticFuels!$A$4:$A$1000)*1,("Var_Fin"=[1]OUT_SyntheticFuels!$B$4:$B$1000)*1,[1]OUT_SyntheticFuels!I$4:I$1000)</f>
        <v>0</v>
      </c>
      <c r="K607" s="1" cm="1">
        <f t="array" ref="K607">SUMPRODUCT(("CT_CWODETHCCS"=[1]OUT_SyntheticFuels!$C$4:$C$1000)*1,("cwod"=[1]OUT_SyntheticFuels!$A$4:$A$1000)*1,("Var_Fin"=[1]OUT_SyntheticFuels!$B$4:$B$1000)*1,[1]OUT_SyntheticFuels!J$4:J$1000)</f>
        <v>0</v>
      </c>
      <c r="L607" s="1" cm="1">
        <f t="array" ref="L607">SUMPRODUCT(("CT_CWODETHCCS"=[1]OUT_SyntheticFuels!$C$4:$C$1000)*1,("cwod"=[1]OUT_SyntheticFuels!$A$4:$A$1000)*1,("Var_Fin"=[1]OUT_SyntheticFuels!$B$4:$B$1000)*1,[1]OUT_SyntheticFuels!K$4:K$1000)</f>
        <v>0</v>
      </c>
      <c r="M607" s="1" cm="1">
        <f t="array" ref="M607">SUMPRODUCT(("CT_CWODETHCCS"=[1]OUT_SyntheticFuels!$C$4:$C$1000)*1,("cwod"=[1]OUT_SyntheticFuels!$A$4:$A$1000)*1,("Var_Fin"=[1]OUT_SyntheticFuels!$B$4:$B$1000)*1,[1]OUT_SyntheticFuels!L$4:L$1000)</f>
        <v>0</v>
      </c>
      <c r="N607" s="1" cm="1">
        <f t="array" ref="N607">SUMPRODUCT(("CT_CWODETHCCS"=[1]OUT_SyntheticFuels!$C$4:$C$1000)*1,("cwod"=[1]OUT_SyntheticFuels!$A$4:$A$1000)*1,("Var_Fin"=[1]OUT_SyntheticFuels!$B$4:$B$1000)*1,[1]OUT_SyntheticFuels!M$4:M$1000)</f>
        <v>0</v>
      </c>
      <c r="O607" s="1" cm="1">
        <f t="array" ref="O607">SUMPRODUCT(("CT_CWODETHCCS"=[1]OUT_SyntheticFuels!$C$4:$C$1000)*1,("cwod"=[1]OUT_SyntheticFuels!$A$4:$A$1000)*1,("Var_Fin"=[1]OUT_SyntheticFuels!$B$4:$B$1000)*1,[1]OUT_SyntheticFuels!N$4:N$1000)</f>
        <v>0</v>
      </c>
      <c r="P607" s="1" cm="1">
        <f t="array" ref="P607">SUMPRODUCT(("CT_CWODETHCCS"=[1]OUT_SyntheticFuels!$C$4:$C$1000)*1,("cwod"=[1]OUT_SyntheticFuels!$A$4:$A$1000)*1,("Var_Fin"=[1]OUT_SyntheticFuels!$B$4:$B$1000)*1,[1]OUT_SyntheticFuels!O$4:O$1000)</f>
        <v>0</v>
      </c>
      <c r="Q607" s="1" cm="1">
        <f t="array" ref="Q607">SUMPRODUCT(("CT_CWODETHCCS"=[1]OUT_SyntheticFuels!$C$4:$C$1000)*1,("cwod"=[1]OUT_SyntheticFuels!$A$4:$A$1000)*1,("Var_Fin"=[1]OUT_SyntheticFuels!$B$4:$B$1000)*1,[1]OUT_SyntheticFuels!P$4:P$1000)</f>
        <v>0</v>
      </c>
      <c r="S607" s="3"/>
    </row>
    <row r="608" spans="2:19" x14ac:dyDescent="0.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0.30697434604444074</v>
      </c>
      <c r="G608" s="1">
        <f t="shared" ref="G608:K608" si="682">SUM(G609:G610)</f>
        <v>5.8982506370473796E-5</v>
      </c>
      <c r="H608" s="1">
        <f t="shared" si="682"/>
        <v>9.9718630555402496E-4</v>
      </c>
      <c r="I608" s="1">
        <f t="shared" si="682"/>
        <v>1.2623733803292112E-4</v>
      </c>
      <c r="J608" s="1">
        <f t="shared" si="682"/>
        <v>1.7785580867319203E-4</v>
      </c>
      <c r="K608" s="1">
        <f t="shared" si="682"/>
        <v>2.072042541492842E-4</v>
      </c>
      <c r="L608" s="1">
        <f t="shared" ref="L608:O608" si="683">SUM(L609:L610)</f>
        <v>2.1653349585076852E-4</v>
      </c>
      <c r="M608" s="1">
        <f t="shared" si="683"/>
        <v>6.2318342945837243E-4</v>
      </c>
      <c r="N608" s="1">
        <f t="shared" si="683"/>
        <v>4.3701690580769191E-4</v>
      </c>
      <c r="O608" s="1">
        <f t="shared" si="683"/>
        <v>8.5763733011861849E-4</v>
      </c>
      <c r="P608" s="1">
        <f>SUM(P609:P610)</f>
        <v>8.3022966152743725E-4</v>
      </c>
      <c r="Q608" s="1">
        <f>SUM(Q609:Q610)</f>
        <v>1.7384291895557594E-3</v>
      </c>
      <c r="S608" s="3"/>
    </row>
    <row r="609" spans="2:19" x14ac:dyDescent="0.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0.30697434604444074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5.8982506370473796E-5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9.9718630555402496E-4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1.2623733803292112E-4</v>
      </c>
      <c r="J609" s="1" cm="1">
        <f t="array" ref="J609">SUMPRODUCT(("CT_CWODETH"=[1]OUT_SyntheticFuels!$C$4:$C$1000)*1,("celc"=[1]OUT_SyntheticFuels!$A$4:$A$1000)*1,("Var_Fin"=[1]OUT_SyntheticFuels!$B$4:$B$1000)*1,[1]OUT_SyntheticFuels!I$4:I$1000)</f>
        <v>1.7785580867319203E-4</v>
      </c>
      <c r="K609" s="1" cm="1">
        <f t="array" ref="K609">SUMPRODUCT(("CT_CWODETH"=[1]OUT_SyntheticFuels!$C$4:$C$1000)*1,("celc"=[1]OUT_SyntheticFuels!$A$4:$A$1000)*1,("Var_Fin"=[1]OUT_SyntheticFuels!$B$4:$B$1000)*1,[1]OUT_SyntheticFuels!J$4:J$1000)</f>
        <v>2.072042541492842E-4</v>
      </c>
      <c r="L609" s="1" cm="1">
        <f t="array" ref="L609">SUMPRODUCT(("CT_CWODETH"=[1]OUT_SyntheticFuels!$C$4:$C$1000)*1,("celc"=[1]OUT_SyntheticFuels!$A$4:$A$1000)*1,("Var_Fin"=[1]OUT_SyntheticFuels!$B$4:$B$1000)*1,[1]OUT_SyntheticFuels!K$4:K$1000)</f>
        <v>2.1653349585076852E-4</v>
      </c>
      <c r="M609" s="1" cm="1">
        <f t="array" ref="M609">SUMPRODUCT(("CT_CWODETH"=[1]OUT_SyntheticFuels!$C$4:$C$1000)*1,("celc"=[1]OUT_SyntheticFuels!$A$4:$A$1000)*1,("Var_Fin"=[1]OUT_SyntheticFuels!$B$4:$B$1000)*1,[1]OUT_SyntheticFuels!L$4:L$1000)</f>
        <v>6.2318342945837243E-4</v>
      </c>
      <c r="N609" s="1" cm="1">
        <f t="array" ref="N609">SUMPRODUCT(("CT_CWODETH"=[1]OUT_SyntheticFuels!$C$4:$C$1000)*1,("celc"=[1]OUT_SyntheticFuels!$A$4:$A$1000)*1,("Var_Fin"=[1]OUT_SyntheticFuels!$B$4:$B$1000)*1,[1]OUT_SyntheticFuels!M$4:M$1000)</f>
        <v>4.3701690580769191E-4</v>
      </c>
      <c r="O609" s="1" cm="1">
        <f t="array" ref="O609">SUMPRODUCT(("CT_CWODETH"=[1]OUT_SyntheticFuels!$C$4:$C$1000)*1,("celc"=[1]OUT_SyntheticFuels!$A$4:$A$1000)*1,("Var_Fin"=[1]OUT_SyntheticFuels!$B$4:$B$1000)*1,[1]OUT_SyntheticFuels!N$4:N$1000)</f>
        <v>8.5763733011861849E-4</v>
      </c>
      <c r="P609" s="1" cm="1">
        <f t="array" ref="P609">SUMPRODUCT(("CT_CWODETH"=[1]OUT_SyntheticFuels!$C$4:$C$1000)*1,("celc"=[1]OUT_SyntheticFuels!$A$4:$A$1000)*1,("Var_Fin"=[1]OUT_SyntheticFuels!$B$4:$B$1000)*1,[1]OUT_SyntheticFuels!O$4:O$1000)</f>
        <v>8.3022966152743725E-4</v>
      </c>
      <c r="Q609" s="1" cm="1">
        <f t="array" ref="Q609">SUMPRODUCT(("CT_CWODETH"=[1]OUT_SyntheticFuels!$C$4:$C$1000)*1,("celc"=[1]OUT_SyntheticFuels!$A$4:$A$1000)*1,("Var_Fin"=[1]OUT_SyntheticFuels!$B$4:$B$1000)*1,[1]OUT_SyntheticFuels!P$4:P$1000)</f>
        <v>1.7384291895557594E-3</v>
      </c>
      <c r="S609" s="3"/>
    </row>
    <row r="610" spans="2:19" x14ac:dyDescent="0.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SUMPRODUCT(("CT_CWODETHCCS"=[1]OUT_SyntheticFuels!$C$4:$C$1000)*1,("celc"=[1]OUT_SyntheticFuels!$A$4:$A$1000)*1,("Var_Fin"=[1]OUT_SyntheticFuels!$B$4:$B$1000)*1,[1]OUT_SyntheticFuels!I$4:I$1000)</f>
        <v>0</v>
      </c>
      <c r="K610" s="1" cm="1">
        <f t="array" ref="K610">SUMPRODUCT(("CT_CWODETHCCS"=[1]OUT_SyntheticFuels!$C$4:$C$1000)*1,("celc"=[1]OUT_SyntheticFuels!$A$4:$A$1000)*1,("Var_Fin"=[1]OUT_SyntheticFuels!$B$4:$B$1000)*1,[1]OUT_SyntheticFuels!J$4:J$1000)</f>
        <v>0</v>
      </c>
      <c r="L610" s="1" cm="1">
        <f t="array" ref="L610">SUMPRODUCT(("CT_CWODETHCCS"=[1]OUT_SyntheticFuels!$C$4:$C$1000)*1,("celc"=[1]OUT_SyntheticFuels!$A$4:$A$1000)*1,("Var_Fin"=[1]OUT_SyntheticFuels!$B$4:$B$1000)*1,[1]OUT_SyntheticFuels!K$4:K$1000)</f>
        <v>0</v>
      </c>
      <c r="M610" s="1" cm="1">
        <f t="array" ref="M610">SUMPRODUCT(("CT_CWODETHCCS"=[1]OUT_SyntheticFuels!$C$4:$C$1000)*1,("celc"=[1]OUT_SyntheticFuels!$A$4:$A$1000)*1,("Var_Fin"=[1]OUT_SyntheticFuels!$B$4:$B$1000)*1,[1]OUT_SyntheticFuels!L$4:L$1000)</f>
        <v>0</v>
      </c>
      <c r="N610" s="1" cm="1">
        <f t="array" ref="N610">SUMPRODUCT(("CT_CWODETHCCS"=[1]OUT_SyntheticFuels!$C$4:$C$1000)*1,("celc"=[1]OUT_SyntheticFuels!$A$4:$A$1000)*1,("Var_Fin"=[1]OUT_SyntheticFuels!$B$4:$B$1000)*1,[1]OUT_SyntheticFuels!M$4:M$1000)</f>
        <v>0</v>
      </c>
      <c r="O610" s="1" cm="1">
        <f t="array" ref="O610">SUMPRODUCT(("CT_CWODETHCCS"=[1]OUT_SyntheticFuels!$C$4:$C$1000)*1,("celc"=[1]OUT_SyntheticFuels!$A$4:$A$1000)*1,("Var_Fin"=[1]OUT_SyntheticFuels!$B$4:$B$1000)*1,[1]OUT_SyntheticFuels!N$4:N$1000)</f>
        <v>0</v>
      </c>
      <c r="P610" s="1" cm="1">
        <f t="array" ref="P610">SUMPRODUCT(("CT_CWODETHCCS"=[1]OUT_SyntheticFuels!$C$4:$C$1000)*1,("celc"=[1]OUT_SyntheticFuels!$A$4:$A$1000)*1,("Var_Fin"=[1]OUT_SyntheticFuels!$B$4:$B$1000)*1,[1]OUT_SyntheticFuels!O$4:O$1000)</f>
        <v>0</v>
      </c>
      <c r="Q610" s="1" cm="1">
        <f t="array" ref="Q610">SUMPRODUCT(("CT_CWODETHCCS"=[1]OUT_SyntheticFuels!$C$4:$C$1000)*1,("celc"=[1]OUT_SyntheticFuels!$A$4:$A$1000)*1,("Var_Fin"=[1]OUT_SyntheticFuels!$B$4:$B$1000)*1,[1]OUT_SyntheticFuels!P$4:P$1000)</f>
        <v>0</v>
      </c>
      <c r="S610" s="3"/>
    </row>
    <row r="611" spans="2:19" x14ac:dyDescent="0.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M611" t="s">
        <v>292</v>
      </c>
      <c r="N611" t="s">
        <v>292</v>
      </c>
      <c r="O611" t="s">
        <v>292</v>
      </c>
      <c r="P611" t="s">
        <v>292</v>
      </c>
      <c r="Q611" t="s">
        <v>292</v>
      </c>
      <c r="S611" s="3"/>
    </row>
    <row r="612" spans="2:19" x14ac:dyDescent="0.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84">IFERROR(G602/SUM(G606,G609),"-")</f>
        <v>0.26809651474530816</v>
      </c>
      <c r="H612">
        <f t="shared" si="684"/>
        <v>0.26809651474530799</v>
      </c>
      <c r="I612">
        <f t="shared" si="684"/>
        <v>0.26809651474530821</v>
      </c>
      <c r="J612">
        <f t="shared" si="684"/>
        <v>0.26809651474530838</v>
      </c>
      <c r="K612">
        <f t="shared" si="684"/>
        <v>0.26809651474530849</v>
      </c>
      <c r="L612">
        <f t="shared" ref="L612:O612" si="685">IFERROR(L602/SUM(L606,L609),"-")</f>
        <v>0.26809651474530827</v>
      </c>
      <c r="M612">
        <f t="shared" si="685"/>
        <v>0.26809651474530849</v>
      </c>
      <c r="N612">
        <f t="shared" si="685"/>
        <v>0.26809651474530821</v>
      </c>
      <c r="O612">
        <f t="shared" si="685"/>
        <v>0.26809651474530821</v>
      </c>
      <c r="P612">
        <f>IFERROR(P602/SUM(P606,P609),"-")</f>
        <v>0.26809651474530821</v>
      </c>
      <c r="Q612">
        <f>IFERROR(Q602/SUM(Q606,Q609),"-")</f>
        <v>0.26809651474530855</v>
      </c>
      <c r="S612" s="3"/>
    </row>
    <row r="613" spans="2:19" x14ac:dyDescent="0.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84"/>
        <v>-</v>
      </c>
      <c r="H613" t="str">
        <f t="shared" si="684"/>
        <v>-</v>
      </c>
      <c r="I613" t="str">
        <f t="shared" si="684"/>
        <v>-</v>
      </c>
      <c r="J613" t="str">
        <f t="shared" si="684"/>
        <v>-</v>
      </c>
      <c r="K613" t="str">
        <f t="shared" si="684"/>
        <v>-</v>
      </c>
      <c r="L613" t="str">
        <f t="shared" ref="L613:O613" si="686">IFERROR(L603/SUM(L607,L610),"-")</f>
        <v>-</v>
      </c>
      <c r="M613" t="str">
        <f t="shared" si="686"/>
        <v>-</v>
      </c>
      <c r="N613" t="str">
        <f t="shared" si="686"/>
        <v>-</v>
      </c>
      <c r="O613" t="str">
        <f t="shared" si="686"/>
        <v>-</v>
      </c>
      <c r="P613" t="str">
        <f>IFERROR(P603/SUM(P607,P610),"-")</f>
        <v>-</v>
      </c>
      <c r="Q613" t="str">
        <f>IFERROR(Q603/SUM(Q607,Q610),"-")</f>
        <v>-</v>
      </c>
      <c r="S613" s="3"/>
    </row>
    <row r="614" spans="2:19" x14ac:dyDescent="0.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6.9574154807830011</v>
      </c>
      <c r="G614" s="3">
        <f t="shared" ref="G614" si="687">G615+G616+G621</f>
        <v>10.142972544932318</v>
      </c>
      <c r="H614" s="3">
        <f t="shared" ref="H614" si="688">H615+H616+H621</f>
        <v>9.9522490337592515</v>
      </c>
      <c r="I614" s="3">
        <f t="shared" ref="I614" si="689">I615+I616+I621</f>
        <v>10.142167406363038</v>
      </c>
      <c r="J614" s="3">
        <f t="shared" ref="J614" si="690">J615+J616+J621</f>
        <v>10.130158687709825</v>
      </c>
      <c r="K614" s="3">
        <f t="shared" ref="K614" si="691">K615+K616+K621</f>
        <v>9.9700109268062569</v>
      </c>
      <c r="L614" s="3">
        <f t="shared" ref="L614:O614" si="692">L615+L616+L621</f>
        <v>9.8093082658846242</v>
      </c>
      <c r="M614" s="3">
        <f t="shared" si="692"/>
        <v>9.6487075818273471</v>
      </c>
      <c r="N614" s="3">
        <f t="shared" si="692"/>
        <v>9.6487669449251303</v>
      </c>
      <c r="O614" s="3">
        <f t="shared" si="692"/>
        <v>9.6489191180937457</v>
      </c>
      <c r="P614" s="3">
        <f>P615+P616+P621</f>
        <v>9.6490070688975003</v>
      </c>
      <c r="Q614" s="3">
        <f>Q615+Q616+Q621</f>
        <v>9.6499593471011096</v>
      </c>
      <c r="S614" s="3"/>
    </row>
    <row r="615" spans="2:19" x14ac:dyDescent="0.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1.3280031627198881</v>
      </c>
      <c r="G615" s="1">
        <f>[1]Other_transformation!C$19</f>
        <v>4.366322177000729</v>
      </c>
      <c r="H615" s="1">
        <f>[1]Other_transformation!D$19</f>
        <v>4.3847082500832526</v>
      </c>
      <c r="I615" s="1">
        <f>[1]Other_transformation!E$19</f>
        <v>4.3847632266199179</v>
      </c>
      <c r="J615" s="1">
        <f>[1]Other_transformation!F$19</f>
        <v>4.3847643980313249</v>
      </c>
      <c r="K615" s="1">
        <f>[1]Other_transformation!G$19</f>
        <v>4.3851758440321014</v>
      </c>
      <c r="L615" s="1">
        <f>[1]Other_transformation!H$19</f>
        <v>4.3851826865725574</v>
      </c>
      <c r="M615" s="1">
        <f>[1]Other_transformation!I$19</f>
        <v>4.3851941670467731</v>
      </c>
      <c r="N615" s="1">
        <f>[1]Other_transformation!J$19</f>
        <v>4.3851982844414126</v>
      </c>
      <c r="O615" s="1">
        <f>[1]Other_transformation!K$19</f>
        <v>4.3852235108776991</v>
      </c>
      <c r="P615" s="1">
        <f>[1]Other_transformation!L$19</f>
        <v>4.3852600359977485</v>
      </c>
      <c r="Q615" s="1">
        <f>[1]Other_transformation!M$19</f>
        <v>4.3853575893985139</v>
      </c>
      <c r="S615" s="3"/>
    </row>
    <row r="616" spans="2:19" x14ac:dyDescent="0.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5.629412318063113</v>
      </c>
      <c r="G616" s="1">
        <f>[1]Other_transformation!C$20</f>
        <v>5.7765902228992028</v>
      </c>
      <c r="H616" s="1">
        <f>[1]Other_transformation!D$20</f>
        <v>5.5674085845971435</v>
      </c>
      <c r="I616" s="1">
        <f>[1]Other_transformation!E$20</f>
        <v>5.7571131374435156</v>
      </c>
      <c r="J616" s="1">
        <f>[1]Other_transformation!F$20</f>
        <v>5.7449428559978983</v>
      </c>
      <c r="K616" s="1">
        <f>[1]Other_transformation!G$20</f>
        <v>5.5843543351113345</v>
      </c>
      <c r="L616" s="1">
        <f>[1]Other_transformation!H$20</f>
        <v>5.4236308892624079</v>
      </c>
      <c r="M616" s="1">
        <f>[1]Other_transformation!I$20</f>
        <v>5.2628892808509153</v>
      </c>
      <c r="N616" s="1">
        <f>[1]Other_transformation!J$20</f>
        <v>5.2629269588278751</v>
      </c>
      <c r="O616" s="1">
        <f>[1]Other_transformation!K$20</f>
        <v>5.262930818460192</v>
      </c>
      <c r="P616" s="1">
        <f>[1]Other_transformation!L$20</f>
        <v>5.2629424394202342</v>
      </c>
      <c r="Q616" s="1">
        <f>[1]Other_transformation!M$20</f>
        <v>5.2631073090496203</v>
      </c>
      <c r="S616" s="3"/>
    </row>
    <row r="617" spans="2:19" x14ac:dyDescent="0.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5.629412318063113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5.7765902228992028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5.5674085845971435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5.7571131374435156</v>
      </c>
      <c r="J617" s="1" cm="1">
        <f t="array" ref="J617">SUMPRODUCT(("SUP_WSTBIO"=[1]OUT_SyntheticFuels!$C$4:$C$1000)*1,("BIO"=[1]OUT_SyntheticFuels!$A$4:$A$1000)*1,("Var_Fout"=[1]OUT_SyntheticFuels!$B$4:$B$1000)*1,[1]OUT_SyntheticFuels!I$4:I$1000)</f>
        <v>5.7449428559978983</v>
      </c>
      <c r="K617" s="1" cm="1">
        <f t="array" ref="K617">SUMPRODUCT(("SUP_WSTBIO"=[1]OUT_SyntheticFuels!$C$4:$C$1000)*1,("BIO"=[1]OUT_SyntheticFuels!$A$4:$A$1000)*1,("Var_Fout"=[1]OUT_SyntheticFuels!$B$4:$B$1000)*1,[1]OUT_SyntheticFuels!J$4:J$1000)</f>
        <v>5.5836631140335156</v>
      </c>
      <c r="L617" s="1" cm="1">
        <f t="array" ref="L617">SUMPRODUCT(("SUP_WSTBIO"=[1]OUT_SyntheticFuels!$C$4:$C$1000)*1,("BIO"=[1]OUT_SyntheticFuels!$A$4:$A$1000)*1,("Var_Fout"=[1]OUT_SyntheticFuels!$B$4:$B$1000)*1,[1]OUT_SyntheticFuels!K$4:K$1000)</f>
        <v>5.4229282915132302</v>
      </c>
      <c r="M617" s="1" cm="1">
        <f t="array" ref="M617">SUMPRODUCT(("SUP_WSTBIO"=[1]OUT_SyntheticFuels!$C$4:$C$1000)*1,("BIO"=[1]OUT_SyntheticFuels!$A$4:$A$1000)*1,("Var_Fout"=[1]OUT_SyntheticFuels!$B$4:$B$1000)*1,[1]OUT_SyntheticFuels!L$4:L$1000)</f>
        <v>5.2622253020102132</v>
      </c>
      <c r="N617" s="1" cm="1">
        <f t="array" ref="N617">SUMPRODUCT(("SUP_WSTBIO"=[1]OUT_SyntheticFuels!$C$4:$C$1000)*1,("BIO"=[1]OUT_SyntheticFuels!$A$4:$A$1000)*1,("Var_Fout"=[1]OUT_SyntheticFuels!$B$4:$B$1000)*1,[1]OUT_SyntheticFuels!M$4:M$1000)</f>
        <v>5.2621517570354168</v>
      </c>
      <c r="O617" s="1" cm="1">
        <f t="array" ref="O617">SUMPRODUCT(("SUP_WSTBIO"=[1]OUT_SyntheticFuels!$C$4:$C$1000)*1,("BIO"=[1]OUT_SyntheticFuels!$A$4:$A$1000)*1,("Var_Fout"=[1]OUT_SyntheticFuels!$B$4:$B$1000)*1,[1]OUT_SyntheticFuels!N$4:N$1000)</f>
        <v>5.2620430408879866</v>
      </c>
      <c r="P617" s="1" cm="1">
        <f t="array" ref="P617">SUMPRODUCT(("SUP_WSTBIO"=[1]OUT_SyntheticFuels!$C$4:$C$1000)*1,("BIO"=[1]OUT_SyntheticFuels!$A$4:$A$1000)*1,("Var_Fout"=[1]OUT_SyntheticFuels!$B$4:$B$1000)*1,[1]OUT_SyntheticFuels!O$4:O$1000)</f>
        <v>5.2620086041287983</v>
      </c>
      <c r="Q617" s="1" cm="1">
        <f t="array" ref="Q617">SUMPRODUCT(("SUP_WSTBIO"=[1]OUT_SyntheticFuels!$C$4:$C$1000)*1,("BIO"=[1]OUT_SyntheticFuels!$A$4:$A$1000)*1,("Var_Fout"=[1]OUT_SyntheticFuels!$B$4:$B$1000)*1,[1]OUT_SyntheticFuels!P$4:P$1000)</f>
        <v>5.26139653571403</v>
      </c>
      <c r="S617" s="3"/>
    </row>
    <row r="618" spans="2:19" x14ac:dyDescent="0.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SUMPRODUCT(("SUP_WSTBIOCCS"=[1]OUT_SyntheticFuels!$C$4:$C$1000)*1,("BIO"=[1]OUT_SyntheticFuels!$A$4:$A$1000)*1,("Var_Fout"=[1]OUT_SyntheticFuels!$B$4:$B$1000)*1,[1]OUT_SyntheticFuels!I$4:I$1000)</f>
        <v>0</v>
      </c>
      <c r="K618" s="1" cm="1">
        <f t="array" ref="K618">SUMPRODUCT(("SUP_WSTBIOCCS"=[1]OUT_SyntheticFuels!$C$4:$C$1000)*1,("BIO"=[1]OUT_SyntheticFuels!$A$4:$A$1000)*1,("Var_Fout"=[1]OUT_SyntheticFuels!$B$4:$B$1000)*1,[1]OUT_SyntheticFuels!J$4:J$1000)</f>
        <v>0</v>
      </c>
      <c r="L618" s="1" cm="1">
        <f t="array" ref="L618">SUMPRODUCT(("SUP_WSTBIOCCS"=[1]OUT_SyntheticFuels!$C$4:$C$1000)*1,("BIO"=[1]OUT_SyntheticFuels!$A$4:$A$1000)*1,("Var_Fout"=[1]OUT_SyntheticFuels!$B$4:$B$1000)*1,[1]OUT_SyntheticFuels!K$4:K$1000)</f>
        <v>0</v>
      </c>
      <c r="M618" s="1" cm="1">
        <f t="array" ref="M618">SUMPRODUCT(("SUP_WSTBIOCCS"=[1]OUT_SyntheticFuels!$C$4:$C$1000)*1,("BIO"=[1]OUT_SyntheticFuels!$A$4:$A$1000)*1,("Var_Fout"=[1]OUT_SyntheticFuels!$B$4:$B$1000)*1,[1]OUT_SyntheticFuels!L$4:L$1000)</f>
        <v>0</v>
      </c>
      <c r="N618" s="1" cm="1">
        <f t="array" ref="N618">SUMPRODUCT(("SUP_WSTBIOCCS"=[1]OUT_SyntheticFuels!$C$4:$C$1000)*1,("BIO"=[1]OUT_SyntheticFuels!$A$4:$A$1000)*1,("Var_Fout"=[1]OUT_SyntheticFuels!$B$4:$B$1000)*1,[1]OUT_SyntheticFuels!M$4:M$1000)</f>
        <v>0</v>
      </c>
      <c r="O618" s="1" cm="1">
        <f t="array" ref="O618">SUMPRODUCT(("SUP_WSTBIOCCS"=[1]OUT_SyntheticFuels!$C$4:$C$1000)*1,("BIO"=[1]OUT_SyntheticFuels!$A$4:$A$1000)*1,("Var_Fout"=[1]OUT_SyntheticFuels!$B$4:$B$1000)*1,[1]OUT_SyntheticFuels!N$4:N$1000)</f>
        <v>0</v>
      </c>
      <c r="P618" s="1" cm="1">
        <f t="array" ref="P618">SUMPRODUCT(("SUP_WSTBIOCCS"=[1]OUT_SyntheticFuels!$C$4:$C$1000)*1,("BIO"=[1]OUT_SyntheticFuels!$A$4:$A$1000)*1,("Var_Fout"=[1]OUT_SyntheticFuels!$B$4:$B$1000)*1,[1]OUT_SyntheticFuels!O$4:O$1000)</f>
        <v>0</v>
      </c>
      <c r="Q618" s="1" cm="1">
        <f t="array" ref="Q618">SUMPRODUCT(("SUP_WSTBIOCCS"=[1]OUT_SyntheticFuels!$C$4:$C$1000)*1,("BIO"=[1]OUT_SyntheticFuels!$A$4:$A$1000)*1,("Var_Fout"=[1]OUT_SyntheticFuels!$B$4:$B$1000)*1,[1]OUT_SyntheticFuels!P$4:P$1000)</f>
        <v>0</v>
      </c>
      <c r="S618" s="3"/>
    </row>
    <row r="619" spans="2:19" x14ac:dyDescent="0.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SUMPRODUCT(("SUP_WSTHTGBIO"=[1]OUT_SyntheticFuels!$C$4:$C$1000)*1,("BIO"=[1]OUT_SyntheticFuels!$A$4:$A$1000)*1,("Var_Fout"=[1]OUT_SyntheticFuels!$B$4:$B$1000)*1,[1]OUT_SyntheticFuels!I$4:I$1000)</f>
        <v>0</v>
      </c>
      <c r="K619" s="1" cm="1">
        <f t="array" ref="K619">SUMPRODUCT(("SUP_WSTHTGBIO"=[1]OUT_SyntheticFuels!$C$4:$C$1000)*1,("BIO"=[1]OUT_SyntheticFuels!$A$4:$A$1000)*1,("Var_Fout"=[1]OUT_SyntheticFuels!$B$4:$B$1000)*1,[1]OUT_SyntheticFuels!J$4:J$1000)</f>
        <v>6.9122107781936955E-4</v>
      </c>
      <c r="L619" s="1" cm="1">
        <f t="array" ref="L619">SUMPRODUCT(("SUP_WSTHTGBIO"=[1]OUT_SyntheticFuels!$C$4:$C$1000)*1,("BIO"=[1]OUT_SyntheticFuels!$A$4:$A$1000)*1,("Var_Fout"=[1]OUT_SyntheticFuels!$B$4:$B$1000)*1,[1]OUT_SyntheticFuels!K$4:K$1000)</f>
        <v>7.0259774917793053E-4</v>
      </c>
      <c r="M619" s="1" cm="1">
        <f t="array" ref="M619">SUMPRODUCT(("SUP_WSTHTGBIO"=[1]OUT_SyntheticFuels!$C$4:$C$1000)*1,("BIO"=[1]OUT_SyntheticFuels!$A$4:$A$1000)*1,("Var_Fout"=[1]OUT_SyntheticFuels!$B$4:$B$1000)*1,[1]OUT_SyntheticFuels!L$4:L$1000)</f>
        <v>6.6397884070237639E-4</v>
      </c>
      <c r="N619" s="1" cm="1">
        <f t="array" ref="N619">SUMPRODUCT(("SUP_WSTHTGBIO"=[1]OUT_SyntheticFuels!$C$4:$C$1000)*1,("BIO"=[1]OUT_SyntheticFuels!$A$4:$A$1000)*1,("Var_Fout"=[1]OUT_SyntheticFuels!$B$4:$B$1000)*1,[1]OUT_SyntheticFuels!M$4:M$1000)</f>
        <v>7.7520179245869165E-4</v>
      </c>
      <c r="O619" s="1" cm="1">
        <f t="array" ref="O619">SUMPRODUCT(("SUP_WSTHTGBIO"=[1]OUT_SyntheticFuels!$C$4:$C$1000)*1,("BIO"=[1]OUT_SyntheticFuels!$A$4:$A$1000)*1,("Var_Fout"=[1]OUT_SyntheticFuels!$B$4:$B$1000)*1,[1]OUT_SyntheticFuels!N$4:N$1000)</f>
        <v>8.8777757220510531E-4</v>
      </c>
      <c r="P619" s="1" cm="1">
        <f t="array" ref="P619">SUMPRODUCT(("SUP_WSTHTGBIO"=[1]OUT_SyntheticFuels!$C$4:$C$1000)*1,("BIO"=[1]OUT_SyntheticFuels!$A$4:$A$1000)*1,("Var_Fout"=[1]OUT_SyntheticFuels!$B$4:$B$1000)*1,[1]OUT_SyntheticFuels!O$4:O$1000)</f>
        <v>9.3383529143569312E-4</v>
      </c>
      <c r="Q619" s="1" cm="1">
        <f t="array" ref="Q619">SUMPRODUCT(("SUP_WSTHTGBIO"=[1]OUT_SyntheticFuels!$C$4:$C$1000)*1,("BIO"=[1]OUT_SyntheticFuels!$A$4:$A$1000)*1,("Var_Fout"=[1]OUT_SyntheticFuels!$B$4:$B$1000)*1,[1]OUT_SyntheticFuels!P$4:P$1000)</f>
        <v>1.7107733355905673E-3</v>
      </c>
      <c r="S619" s="3"/>
    </row>
    <row r="620" spans="2:19" x14ac:dyDescent="0.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SUMPRODUCT(("SUP_WSTHTGBIOCCS"=[1]OUT_SyntheticFuels!$C$4:$C$1000)*1,("BIO"=[1]OUT_SyntheticFuels!$A$4:$A$1000)*1,("Var_Fout"=[1]OUT_SyntheticFuels!$B$4:$B$1000)*1,[1]OUT_SyntheticFuels!I$4:I$1000)</f>
        <v>0</v>
      </c>
      <c r="K620" s="1" cm="1">
        <f t="array" ref="K620">SUMPRODUCT(("SUP_WSTHTGBIOCCS"=[1]OUT_SyntheticFuels!$C$4:$C$1000)*1,("BIO"=[1]OUT_SyntheticFuels!$A$4:$A$1000)*1,("Var_Fout"=[1]OUT_SyntheticFuels!$B$4:$B$1000)*1,[1]OUT_SyntheticFuels!J$4:J$1000)</f>
        <v>0</v>
      </c>
      <c r="L620" s="1" cm="1">
        <f t="array" ref="L620">SUMPRODUCT(("SUP_WSTHTGBIOCCS"=[1]OUT_SyntheticFuels!$C$4:$C$1000)*1,("BIO"=[1]OUT_SyntheticFuels!$A$4:$A$1000)*1,("Var_Fout"=[1]OUT_SyntheticFuels!$B$4:$B$1000)*1,[1]OUT_SyntheticFuels!K$4:K$1000)</f>
        <v>0</v>
      </c>
      <c r="M620" s="1" cm="1">
        <f t="array" ref="M620">SUMPRODUCT(("SUP_WSTHTGBIOCCS"=[1]OUT_SyntheticFuels!$C$4:$C$1000)*1,("BIO"=[1]OUT_SyntheticFuels!$A$4:$A$1000)*1,("Var_Fout"=[1]OUT_SyntheticFuels!$B$4:$B$1000)*1,[1]OUT_SyntheticFuels!L$4:L$1000)</f>
        <v>0</v>
      </c>
      <c r="N620" s="1" cm="1">
        <f t="array" ref="N620">SUMPRODUCT(("SUP_WSTHTGBIOCCS"=[1]OUT_SyntheticFuels!$C$4:$C$1000)*1,("BIO"=[1]OUT_SyntheticFuels!$A$4:$A$1000)*1,("Var_Fout"=[1]OUT_SyntheticFuels!$B$4:$B$1000)*1,[1]OUT_SyntheticFuels!M$4:M$1000)</f>
        <v>0</v>
      </c>
      <c r="O620" s="1" cm="1">
        <f t="array" ref="O620">SUMPRODUCT(("SUP_WSTHTGBIOCCS"=[1]OUT_SyntheticFuels!$C$4:$C$1000)*1,("BIO"=[1]OUT_SyntheticFuels!$A$4:$A$1000)*1,("Var_Fout"=[1]OUT_SyntheticFuels!$B$4:$B$1000)*1,[1]OUT_SyntheticFuels!N$4:N$1000)</f>
        <v>0</v>
      </c>
      <c r="P620" s="1" cm="1">
        <f t="array" ref="P620">SUMPRODUCT(("SUP_WSTHTGBIOCCS"=[1]OUT_SyntheticFuels!$C$4:$C$1000)*1,("BIO"=[1]OUT_SyntheticFuels!$A$4:$A$1000)*1,("Var_Fout"=[1]OUT_SyntheticFuels!$B$4:$B$1000)*1,[1]OUT_SyntheticFuels!O$4:O$1000)</f>
        <v>0</v>
      </c>
      <c r="Q620" s="1" cm="1">
        <f t="array" ref="Q620">SUMPRODUCT(("SUP_WSTHTGBIOCCS"=[1]OUT_SyntheticFuels!$C$4:$C$1000)*1,("BIO"=[1]OUT_SyntheticFuels!$A$4:$A$1000)*1,("Var_Fout"=[1]OUT_SyntheticFuels!$B$4:$B$1000)*1,[1]OUT_SyntheticFuels!P$4:P$1000)</f>
        <v>0</v>
      </c>
      <c r="S620" s="3"/>
    </row>
    <row r="621" spans="2:19" x14ac:dyDescent="0.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6.0145032387251627E-5</v>
      </c>
      <c r="H621" s="1">
        <f>[1]Other_transformation!D$21</f>
        <v>1.3219907885525902E-4</v>
      </c>
      <c r="I621" s="1">
        <f>[1]Other_transformation!E$21</f>
        <v>2.9104229960479473E-4</v>
      </c>
      <c r="J621" s="1">
        <f>[1]Other_transformation!F$21</f>
        <v>4.5143368060100616E-4</v>
      </c>
      <c r="K621" s="1">
        <f>[1]Other_transformation!G$21</f>
        <v>4.8074766282015972E-4</v>
      </c>
      <c r="L621" s="1">
        <f>[1]Other_transformation!H$21</f>
        <v>4.9469004965947878E-4</v>
      </c>
      <c r="M621" s="1">
        <f>[1]Other_transformation!I$21</f>
        <v>6.2413392965868458E-4</v>
      </c>
      <c r="N621" s="1">
        <f>[1]Other_transformation!J$21</f>
        <v>6.4170165584301081E-4</v>
      </c>
      <c r="O621" s="1">
        <f>[1]Other_transformation!K$21</f>
        <v>7.6478875585423334E-4</v>
      </c>
      <c r="P621" s="1">
        <f>[1]Other_transformation!L$21</f>
        <v>8.0459347951844723E-4</v>
      </c>
      <c r="Q621" s="1">
        <f>[1]Other_transformation!M$21</f>
        <v>1.4944486529757156E-3</v>
      </c>
      <c r="S621" s="3"/>
    </row>
    <row r="622" spans="2:19" x14ac:dyDescent="0.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6.0145032387251627E-5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1.3219907885525902E-4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2.9104229960479473E-4</v>
      </c>
      <c r="J622" s="1" cm="1">
        <f t="array" ref="J622">SUMPRODUCT(("SUP_WODBIO"=[1]OUT_SyntheticFuels!$C$4:$C$1000)*1,("BIO"=[1]OUT_SyntheticFuels!$A$4:$A$1000)*1,("Var_Fout"=[1]OUT_SyntheticFuels!$B$4:$B$1000)*1,[1]OUT_SyntheticFuels!I$4:I$1000)</f>
        <v>4.5143368060100616E-4</v>
      </c>
      <c r="K622" s="1" cm="1">
        <f t="array" ref="K622">SUMPRODUCT(("SUP_WODBIO"=[1]OUT_SyntheticFuels!$C$4:$C$1000)*1,("BIO"=[1]OUT_SyntheticFuels!$A$4:$A$1000)*1,("Var_Fout"=[1]OUT_SyntheticFuels!$B$4:$B$1000)*1,[1]OUT_SyntheticFuels!J$4:J$1000)</f>
        <v>4.8074766282015972E-4</v>
      </c>
      <c r="L622" s="1" cm="1">
        <f t="array" ref="L622">SUMPRODUCT(("SUP_WODBIO"=[1]OUT_SyntheticFuels!$C$4:$C$1000)*1,("BIO"=[1]OUT_SyntheticFuels!$A$4:$A$1000)*1,("Var_Fout"=[1]OUT_SyntheticFuels!$B$4:$B$1000)*1,[1]OUT_SyntheticFuels!K$4:K$1000)</f>
        <v>4.9469004965947878E-4</v>
      </c>
      <c r="M622" s="1" cm="1">
        <f t="array" ref="M622">SUMPRODUCT(("SUP_WODBIO"=[1]OUT_SyntheticFuels!$C$4:$C$1000)*1,("BIO"=[1]OUT_SyntheticFuels!$A$4:$A$1000)*1,("Var_Fout"=[1]OUT_SyntheticFuels!$B$4:$B$1000)*1,[1]OUT_SyntheticFuels!L$4:L$1000)</f>
        <v>6.2413392965868458E-4</v>
      </c>
      <c r="N622" s="1" cm="1">
        <f t="array" ref="N622">SUMPRODUCT(("SUP_WODBIO"=[1]OUT_SyntheticFuels!$C$4:$C$1000)*1,("BIO"=[1]OUT_SyntheticFuels!$A$4:$A$1000)*1,("Var_Fout"=[1]OUT_SyntheticFuels!$B$4:$B$1000)*1,[1]OUT_SyntheticFuels!M$4:M$1000)</f>
        <v>6.4170165584301081E-4</v>
      </c>
      <c r="O622" s="1" cm="1">
        <f t="array" ref="O622">SUMPRODUCT(("SUP_WODBIO"=[1]OUT_SyntheticFuels!$C$4:$C$1000)*1,("BIO"=[1]OUT_SyntheticFuels!$A$4:$A$1000)*1,("Var_Fout"=[1]OUT_SyntheticFuels!$B$4:$B$1000)*1,[1]OUT_SyntheticFuels!N$4:N$1000)</f>
        <v>7.6478875585423334E-4</v>
      </c>
      <c r="P622" s="1" cm="1">
        <f t="array" ref="P622">SUMPRODUCT(("SUP_WODBIO"=[1]OUT_SyntheticFuels!$C$4:$C$1000)*1,("BIO"=[1]OUT_SyntheticFuels!$A$4:$A$1000)*1,("Var_Fout"=[1]OUT_SyntheticFuels!$B$4:$B$1000)*1,[1]OUT_SyntheticFuels!O$4:O$1000)</f>
        <v>8.0459347951844723E-4</v>
      </c>
      <c r="Q622" s="1" cm="1">
        <f t="array" ref="Q622">SUMPRODUCT(("SUP_WODBIO"=[1]OUT_SyntheticFuels!$C$4:$C$1000)*1,("BIO"=[1]OUT_SyntheticFuels!$A$4:$A$1000)*1,("Var_Fout"=[1]OUT_SyntheticFuels!$B$4:$B$1000)*1,[1]OUT_SyntheticFuels!P$4:P$1000)</f>
        <v>1.4944486529757156E-3</v>
      </c>
      <c r="S622" s="3"/>
    </row>
    <row r="623" spans="2:19" x14ac:dyDescent="0.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SUMPRODUCT(("SUP_WODBIOCCS"=[1]OUT_SyntheticFuels!$C$4:$C$1000)*1,("BIO"=[1]OUT_SyntheticFuels!$A$4:$A$1000)*1,("Var_Fout"=[1]OUT_SyntheticFuels!$B$4:$B$1000)*1,[1]OUT_SyntheticFuels!I$4:I$1000)</f>
        <v>0</v>
      </c>
      <c r="K623" s="1" cm="1">
        <f t="array" ref="K623">SUMPRODUCT(("SUP_WODBIOCCS"=[1]OUT_SyntheticFuels!$C$4:$C$1000)*1,("BIO"=[1]OUT_SyntheticFuels!$A$4:$A$1000)*1,("Var_Fout"=[1]OUT_SyntheticFuels!$B$4:$B$1000)*1,[1]OUT_SyntheticFuels!J$4:J$1000)</f>
        <v>0</v>
      </c>
      <c r="L623" s="1" cm="1">
        <f t="array" ref="L623">SUMPRODUCT(("SUP_WODBIOCCS"=[1]OUT_SyntheticFuels!$C$4:$C$1000)*1,("BIO"=[1]OUT_SyntheticFuels!$A$4:$A$1000)*1,("Var_Fout"=[1]OUT_SyntheticFuels!$B$4:$B$1000)*1,[1]OUT_SyntheticFuels!K$4:K$1000)</f>
        <v>0</v>
      </c>
      <c r="M623" s="1" cm="1">
        <f t="array" ref="M623">SUMPRODUCT(("SUP_WODBIOCCS"=[1]OUT_SyntheticFuels!$C$4:$C$1000)*1,("BIO"=[1]OUT_SyntheticFuels!$A$4:$A$1000)*1,("Var_Fout"=[1]OUT_SyntheticFuels!$B$4:$B$1000)*1,[1]OUT_SyntheticFuels!L$4:L$1000)</f>
        <v>0</v>
      </c>
      <c r="N623" s="1" cm="1">
        <f t="array" ref="N623">SUMPRODUCT(("SUP_WODBIOCCS"=[1]OUT_SyntheticFuels!$C$4:$C$1000)*1,("BIO"=[1]OUT_SyntheticFuels!$A$4:$A$1000)*1,("Var_Fout"=[1]OUT_SyntheticFuels!$B$4:$B$1000)*1,[1]OUT_SyntheticFuels!M$4:M$1000)</f>
        <v>0</v>
      </c>
      <c r="O623" s="1" cm="1">
        <f t="array" ref="O623">SUMPRODUCT(("SUP_WODBIOCCS"=[1]OUT_SyntheticFuels!$C$4:$C$1000)*1,("BIO"=[1]OUT_SyntheticFuels!$A$4:$A$1000)*1,("Var_Fout"=[1]OUT_SyntheticFuels!$B$4:$B$1000)*1,[1]OUT_SyntheticFuels!N$4:N$1000)</f>
        <v>0</v>
      </c>
      <c r="P623" s="1" cm="1">
        <f t="array" ref="P623">SUMPRODUCT(("SUP_WODBIOCCS"=[1]OUT_SyntheticFuels!$C$4:$C$1000)*1,("BIO"=[1]OUT_SyntheticFuels!$A$4:$A$1000)*1,("Var_Fout"=[1]OUT_SyntheticFuels!$B$4:$B$1000)*1,[1]OUT_SyntheticFuels!O$4:O$1000)</f>
        <v>0</v>
      </c>
      <c r="Q623" s="1" cm="1">
        <f t="array" ref="Q623">SUMPRODUCT(("SUP_WODBIOCCS"=[1]OUT_SyntheticFuels!$C$4:$C$1000)*1,("BIO"=[1]OUT_SyntheticFuels!$A$4:$A$1000)*1,("Var_Fout"=[1]OUT_SyntheticFuels!$B$4:$B$1000)*1,[1]OUT_SyntheticFuels!P$4:P$1000)</f>
        <v>0</v>
      </c>
      <c r="S623" s="3"/>
    </row>
    <row r="624" spans="2:19" x14ac:dyDescent="0.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0.11258824636126216</v>
      </c>
      <c r="G624" s="3">
        <f t="shared" ref="G624" si="693">G625+G626+G631</f>
        <v>0.11553190454807746</v>
      </c>
      <c r="H624" s="3">
        <f t="shared" ref="H624" si="694">H625+H626+H631</f>
        <v>0.11135345965509727</v>
      </c>
      <c r="I624" s="3">
        <f t="shared" ref="I624" si="695">I625+I626+I631</f>
        <v>0.11515390444085452</v>
      </c>
      <c r="J624" s="3">
        <f t="shared" ref="J624" si="696">J625+J626+J631</f>
        <v>0.11491691446718222</v>
      </c>
      <c r="K624" s="3">
        <f t="shared" ref="K624" si="697">K625+K626+K631</f>
        <v>0.11169249218718297</v>
      </c>
      <c r="L624" s="3">
        <f t="shared" ref="L624:O624" si="698">L625+L626+L631</f>
        <v>0.10847835343225105</v>
      </c>
      <c r="M624" s="3">
        <f t="shared" si="698"/>
        <v>0.10526947139739072</v>
      </c>
      <c r="N624" s="3">
        <f t="shared" si="698"/>
        <v>0.10526870320694202</v>
      </c>
      <c r="O624" s="3">
        <f t="shared" si="698"/>
        <v>0.10527145236799393</v>
      </c>
      <c r="P624" s="3">
        <f>P625+P626+P631</f>
        <v>0.1052723558217568</v>
      </c>
      <c r="Q624" s="3">
        <f>Q625+Q626+Q631</f>
        <v>0.1052877086603997</v>
      </c>
      <c r="S624" s="3"/>
    </row>
    <row r="625" spans="2:19" x14ac:dyDescent="0.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SUMPRODUCT(("SUP_MNRBIO"=[1]OUT_SyntheticFuels!$C$4:$C$1000)*1,("Var_Fout"=[1]OUT_SyntheticFuels!$B$4:$B$1000)*1,("ELC35"=[1]OUT_SyntheticFuels!$A$4:$A$1000)*1,[1]OUT_SyntheticFuels!I$4:I$1000)</f>
        <v>0</v>
      </c>
      <c r="K625" s="1" cm="1">
        <f t="array" ref="K625">SUMPRODUCT(("SUP_MNRBIO"=[1]OUT_SyntheticFuels!$C$4:$C$1000)*1,("Var_Fout"=[1]OUT_SyntheticFuels!$B$4:$B$1000)*1,("ELC35"=[1]OUT_SyntheticFuels!$A$4:$A$1000)*1,[1]OUT_SyntheticFuels!J$4:J$1000)</f>
        <v>0</v>
      </c>
      <c r="L625" s="1" cm="1">
        <f t="array" ref="L625">SUMPRODUCT(("SUP_MNRBIO"=[1]OUT_SyntheticFuels!$C$4:$C$1000)*1,("Var_Fout"=[1]OUT_SyntheticFuels!$B$4:$B$1000)*1,("ELC35"=[1]OUT_SyntheticFuels!$A$4:$A$1000)*1,[1]OUT_SyntheticFuels!K$4:K$1000)</f>
        <v>0</v>
      </c>
      <c r="M625" s="1" cm="1">
        <f t="array" ref="M625">SUMPRODUCT(("SUP_MNRBIO"=[1]OUT_SyntheticFuels!$C$4:$C$1000)*1,("Var_Fout"=[1]OUT_SyntheticFuels!$B$4:$B$1000)*1,("ELC35"=[1]OUT_SyntheticFuels!$A$4:$A$1000)*1,[1]OUT_SyntheticFuels!L$4:L$1000)</f>
        <v>0</v>
      </c>
      <c r="N625" s="1" cm="1">
        <f t="array" ref="N625">SUMPRODUCT(("SUP_MNRBIO"=[1]OUT_SyntheticFuels!$C$4:$C$1000)*1,("Var_Fout"=[1]OUT_SyntheticFuels!$B$4:$B$1000)*1,("ELC35"=[1]OUT_SyntheticFuels!$A$4:$A$1000)*1,[1]OUT_SyntheticFuels!M$4:M$1000)</f>
        <v>0</v>
      </c>
      <c r="O625" s="1" cm="1">
        <f t="array" ref="O625">SUMPRODUCT(("SUP_MNRBIO"=[1]OUT_SyntheticFuels!$C$4:$C$1000)*1,("Var_Fout"=[1]OUT_SyntheticFuels!$B$4:$B$1000)*1,("ELC35"=[1]OUT_SyntheticFuels!$A$4:$A$1000)*1,[1]OUT_SyntheticFuels!N$4:N$1000)</f>
        <v>0</v>
      </c>
      <c r="P625" s="1" cm="1">
        <f t="array" ref="P625">SUMPRODUCT(("SUP_MNRBIO"=[1]OUT_SyntheticFuels!$C$4:$C$1000)*1,("Var_Fout"=[1]OUT_SyntheticFuels!$B$4:$B$1000)*1,("ELC35"=[1]OUT_SyntheticFuels!$A$4:$A$1000)*1,[1]OUT_SyntheticFuels!O$4:O$1000)</f>
        <v>0</v>
      </c>
      <c r="Q625" s="1" cm="1">
        <f t="array" ref="Q625">SUMPRODUCT(("SUP_MNRBIO"=[1]OUT_SyntheticFuels!$C$4:$C$1000)*1,("Var_Fout"=[1]OUT_SyntheticFuels!$B$4:$B$1000)*1,("ELC35"=[1]OUT_SyntheticFuels!$A$4:$A$1000)*1,[1]OUT_SyntheticFuels!P$4:P$1000)</f>
        <v>0</v>
      </c>
      <c r="S625" s="3"/>
    </row>
    <row r="626" spans="2:19" x14ac:dyDescent="0.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0.11258824636126216</v>
      </c>
      <c r="G626" s="1">
        <f t="shared" ref="G626:K626" si="699">SUM(G627:G630)</f>
        <v>0.11553180445798404</v>
      </c>
      <c r="H626" s="1">
        <f t="shared" si="699"/>
        <v>0.11134817169194305</v>
      </c>
      <c r="I626" s="1">
        <f t="shared" si="699"/>
        <v>0.11514226274887034</v>
      </c>
      <c r="J626" s="1">
        <f t="shared" si="699"/>
        <v>0.11489885711995818</v>
      </c>
      <c r="K626" s="1">
        <f t="shared" si="699"/>
        <v>0.11167326228067016</v>
      </c>
      <c r="L626" s="1">
        <f t="shared" ref="L626:O626" si="700">SUM(L627:L630)</f>
        <v>0.10845856583026467</v>
      </c>
      <c r="M626" s="1">
        <f t="shared" si="700"/>
        <v>0.10524450604020437</v>
      </c>
      <c r="N626" s="1">
        <f t="shared" si="700"/>
        <v>0.1052430351407083</v>
      </c>
      <c r="O626" s="1">
        <f t="shared" si="700"/>
        <v>0.10524086081775975</v>
      </c>
      <c r="P626" s="1">
        <f>SUM(P627:P630)</f>
        <v>0.10524017208257606</v>
      </c>
      <c r="Q626" s="1">
        <f>SUM(Q627:Q630)</f>
        <v>0.10522793071428067</v>
      </c>
      <c r="S626" s="3"/>
    </row>
    <row r="627" spans="2:19" x14ac:dyDescent="0.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0.11258824636126216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0.11553180445798404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0.11134817169194305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0.11514226274887034</v>
      </c>
      <c r="J627" s="1" cm="1">
        <f t="array" ref="J627">SUMPRODUCT(("SUP_WSTBIO"=[1]OUT_SyntheticFuels!$C$4:$C$1000)*1,("elc35"=[1]OUT_SyntheticFuels!$A$4:$A$1000)*1,("Var_Fout"=[1]OUT_SyntheticFuels!$B$4:$B$1000)*1,[1]OUT_SyntheticFuels!I$4:I$1000)</f>
        <v>0.11489885711995818</v>
      </c>
      <c r="K627" s="1" cm="1">
        <f t="array" ref="K627">SUMPRODUCT(("SUP_WSTBIO"=[1]OUT_SyntheticFuels!$C$4:$C$1000)*1,("elc35"=[1]OUT_SyntheticFuels!$A$4:$A$1000)*1,("Var_Fout"=[1]OUT_SyntheticFuels!$B$4:$B$1000)*1,[1]OUT_SyntheticFuels!J$4:J$1000)</f>
        <v>0.11167326228067016</v>
      </c>
      <c r="L627" s="1" cm="1">
        <f t="array" ref="L627">SUMPRODUCT(("SUP_WSTBIO"=[1]OUT_SyntheticFuels!$C$4:$C$1000)*1,("elc35"=[1]OUT_SyntheticFuels!$A$4:$A$1000)*1,("Var_Fout"=[1]OUT_SyntheticFuels!$B$4:$B$1000)*1,[1]OUT_SyntheticFuels!K$4:K$1000)</f>
        <v>0.10845856583026467</v>
      </c>
      <c r="M627" s="1" cm="1">
        <f t="array" ref="M627">SUMPRODUCT(("SUP_WSTBIO"=[1]OUT_SyntheticFuels!$C$4:$C$1000)*1,("elc35"=[1]OUT_SyntheticFuels!$A$4:$A$1000)*1,("Var_Fout"=[1]OUT_SyntheticFuels!$B$4:$B$1000)*1,[1]OUT_SyntheticFuels!L$4:L$1000)</f>
        <v>0.10524450604020437</v>
      </c>
      <c r="N627" s="1" cm="1">
        <f t="array" ref="N627">SUMPRODUCT(("SUP_WSTBIO"=[1]OUT_SyntheticFuels!$C$4:$C$1000)*1,("elc35"=[1]OUT_SyntheticFuels!$A$4:$A$1000)*1,("Var_Fout"=[1]OUT_SyntheticFuels!$B$4:$B$1000)*1,[1]OUT_SyntheticFuels!M$4:M$1000)</f>
        <v>0.1052430351407083</v>
      </c>
      <c r="O627" s="1" cm="1">
        <f t="array" ref="O627">SUMPRODUCT(("SUP_WSTBIO"=[1]OUT_SyntheticFuels!$C$4:$C$1000)*1,("elc35"=[1]OUT_SyntheticFuels!$A$4:$A$1000)*1,("Var_Fout"=[1]OUT_SyntheticFuels!$B$4:$B$1000)*1,[1]OUT_SyntheticFuels!N$4:N$1000)</f>
        <v>0.10524086081775975</v>
      </c>
      <c r="P627" s="1" cm="1">
        <f t="array" ref="P627">SUMPRODUCT(("SUP_WSTBIO"=[1]OUT_SyntheticFuels!$C$4:$C$1000)*1,("elc35"=[1]OUT_SyntheticFuels!$A$4:$A$1000)*1,("Var_Fout"=[1]OUT_SyntheticFuels!$B$4:$B$1000)*1,[1]OUT_SyntheticFuels!O$4:O$1000)</f>
        <v>0.10524017208257606</v>
      </c>
      <c r="Q627" s="1" cm="1">
        <f t="array" ref="Q627">SUMPRODUCT(("SUP_WSTBIO"=[1]OUT_SyntheticFuels!$C$4:$C$1000)*1,("elc35"=[1]OUT_SyntheticFuels!$A$4:$A$1000)*1,("Var_Fout"=[1]OUT_SyntheticFuels!$B$4:$B$1000)*1,[1]OUT_SyntheticFuels!P$4:P$1000)</f>
        <v>0.10522793071428067</v>
      </c>
      <c r="S627" s="3"/>
    </row>
    <row r="628" spans="2:19" x14ac:dyDescent="0.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SUMPRODUCT(("SUP_WSTBIOCCS"=[1]OUT_SyntheticFuels!$C$4:$C$1000)*1,("elc35"=[1]OUT_SyntheticFuels!$A$4:$A$1000)*1,("Var_Fout"=[1]OUT_SyntheticFuels!$B$4:$B$1000)*1,[1]OUT_SyntheticFuels!I$4:I$1000)</f>
        <v>0</v>
      </c>
      <c r="K628" s="1" cm="1">
        <f t="array" ref="K628">SUMPRODUCT(("SUP_WSTBIOCCS"=[1]OUT_SyntheticFuels!$C$4:$C$1000)*1,("elc35"=[1]OUT_SyntheticFuels!$A$4:$A$1000)*1,("Var_Fout"=[1]OUT_SyntheticFuels!$B$4:$B$1000)*1,[1]OUT_SyntheticFuels!J$4:J$1000)</f>
        <v>0</v>
      </c>
      <c r="L628" s="1" cm="1">
        <f t="array" ref="L628">SUMPRODUCT(("SUP_WSTBIOCCS"=[1]OUT_SyntheticFuels!$C$4:$C$1000)*1,("elc35"=[1]OUT_SyntheticFuels!$A$4:$A$1000)*1,("Var_Fout"=[1]OUT_SyntheticFuels!$B$4:$B$1000)*1,[1]OUT_SyntheticFuels!K$4:K$1000)</f>
        <v>0</v>
      </c>
      <c r="M628" s="1" cm="1">
        <f t="array" ref="M628">SUMPRODUCT(("SUP_WSTBIOCCS"=[1]OUT_SyntheticFuels!$C$4:$C$1000)*1,("elc35"=[1]OUT_SyntheticFuels!$A$4:$A$1000)*1,("Var_Fout"=[1]OUT_SyntheticFuels!$B$4:$B$1000)*1,[1]OUT_SyntheticFuels!L$4:L$1000)</f>
        <v>0</v>
      </c>
      <c r="N628" s="1" cm="1">
        <f t="array" ref="N628">SUMPRODUCT(("SUP_WSTBIOCCS"=[1]OUT_SyntheticFuels!$C$4:$C$1000)*1,("elc35"=[1]OUT_SyntheticFuels!$A$4:$A$1000)*1,("Var_Fout"=[1]OUT_SyntheticFuels!$B$4:$B$1000)*1,[1]OUT_SyntheticFuels!M$4:M$1000)</f>
        <v>0</v>
      </c>
      <c r="O628" s="1" cm="1">
        <f t="array" ref="O628">SUMPRODUCT(("SUP_WSTBIOCCS"=[1]OUT_SyntheticFuels!$C$4:$C$1000)*1,("elc35"=[1]OUT_SyntheticFuels!$A$4:$A$1000)*1,("Var_Fout"=[1]OUT_SyntheticFuels!$B$4:$B$1000)*1,[1]OUT_SyntheticFuels!N$4:N$1000)</f>
        <v>0</v>
      </c>
      <c r="P628" s="1" cm="1">
        <f t="array" ref="P628">SUMPRODUCT(("SUP_WSTBIOCCS"=[1]OUT_SyntheticFuels!$C$4:$C$1000)*1,("elc35"=[1]OUT_SyntheticFuels!$A$4:$A$1000)*1,("Var_Fout"=[1]OUT_SyntheticFuels!$B$4:$B$1000)*1,[1]OUT_SyntheticFuels!O$4:O$1000)</f>
        <v>0</v>
      </c>
      <c r="Q628" s="1" cm="1">
        <f t="array" ref="Q628">SUMPRODUCT(("SUP_WSTBIOCCS"=[1]OUT_SyntheticFuels!$C$4:$C$1000)*1,("elc35"=[1]OUT_SyntheticFuels!$A$4:$A$1000)*1,("Var_Fout"=[1]OUT_SyntheticFuels!$B$4:$B$1000)*1,[1]OUT_SyntheticFuels!P$4:P$1000)</f>
        <v>0</v>
      </c>
      <c r="S628" s="3"/>
    </row>
    <row r="629" spans="2:19" x14ac:dyDescent="0.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SUMPRODUCT(("SUP_WSTHTGBIO"=[1]OUT_SyntheticFuels!$C$4:$C$1000)*1,("elc35"=[1]OUT_SyntheticFuels!$A$4:$A$1000)*1,("Var_Fout"=[1]OUT_SyntheticFuels!$B$4:$B$1000)*1,[1]OUT_SyntheticFuels!I$4:I$1000)</f>
        <v>0</v>
      </c>
      <c r="K629" s="1" cm="1">
        <f t="array" ref="K629">SUMPRODUCT(("SUP_WSTHTGBIO"=[1]OUT_SyntheticFuels!$C$4:$C$1000)*1,("elc35"=[1]OUT_SyntheticFuels!$A$4:$A$1000)*1,("Var_Fout"=[1]OUT_SyntheticFuels!$B$4:$B$1000)*1,[1]OUT_SyntheticFuels!J$4:J$1000)</f>
        <v>0</v>
      </c>
      <c r="L629" s="1" cm="1">
        <f t="array" ref="L629">SUMPRODUCT(("SUP_WSTHTGBIO"=[1]OUT_SyntheticFuels!$C$4:$C$1000)*1,("elc35"=[1]OUT_SyntheticFuels!$A$4:$A$1000)*1,("Var_Fout"=[1]OUT_SyntheticFuels!$B$4:$B$1000)*1,[1]OUT_SyntheticFuels!K$4:K$1000)</f>
        <v>0</v>
      </c>
      <c r="M629" s="1" cm="1">
        <f t="array" ref="M629">SUMPRODUCT(("SUP_WSTHTGBIO"=[1]OUT_SyntheticFuels!$C$4:$C$1000)*1,("elc35"=[1]OUT_SyntheticFuels!$A$4:$A$1000)*1,("Var_Fout"=[1]OUT_SyntheticFuels!$B$4:$B$1000)*1,[1]OUT_SyntheticFuels!L$4:L$1000)</f>
        <v>0</v>
      </c>
      <c r="N629" s="1" cm="1">
        <f t="array" ref="N629">SUMPRODUCT(("SUP_WSTHTGBIO"=[1]OUT_SyntheticFuels!$C$4:$C$1000)*1,("elc35"=[1]OUT_SyntheticFuels!$A$4:$A$1000)*1,("Var_Fout"=[1]OUT_SyntheticFuels!$B$4:$B$1000)*1,[1]OUT_SyntheticFuels!M$4:M$1000)</f>
        <v>0</v>
      </c>
      <c r="O629" s="1" cm="1">
        <f t="array" ref="O629">SUMPRODUCT(("SUP_WSTHTGBIO"=[1]OUT_SyntheticFuels!$C$4:$C$1000)*1,("elc35"=[1]OUT_SyntheticFuels!$A$4:$A$1000)*1,("Var_Fout"=[1]OUT_SyntheticFuels!$B$4:$B$1000)*1,[1]OUT_SyntheticFuels!N$4:N$1000)</f>
        <v>0</v>
      </c>
      <c r="P629" s="1" cm="1">
        <f t="array" ref="P629">SUMPRODUCT(("SUP_WSTHTGBIO"=[1]OUT_SyntheticFuels!$C$4:$C$1000)*1,("elc35"=[1]OUT_SyntheticFuels!$A$4:$A$1000)*1,("Var_Fout"=[1]OUT_SyntheticFuels!$B$4:$B$1000)*1,[1]OUT_SyntheticFuels!O$4:O$1000)</f>
        <v>0</v>
      </c>
      <c r="Q629" s="1" cm="1">
        <f t="array" ref="Q629">SUMPRODUCT(("SUP_WSTHTGBIO"=[1]OUT_SyntheticFuels!$C$4:$C$1000)*1,("elc35"=[1]OUT_SyntheticFuels!$A$4:$A$1000)*1,("Var_Fout"=[1]OUT_SyntheticFuels!$B$4:$B$1000)*1,[1]OUT_SyntheticFuels!P$4:P$1000)</f>
        <v>0</v>
      </c>
      <c r="S629" s="3"/>
    </row>
    <row r="630" spans="2:19" x14ac:dyDescent="0.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SUMPRODUCT(("SUP_WSTHTGBIOCCS"=[1]OUT_SyntheticFuels!$C$4:$C$1000)*1,("elc35"=[1]OUT_SyntheticFuels!$A$4:$A$1000)*1,("Var_Fout"=[1]OUT_SyntheticFuels!$B$4:$B$1000)*1,[1]OUT_SyntheticFuels!I$4:I$1000)</f>
        <v>0</v>
      </c>
      <c r="K630" s="1" cm="1">
        <f t="array" ref="K630">SUMPRODUCT(("SUP_WSTHTGBIOCCS"=[1]OUT_SyntheticFuels!$C$4:$C$1000)*1,("elc35"=[1]OUT_SyntheticFuels!$A$4:$A$1000)*1,("Var_Fout"=[1]OUT_SyntheticFuels!$B$4:$B$1000)*1,[1]OUT_SyntheticFuels!J$4:J$1000)</f>
        <v>0</v>
      </c>
      <c r="L630" s="1" cm="1">
        <f t="array" ref="L630">SUMPRODUCT(("SUP_WSTHTGBIOCCS"=[1]OUT_SyntheticFuels!$C$4:$C$1000)*1,("elc35"=[1]OUT_SyntheticFuels!$A$4:$A$1000)*1,("Var_Fout"=[1]OUT_SyntheticFuels!$B$4:$B$1000)*1,[1]OUT_SyntheticFuels!K$4:K$1000)</f>
        <v>0</v>
      </c>
      <c r="M630" s="1" cm="1">
        <f t="array" ref="M630">SUMPRODUCT(("SUP_WSTHTGBIOCCS"=[1]OUT_SyntheticFuels!$C$4:$C$1000)*1,("elc35"=[1]OUT_SyntheticFuels!$A$4:$A$1000)*1,("Var_Fout"=[1]OUT_SyntheticFuels!$B$4:$B$1000)*1,[1]OUT_SyntheticFuels!L$4:L$1000)</f>
        <v>0</v>
      </c>
      <c r="N630" s="1" cm="1">
        <f t="array" ref="N630">SUMPRODUCT(("SUP_WSTHTGBIOCCS"=[1]OUT_SyntheticFuels!$C$4:$C$1000)*1,("elc35"=[1]OUT_SyntheticFuels!$A$4:$A$1000)*1,("Var_Fout"=[1]OUT_SyntheticFuels!$B$4:$B$1000)*1,[1]OUT_SyntheticFuels!M$4:M$1000)</f>
        <v>0</v>
      </c>
      <c r="O630" s="1" cm="1">
        <f t="array" ref="O630">SUMPRODUCT(("SUP_WSTHTGBIOCCS"=[1]OUT_SyntheticFuels!$C$4:$C$1000)*1,("elc35"=[1]OUT_SyntheticFuels!$A$4:$A$1000)*1,("Var_Fout"=[1]OUT_SyntheticFuels!$B$4:$B$1000)*1,[1]OUT_SyntheticFuels!N$4:N$1000)</f>
        <v>0</v>
      </c>
      <c r="P630" s="1" cm="1">
        <f t="array" ref="P630">SUMPRODUCT(("SUP_WSTHTGBIOCCS"=[1]OUT_SyntheticFuels!$C$4:$C$1000)*1,("elc35"=[1]OUT_SyntheticFuels!$A$4:$A$1000)*1,("Var_Fout"=[1]OUT_SyntheticFuels!$B$4:$B$1000)*1,[1]OUT_SyntheticFuels!O$4:O$1000)</f>
        <v>0</v>
      </c>
      <c r="Q630" s="1" cm="1">
        <f t="array" ref="Q630">SUMPRODUCT(("SUP_WSTHTGBIOCCS"=[1]OUT_SyntheticFuels!$C$4:$C$1000)*1,("elc35"=[1]OUT_SyntheticFuels!$A$4:$A$1000)*1,("Var_Fout"=[1]OUT_SyntheticFuels!$B$4:$B$1000)*1,[1]OUT_SyntheticFuels!P$4:P$1000)</f>
        <v>0</v>
      </c>
      <c r="S630" s="3"/>
    </row>
    <row r="631" spans="2:19" x14ac:dyDescent="0.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701">SUM(G632:G633)</f>
        <v>1.00090093426921E-7</v>
      </c>
      <c r="H631" s="1">
        <f t="shared" si="701"/>
        <v>5.2879631542103682E-6</v>
      </c>
      <c r="I631" s="1">
        <f t="shared" si="701"/>
        <v>1.1641691984191816E-5</v>
      </c>
      <c r="J631" s="1">
        <f t="shared" si="701"/>
        <v>1.8057347224040282E-5</v>
      </c>
      <c r="K631" s="1">
        <f t="shared" si="701"/>
        <v>1.9229906512806428E-5</v>
      </c>
      <c r="L631" s="1">
        <f t="shared" ref="L631:O631" si="702">SUM(L632:L633)</f>
        <v>1.9787601986379204E-5</v>
      </c>
      <c r="M631" s="1">
        <f t="shared" si="702"/>
        <v>2.496535718634742E-5</v>
      </c>
      <c r="N631" s="1">
        <f t="shared" si="702"/>
        <v>2.5668066233720493E-5</v>
      </c>
      <c r="O631" s="1">
        <f t="shared" si="702"/>
        <v>3.059155023416939E-5</v>
      </c>
      <c r="P631" s="1">
        <f>SUM(P632:P633)</f>
        <v>3.218373918073794E-5</v>
      </c>
      <c r="Q631" s="1">
        <f>SUM(Q632:Q633)</f>
        <v>5.977794611902869E-5</v>
      </c>
      <c r="S631" s="3"/>
    </row>
    <row r="632" spans="2:19" x14ac:dyDescent="0.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1.00090093426921E-7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5.2879631542103682E-6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1.1641691984191816E-5</v>
      </c>
      <c r="J632" s="1" cm="1">
        <f t="array" ref="J632">SUMPRODUCT(("SUP_WODBIO"=[1]OUT_SyntheticFuels!$C$4:$C$1000)*1,("elc35"=[1]OUT_SyntheticFuels!$A$4:$A$1000)*1,("Var_Fout"=[1]OUT_SyntheticFuels!$B$4:$B$1000)*1,[1]OUT_SyntheticFuels!I$4:I$1000)</f>
        <v>1.8057347224040282E-5</v>
      </c>
      <c r="K632" s="1" cm="1">
        <f t="array" ref="K632">SUMPRODUCT(("SUP_WODBIO"=[1]OUT_SyntheticFuels!$C$4:$C$1000)*1,("elc35"=[1]OUT_SyntheticFuels!$A$4:$A$1000)*1,("Var_Fout"=[1]OUT_SyntheticFuels!$B$4:$B$1000)*1,[1]OUT_SyntheticFuels!J$4:J$1000)</f>
        <v>1.9229906512806428E-5</v>
      </c>
      <c r="L632" s="1" cm="1">
        <f t="array" ref="L632">SUMPRODUCT(("SUP_WODBIO"=[1]OUT_SyntheticFuels!$C$4:$C$1000)*1,("elc35"=[1]OUT_SyntheticFuels!$A$4:$A$1000)*1,("Var_Fout"=[1]OUT_SyntheticFuels!$B$4:$B$1000)*1,[1]OUT_SyntheticFuels!K$4:K$1000)</f>
        <v>1.9787601986379204E-5</v>
      </c>
      <c r="M632" s="1" cm="1">
        <f t="array" ref="M632">SUMPRODUCT(("SUP_WODBIO"=[1]OUT_SyntheticFuels!$C$4:$C$1000)*1,("elc35"=[1]OUT_SyntheticFuels!$A$4:$A$1000)*1,("Var_Fout"=[1]OUT_SyntheticFuels!$B$4:$B$1000)*1,[1]OUT_SyntheticFuels!L$4:L$1000)</f>
        <v>2.496535718634742E-5</v>
      </c>
      <c r="N632" s="1" cm="1">
        <f t="array" ref="N632">SUMPRODUCT(("SUP_WODBIO"=[1]OUT_SyntheticFuels!$C$4:$C$1000)*1,("elc35"=[1]OUT_SyntheticFuels!$A$4:$A$1000)*1,("Var_Fout"=[1]OUT_SyntheticFuels!$B$4:$B$1000)*1,[1]OUT_SyntheticFuels!M$4:M$1000)</f>
        <v>2.5668066233720493E-5</v>
      </c>
      <c r="O632" s="1" cm="1">
        <f t="array" ref="O632">SUMPRODUCT(("SUP_WODBIO"=[1]OUT_SyntheticFuels!$C$4:$C$1000)*1,("elc35"=[1]OUT_SyntheticFuels!$A$4:$A$1000)*1,("Var_Fout"=[1]OUT_SyntheticFuels!$B$4:$B$1000)*1,[1]OUT_SyntheticFuels!N$4:N$1000)</f>
        <v>3.059155023416939E-5</v>
      </c>
      <c r="P632" s="1" cm="1">
        <f t="array" ref="P632">SUMPRODUCT(("SUP_WODBIO"=[1]OUT_SyntheticFuels!$C$4:$C$1000)*1,("elc35"=[1]OUT_SyntheticFuels!$A$4:$A$1000)*1,("Var_Fout"=[1]OUT_SyntheticFuels!$B$4:$B$1000)*1,[1]OUT_SyntheticFuels!O$4:O$1000)</f>
        <v>3.218373918073794E-5</v>
      </c>
      <c r="Q632" s="1" cm="1">
        <f t="array" ref="Q632">SUMPRODUCT(("SUP_WODBIO"=[1]OUT_SyntheticFuels!$C$4:$C$1000)*1,("elc35"=[1]OUT_SyntheticFuels!$A$4:$A$1000)*1,("Var_Fout"=[1]OUT_SyntheticFuels!$B$4:$B$1000)*1,[1]OUT_SyntheticFuels!P$4:P$1000)</f>
        <v>5.977794611902869E-5</v>
      </c>
      <c r="S632" s="3"/>
    </row>
    <row r="633" spans="2:19" x14ac:dyDescent="0.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SUMPRODUCT(("SUP_WODBIOCCS"=[1]OUT_SyntheticFuels!$C$4:$C$1000)*1,("elc35"=[1]OUT_SyntheticFuels!$A$4:$A$1000)*1,("Var_Fout"=[1]OUT_SyntheticFuels!$B$4:$B$1000)*1,[1]OUT_SyntheticFuels!I$4:I$1000)</f>
        <v>0</v>
      </c>
      <c r="K633" s="1" cm="1">
        <f t="array" ref="K633">SUMPRODUCT(("SUP_WODBIOCCS"=[1]OUT_SyntheticFuels!$C$4:$C$1000)*1,("elc35"=[1]OUT_SyntheticFuels!$A$4:$A$1000)*1,("Var_Fout"=[1]OUT_SyntheticFuels!$B$4:$B$1000)*1,[1]OUT_SyntheticFuels!J$4:J$1000)</f>
        <v>0</v>
      </c>
      <c r="L633" s="1" cm="1">
        <f t="array" ref="L633">SUMPRODUCT(("SUP_WODBIOCCS"=[1]OUT_SyntheticFuels!$C$4:$C$1000)*1,("elc35"=[1]OUT_SyntheticFuels!$A$4:$A$1000)*1,("Var_Fout"=[1]OUT_SyntheticFuels!$B$4:$B$1000)*1,[1]OUT_SyntheticFuels!K$4:K$1000)</f>
        <v>0</v>
      </c>
      <c r="M633" s="1" cm="1">
        <f t="array" ref="M633">SUMPRODUCT(("SUP_WODBIOCCS"=[1]OUT_SyntheticFuels!$C$4:$C$1000)*1,("elc35"=[1]OUT_SyntheticFuels!$A$4:$A$1000)*1,("Var_Fout"=[1]OUT_SyntheticFuels!$B$4:$B$1000)*1,[1]OUT_SyntheticFuels!L$4:L$1000)</f>
        <v>0</v>
      </c>
      <c r="N633" s="1" cm="1">
        <f t="array" ref="N633">SUMPRODUCT(("SUP_WODBIOCCS"=[1]OUT_SyntheticFuels!$C$4:$C$1000)*1,("elc35"=[1]OUT_SyntheticFuels!$A$4:$A$1000)*1,("Var_Fout"=[1]OUT_SyntheticFuels!$B$4:$B$1000)*1,[1]OUT_SyntheticFuels!M$4:M$1000)</f>
        <v>0</v>
      </c>
      <c r="O633" s="1" cm="1">
        <f t="array" ref="O633">SUMPRODUCT(("SUP_WODBIOCCS"=[1]OUT_SyntheticFuels!$C$4:$C$1000)*1,("elc35"=[1]OUT_SyntheticFuels!$A$4:$A$1000)*1,("Var_Fout"=[1]OUT_SyntheticFuels!$B$4:$B$1000)*1,[1]OUT_SyntheticFuels!N$4:N$1000)</f>
        <v>0</v>
      </c>
      <c r="P633" s="1" cm="1">
        <f t="array" ref="P633">SUMPRODUCT(("SUP_WODBIOCCS"=[1]OUT_SyntheticFuels!$C$4:$C$1000)*1,("elc35"=[1]OUT_SyntheticFuels!$A$4:$A$1000)*1,("Var_Fout"=[1]OUT_SyntheticFuels!$B$4:$B$1000)*1,[1]OUT_SyntheticFuels!O$4:O$1000)</f>
        <v>0</v>
      </c>
      <c r="Q633" s="1" cm="1">
        <f t="array" ref="Q633">SUMPRODUCT(("SUP_WODBIOCCS"=[1]OUT_SyntheticFuels!$C$4:$C$1000)*1,("elc35"=[1]OUT_SyntheticFuels!$A$4:$A$1000)*1,("Var_Fout"=[1]OUT_SyntheticFuels!$B$4:$B$1000)*1,[1]OUT_SyntheticFuels!P$4:P$1000)</f>
        <v>0</v>
      </c>
      <c r="S633" s="3"/>
    </row>
    <row r="634" spans="2:19" x14ac:dyDescent="0.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703">G635+G636+G641</f>
        <v>7.2174038864702012E-6</v>
      </c>
      <c r="H634" s="3">
        <f t="shared" ref="H634" si="704">H635+H636+H641</f>
        <v>1.5863889462631082E-5</v>
      </c>
      <c r="I634" s="3">
        <f t="shared" ref="I634" si="705">I635+I636+I641</f>
        <v>3.4925075952575408E-5</v>
      </c>
      <c r="J634" s="3">
        <f t="shared" ref="J634" si="706">J635+J636+J641</f>
        <v>5.4172041672120828E-5</v>
      </c>
      <c r="K634" s="3">
        <f t="shared" ref="K634" si="707">K635+K636+K641</f>
        <v>5.7689719538419179E-5</v>
      </c>
      <c r="L634" s="3">
        <f t="shared" ref="L634:O634" si="708">L635+L636+L641</f>
        <v>5.9362805959137562E-5</v>
      </c>
      <c r="M634" s="3">
        <f t="shared" si="708"/>
        <v>7.4896071559042257E-5</v>
      </c>
      <c r="N634" s="3">
        <f t="shared" si="708"/>
        <v>7.700419870116137E-5</v>
      </c>
      <c r="O634" s="3">
        <f t="shared" si="708"/>
        <v>9.177465070250809E-5</v>
      </c>
      <c r="P634" s="3">
        <f>P635+P636+P641</f>
        <v>9.6551217542213658E-5</v>
      </c>
      <c r="Q634" s="3">
        <f>Q635+Q636+Q641</f>
        <v>1.793338383570859E-4</v>
      </c>
      <c r="S634" s="3"/>
    </row>
    <row r="635" spans="2:19" x14ac:dyDescent="0.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SUMPRODUCT(("SUP_MNRBIO"=[1]OUT_SyntheticFuels!$C$4:$C$1000)*1,("Var_Fout"=[1]OUT_SyntheticFuels!$B$4:$B$1000)*1,("LTH"=[1]OUT_SyntheticFuels!$A$4:$A$1000)*1,[1]OUT_SyntheticFuels!I$4:I$1000)</f>
        <v>0</v>
      </c>
      <c r="K635" s="1" cm="1">
        <f t="array" ref="K635">SUMPRODUCT(("SUP_MNRBIO"=[1]OUT_SyntheticFuels!$C$4:$C$1000)*1,("Var_Fout"=[1]OUT_SyntheticFuels!$B$4:$B$1000)*1,("LTH"=[1]OUT_SyntheticFuels!$A$4:$A$1000)*1,[1]OUT_SyntheticFuels!J$4:J$1000)</f>
        <v>0</v>
      </c>
      <c r="L635" s="1" cm="1">
        <f t="array" ref="L635">SUMPRODUCT(("SUP_MNRBIO"=[1]OUT_SyntheticFuels!$C$4:$C$1000)*1,("Var_Fout"=[1]OUT_SyntheticFuels!$B$4:$B$1000)*1,("LTH"=[1]OUT_SyntheticFuels!$A$4:$A$1000)*1,[1]OUT_SyntheticFuels!K$4:K$1000)</f>
        <v>0</v>
      </c>
      <c r="M635" s="1" cm="1">
        <f t="array" ref="M635">SUMPRODUCT(("SUP_MNRBIO"=[1]OUT_SyntheticFuels!$C$4:$C$1000)*1,("Var_Fout"=[1]OUT_SyntheticFuels!$B$4:$B$1000)*1,("LTH"=[1]OUT_SyntheticFuels!$A$4:$A$1000)*1,[1]OUT_SyntheticFuels!L$4:L$1000)</f>
        <v>0</v>
      </c>
      <c r="N635" s="1" cm="1">
        <f t="array" ref="N635">SUMPRODUCT(("SUP_MNRBIO"=[1]OUT_SyntheticFuels!$C$4:$C$1000)*1,("Var_Fout"=[1]OUT_SyntheticFuels!$B$4:$B$1000)*1,("LTH"=[1]OUT_SyntheticFuels!$A$4:$A$1000)*1,[1]OUT_SyntheticFuels!M$4:M$1000)</f>
        <v>0</v>
      </c>
      <c r="O635" s="1" cm="1">
        <f t="array" ref="O635">SUMPRODUCT(("SUP_MNRBIO"=[1]OUT_SyntheticFuels!$C$4:$C$1000)*1,("Var_Fout"=[1]OUT_SyntheticFuels!$B$4:$B$1000)*1,("LTH"=[1]OUT_SyntheticFuels!$A$4:$A$1000)*1,[1]OUT_SyntheticFuels!N$4:N$1000)</f>
        <v>0</v>
      </c>
      <c r="P635" s="1" cm="1">
        <f t="array" ref="P635">SUMPRODUCT(("SUP_MNRBIO"=[1]OUT_SyntheticFuels!$C$4:$C$1000)*1,("Var_Fout"=[1]OUT_SyntheticFuels!$B$4:$B$1000)*1,("LTH"=[1]OUT_SyntheticFuels!$A$4:$A$1000)*1,[1]OUT_SyntheticFuels!O$4:O$1000)</f>
        <v>0</v>
      </c>
      <c r="Q635" s="1" cm="1">
        <f t="array" ref="Q635">SUMPRODUCT(("SUP_MNRBIO"=[1]OUT_SyntheticFuels!$C$4:$C$1000)*1,("Var_Fout"=[1]OUT_SyntheticFuels!$B$4:$B$1000)*1,("LTH"=[1]OUT_SyntheticFuels!$A$4:$A$1000)*1,[1]OUT_SyntheticFuels!P$4:P$1000)</f>
        <v>0</v>
      </c>
      <c r="S635" s="3"/>
    </row>
    <row r="636" spans="2:19" x14ac:dyDescent="0.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709">SUM(G637:G640)</f>
        <v>0</v>
      </c>
      <c r="H636" s="1">
        <f t="shared" ref="H636" si="710">SUM(H637:H640)</f>
        <v>0</v>
      </c>
      <c r="I636" s="1">
        <f t="shared" ref="I636" si="711">SUM(I637:I640)</f>
        <v>0</v>
      </c>
      <c r="J636" s="1">
        <f t="shared" ref="J636" si="712">SUM(J637:J640)</f>
        <v>0</v>
      </c>
      <c r="K636" s="1">
        <f t="shared" ref="K636" si="713">SUM(K637:K640)</f>
        <v>0</v>
      </c>
      <c r="L636" s="1">
        <f t="shared" ref="L636:O636" si="714">SUM(L637:L640)</f>
        <v>0</v>
      </c>
      <c r="M636" s="1">
        <f t="shared" si="714"/>
        <v>0</v>
      </c>
      <c r="N636" s="1">
        <f t="shared" si="714"/>
        <v>0</v>
      </c>
      <c r="O636" s="1">
        <f t="shared" si="714"/>
        <v>0</v>
      </c>
      <c r="P636" s="1">
        <f>SUM(P637:P640)</f>
        <v>0</v>
      </c>
      <c r="Q636" s="1">
        <f>SUM(Q637:Q640)</f>
        <v>0</v>
      </c>
      <c r="S636" s="3"/>
    </row>
    <row r="637" spans="2:19" x14ac:dyDescent="0.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SUMPRODUCT(("SUP_WSTBIO"=[1]OUT_SyntheticFuels!$C$4:$C$1000)*1,("LTH"=[1]OUT_SyntheticFuels!$A$4:$A$1000)*1,("Var_Fout"=[1]OUT_SyntheticFuels!$B$4:$B$1000)*1,[1]OUT_SyntheticFuels!I$4:I$1000)</f>
        <v>0</v>
      </c>
      <c r="K637" s="1" cm="1">
        <f t="array" ref="K637">SUMPRODUCT(("SUP_WSTBIO"=[1]OUT_SyntheticFuels!$C$4:$C$1000)*1,("LTH"=[1]OUT_SyntheticFuels!$A$4:$A$1000)*1,("Var_Fout"=[1]OUT_SyntheticFuels!$B$4:$B$1000)*1,[1]OUT_SyntheticFuels!J$4:J$1000)</f>
        <v>0</v>
      </c>
      <c r="L637" s="1" cm="1">
        <f t="array" ref="L637">SUMPRODUCT(("SUP_WSTBIO"=[1]OUT_SyntheticFuels!$C$4:$C$1000)*1,("LTH"=[1]OUT_SyntheticFuels!$A$4:$A$1000)*1,("Var_Fout"=[1]OUT_SyntheticFuels!$B$4:$B$1000)*1,[1]OUT_SyntheticFuels!K$4:K$1000)</f>
        <v>0</v>
      </c>
      <c r="M637" s="1" cm="1">
        <f t="array" ref="M637">SUMPRODUCT(("SUP_WSTBIO"=[1]OUT_SyntheticFuels!$C$4:$C$1000)*1,("LTH"=[1]OUT_SyntheticFuels!$A$4:$A$1000)*1,("Var_Fout"=[1]OUT_SyntheticFuels!$B$4:$B$1000)*1,[1]OUT_SyntheticFuels!L$4:L$1000)</f>
        <v>0</v>
      </c>
      <c r="N637" s="1" cm="1">
        <f t="array" ref="N637">SUMPRODUCT(("SUP_WSTBIO"=[1]OUT_SyntheticFuels!$C$4:$C$1000)*1,("LTH"=[1]OUT_SyntheticFuels!$A$4:$A$1000)*1,("Var_Fout"=[1]OUT_SyntheticFuels!$B$4:$B$1000)*1,[1]OUT_SyntheticFuels!M$4:M$1000)</f>
        <v>0</v>
      </c>
      <c r="O637" s="1" cm="1">
        <f t="array" ref="O637">SUMPRODUCT(("SUP_WSTBIO"=[1]OUT_SyntheticFuels!$C$4:$C$1000)*1,("LTH"=[1]OUT_SyntheticFuels!$A$4:$A$1000)*1,("Var_Fout"=[1]OUT_SyntheticFuels!$B$4:$B$1000)*1,[1]OUT_SyntheticFuels!N$4:N$1000)</f>
        <v>0</v>
      </c>
      <c r="P637" s="1" cm="1">
        <f t="array" ref="P637">SUMPRODUCT(("SUP_WSTBIO"=[1]OUT_SyntheticFuels!$C$4:$C$1000)*1,("LTH"=[1]OUT_SyntheticFuels!$A$4:$A$1000)*1,("Var_Fout"=[1]OUT_SyntheticFuels!$B$4:$B$1000)*1,[1]OUT_SyntheticFuels!O$4:O$1000)</f>
        <v>0</v>
      </c>
      <c r="Q637" s="1" cm="1">
        <f t="array" ref="Q637">SUMPRODUCT(("SUP_WSTBIO"=[1]OUT_SyntheticFuels!$C$4:$C$1000)*1,("LTH"=[1]OUT_SyntheticFuels!$A$4:$A$1000)*1,("Var_Fout"=[1]OUT_SyntheticFuels!$B$4:$B$1000)*1,[1]OUT_SyntheticFuels!P$4:P$1000)</f>
        <v>0</v>
      </c>
      <c r="S637" s="3"/>
    </row>
    <row r="638" spans="2:19" x14ac:dyDescent="0.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SUMPRODUCT(("SUP_WSTBIOCCS"=[1]OUT_SyntheticFuels!$C$4:$C$1000)*1,("LTH"=[1]OUT_SyntheticFuels!$A$4:$A$1000)*1,("Var_Fout"=[1]OUT_SyntheticFuels!$B$4:$B$1000)*1,[1]OUT_SyntheticFuels!I$4:I$1000)</f>
        <v>0</v>
      </c>
      <c r="K638" s="1" cm="1">
        <f t="array" ref="K638">SUMPRODUCT(("SUP_WSTBIOCCS"=[1]OUT_SyntheticFuels!$C$4:$C$1000)*1,("LTH"=[1]OUT_SyntheticFuels!$A$4:$A$1000)*1,("Var_Fout"=[1]OUT_SyntheticFuels!$B$4:$B$1000)*1,[1]OUT_SyntheticFuels!J$4:J$1000)</f>
        <v>0</v>
      </c>
      <c r="L638" s="1" cm="1">
        <f t="array" ref="L638">SUMPRODUCT(("SUP_WSTBIOCCS"=[1]OUT_SyntheticFuels!$C$4:$C$1000)*1,("LTH"=[1]OUT_SyntheticFuels!$A$4:$A$1000)*1,("Var_Fout"=[1]OUT_SyntheticFuels!$B$4:$B$1000)*1,[1]OUT_SyntheticFuels!K$4:K$1000)</f>
        <v>0</v>
      </c>
      <c r="M638" s="1" cm="1">
        <f t="array" ref="M638">SUMPRODUCT(("SUP_WSTBIOCCS"=[1]OUT_SyntheticFuels!$C$4:$C$1000)*1,("LTH"=[1]OUT_SyntheticFuels!$A$4:$A$1000)*1,("Var_Fout"=[1]OUT_SyntheticFuels!$B$4:$B$1000)*1,[1]OUT_SyntheticFuels!L$4:L$1000)</f>
        <v>0</v>
      </c>
      <c r="N638" s="1" cm="1">
        <f t="array" ref="N638">SUMPRODUCT(("SUP_WSTBIOCCS"=[1]OUT_SyntheticFuels!$C$4:$C$1000)*1,("LTH"=[1]OUT_SyntheticFuels!$A$4:$A$1000)*1,("Var_Fout"=[1]OUT_SyntheticFuels!$B$4:$B$1000)*1,[1]OUT_SyntheticFuels!M$4:M$1000)</f>
        <v>0</v>
      </c>
      <c r="O638" s="1" cm="1">
        <f t="array" ref="O638">SUMPRODUCT(("SUP_WSTBIOCCS"=[1]OUT_SyntheticFuels!$C$4:$C$1000)*1,("LTH"=[1]OUT_SyntheticFuels!$A$4:$A$1000)*1,("Var_Fout"=[1]OUT_SyntheticFuels!$B$4:$B$1000)*1,[1]OUT_SyntheticFuels!N$4:N$1000)</f>
        <v>0</v>
      </c>
      <c r="P638" s="1" cm="1">
        <f t="array" ref="P638">SUMPRODUCT(("SUP_WSTBIOCCS"=[1]OUT_SyntheticFuels!$C$4:$C$1000)*1,("LTH"=[1]OUT_SyntheticFuels!$A$4:$A$1000)*1,("Var_Fout"=[1]OUT_SyntheticFuels!$B$4:$B$1000)*1,[1]OUT_SyntheticFuels!O$4:O$1000)</f>
        <v>0</v>
      </c>
      <c r="Q638" s="1" cm="1">
        <f t="array" ref="Q638">SUMPRODUCT(("SUP_WSTBIOCCS"=[1]OUT_SyntheticFuels!$C$4:$C$1000)*1,("LTH"=[1]OUT_SyntheticFuels!$A$4:$A$1000)*1,("Var_Fout"=[1]OUT_SyntheticFuels!$B$4:$B$1000)*1,[1]OUT_SyntheticFuels!P$4:P$1000)</f>
        <v>0</v>
      </c>
      <c r="S638" s="3"/>
    </row>
    <row r="639" spans="2:19" x14ac:dyDescent="0.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SUMPRODUCT(("SUP_WSTHTGBIO"=[1]OUT_SyntheticFuels!$C$4:$C$1000)*1,("LTH"=[1]OUT_SyntheticFuels!$A$4:$A$1000)*1,("Var_Fout"=[1]OUT_SyntheticFuels!$B$4:$B$1000)*1,[1]OUT_SyntheticFuels!I$4:I$1000)</f>
        <v>0</v>
      </c>
      <c r="K639" s="1" cm="1">
        <f t="array" ref="K639">SUMPRODUCT(("SUP_WSTHTGBIO"=[1]OUT_SyntheticFuels!$C$4:$C$1000)*1,("LTH"=[1]OUT_SyntheticFuels!$A$4:$A$1000)*1,("Var_Fout"=[1]OUT_SyntheticFuels!$B$4:$B$1000)*1,[1]OUT_SyntheticFuels!J$4:J$1000)</f>
        <v>0</v>
      </c>
      <c r="L639" s="1" cm="1">
        <f t="array" ref="L639">SUMPRODUCT(("SUP_WSTHTGBIO"=[1]OUT_SyntheticFuels!$C$4:$C$1000)*1,("LTH"=[1]OUT_SyntheticFuels!$A$4:$A$1000)*1,("Var_Fout"=[1]OUT_SyntheticFuels!$B$4:$B$1000)*1,[1]OUT_SyntheticFuels!K$4:K$1000)</f>
        <v>0</v>
      </c>
      <c r="M639" s="1" cm="1">
        <f t="array" ref="M639">SUMPRODUCT(("SUP_WSTHTGBIO"=[1]OUT_SyntheticFuels!$C$4:$C$1000)*1,("LTH"=[1]OUT_SyntheticFuels!$A$4:$A$1000)*1,("Var_Fout"=[1]OUT_SyntheticFuels!$B$4:$B$1000)*1,[1]OUT_SyntheticFuels!L$4:L$1000)</f>
        <v>0</v>
      </c>
      <c r="N639" s="1" cm="1">
        <f t="array" ref="N639">SUMPRODUCT(("SUP_WSTHTGBIO"=[1]OUT_SyntheticFuels!$C$4:$C$1000)*1,("LTH"=[1]OUT_SyntheticFuels!$A$4:$A$1000)*1,("Var_Fout"=[1]OUT_SyntheticFuels!$B$4:$B$1000)*1,[1]OUT_SyntheticFuels!M$4:M$1000)</f>
        <v>0</v>
      </c>
      <c r="O639" s="1" cm="1">
        <f t="array" ref="O639">SUMPRODUCT(("SUP_WSTHTGBIO"=[1]OUT_SyntheticFuels!$C$4:$C$1000)*1,("LTH"=[1]OUT_SyntheticFuels!$A$4:$A$1000)*1,("Var_Fout"=[1]OUT_SyntheticFuels!$B$4:$B$1000)*1,[1]OUT_SyntheticFuels!N$4:N$1000)</f>
        <v>0</v>
      </c>
      <c r="P639" s="1" cm="1">
        <f t="array" ref="P639">SUMPRODUCT(("SUP_WSTHTGBIO"=[1]OUT_SyntheticFuels!$C$4:$C$1000)*1,("LTH"=[1]OUT_SyntheticFuels!$A$4:$A$1000)*1,("Var_Fout"=[1]OUT_SyntheticFuels!$B$4:$B$1000)*1,[1]OUT_SyntheticFuels!O$4:O$1000)</f>
        <v>0</v>
      </c>
      <c r="Q639" s="1" cm="1">
        <f t="array" ref="Q639">SUMPRODUCT(("SUP_WSTHTGBIO"=[1]OUT_SyntheticFuels!$C$4:$C$1000)*1,("LTH"=[1]OUT_SyntheticFuels!$A$4:$A$1000)*1,("Var_Fout"=[1]OUT_SyntheticFuels!$B$4:$B$1000)*1,[1]OUT_SyntheticFuels!P$4:P$1000)</f>
        <v>0</v>
      </c>
      <c r="S639" s="3"/>
    </row>
    <row r="640" spans="2:19" x14ac:dyDescent="0.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SUMPRODUCT(("SUP_WSTHTGBIOCCS"=[1]OUT_SyntheticFuels!$C$4:$C$1000)*1,("LTH"=[1]OUT_SyntheticFuels!$A$4:$A$1000)*1,("Var_Fout"=[1]OUT_SyntheticFuels!$B$4:$B$1000)*1,[1]OUT_SyntheticFuels!I$4:I$1000)</f>
        <v>0</v>
      </c>
      <c r="K640" s="1" cm="1">
        <f t="array" ref="K640">SUMPRODUCT(("SUP_WSTHTGBIOCCS"=[1]OUT_SyntheticFuels!$C$4:$C$1000)*1,("LTH"=[1]OUT_SyntheticFuels!$A$4:$A$1000)*1,("Var_Fout"=[1]OUT_SyntheticFuels!$B$4:$B$1000)*1,[1]OUT_SyntheticFuels!J$4:J$1000)</f>
        <v>0</v>
      </c>
      <c r="L640" s="1" cm="1">
        <f t="array" ref="L640">SUMPRODUCT(("SUP_WSTHTGBIOCCS"=[1]OUT_SyntheticFuels!$C$4:$C$1000)*1,("LTH"=[1]OUT_SyntheticFuels!$A$4:$A$1000)*1,("Var_Fout"=[1]OUT_SyntheticFuels!$B$4:$B$1000)*1,[1]OUT_SyntheticFuels!K$4:K$1000)</f>
        <v>0</v>
      </c>
      <c r="M640" s="1" cm="1">
        <f t="array" ref="M640">SUMPRODUCT(("SUP_WSTHTGBIOCCS"=[1]OUT_SyntheticFuels!$C$4:$C$1000)*1,("LTH"=[1]OUT_SyntheticFuels!$A$4:$A$1000)*1,("Var_Fout"=[1]OUT_SyntheticFuels!$B$4:$B$1000)*1,[1]OUT_SyntheticFuels!L$4:L$1000)</f>
        <v>0</v>
      </c>
      <c r="N640" s="1" cm="1">
        <f t="array" ref="N640">SUMPRODUCT(("SUP_WSTHTGBIOCCS"=[1]OUT_SyntheticFuels!$C$4:$C$1000)*1,("LTH"=[1]OUT_SyntheticFuels!$A$4:$A$1000)*1,("Var_Fout"=[1]OUT_SyntheticFuels!$B$4:$B$1000)*1,[1]OUT_SyntheticFuels!M$4:M$1000)</f>
        <v>0</v>
      </c>
      <c r="O640" s="1" cm="1">
        <f t="array" ref="O640">SUMPRODUCT(("SUP_WSTHTGBIOCCS"=[1]OUT_SyntheticFuels!$C$4:$C$1000)*1,("LTH"=[1]OUT_SyntheticFuels!$A$4:$A$1000)*1,("Var_Fout"=[1]OUT_SyntheticFuels!$B$4:$B$1000)*1,[1]OUT_SyntheticFuels!N$4:N$1000)</f>
        <v>0</v>
      </c>
      <c r="P640" s="1" cm="1">
        <f t="array" ref="P640">SUMPRODUCT(("SUP_WSTHTGBIOCCS"=[1]OUT_SyntheticFuels!$C$4:$C$1000)*1,("LTH"=[1]OUT_SyntheticFuels!$A$4:$A$1000)*1,("Var_Fout"=[1]OUT_SyntheticFuels!$B$4:$B$1000)*1,[1]OUT_SyntheticFuels!O$4:O$1000)</f>
        <v>0</v>
      </c>
      <c r="Q640" s="1" cm="1">
        <f t="array" ref="Q640">SUMPRODUCT(("SUP_WSTHTGBIOCCS"=[1]OUT_SyntheticFuels!$C$4:$C$1000)*1,("LTH"=[1]OUT_SyntheticFuels!$A$4:$A$1000)*1,("Var_Fout"=[1]OUT_SyntheticFuels!$B$4:$B$1000)*1,[1]OUT_SyntheticFuels!P$4:P$1000)</f>
        <v>0</v>
      </c>
      <c r="S640" s="3"/>
    </row>
    <row r="641" spans="2:19" x14ac:dyDescent="0.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715">SUM(G642:G643)</f>
        <v>7.2174038864702012E-6</v>
      </c>
      <c r="H641" s="1">
        <f t="shared" ref="H641" si="716">SUM(H642:H643)</f>
        <v>1.5863889462631082E-5</v>
      </c>
      <c r="I641" s="1">
        <f t="shared" ref="I641" si="717">SUM(I642:I643)</f>
        <v>3.4925075952575408E-5</v>
      </c>
      <c r="J641" s="1">
        <f t="shared" ref="J641" si="718">SUM(J642:J643)</f>
        <v>5.4172041672120828E-5</v>
      </c>
      <c r="K641" s="1">
        <f t="shared" ref="K641" si="719">SUM(K642:K643)</f>
        <v>5.7689719538419179E-5</v>
      </c>
      <c r="L641" s="1">
        <f t="shared" ref="L641:O641" si="720">SUM(L642:L643)</f>
        <v>5.9362805959137562E-5</v>
      </c>
      <c r="M641" s="1">
        <f t="shared" si="720"/>
        <v>7.4896071559042257E-5</v>
      </c>
      <c r="N641" s="1">
        <f t="shared" si="720"/>
        <v>7.700419870116137E-5</v>
      </c>
      <c r="O641" s="1">
        <f t="shared" si="720"/>
        <v>9.177465070250809E-5</v>
      </c>
      <c r="P641" s="1">
        <f>SUM(P642:P643)</f>
        <v>9.6551217542213658E-5</v>
      </c>
      <c r="Q641" s="1">
        <f>SUM(Q642:Q643)</f>
        <v>1.793338383570859E-4</v>
      </c>
      <c r="S641" s="3"/>
    </row>
    <row r="642" spans="2:19" x14ac:dyDescent="0.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7.2174038864702012E-6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1.5863889462631082E-5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3.4925075952575408E-5</v>
      </c>
      <c r="J642" s="1" cm="1">
        <f t="array" ref="J642">SUMPRODUCT(("SUP_WODBIO"=[1]OUT_SyntheticFuels!$C$4:$C$1000)*1,("LTH"=[1]OUT_SyntheticFuels!$A$4:$A$1000)*1,("Var_Fout"=[1]OUT_SyntheticFuels!$B$4:$B$1000)*1,[1]OUT_SyntheticFuels!I$4:I$1000)</f>
        <v>5.4172041672120828E-5</v>
      </c>
      <c r="K642" s="1" cm="1">
        <f t="array" ref="K642">SUMPRODUCT(("SUP_WODBIO"=[1]OUT_SyntheticFuels!$C$4:$C$1000)*1,("LTH"=[1]OUT_SyntheticFuels!$A$4:$A$1000)*1,("Var_Fout"=[1]OUT_SyntheticFuels!$B$4:$B$1000)*1,[1]OUT_SyntheticFuels!J$4:J$1000)</f>
        <v>5.7689719538419179E-5</v>
      </c>
      <c r="L642" s="1" cm="1">
        <f t="array" ref="L642">SUMPRODUCT(("SUP_WODBIO"=[1]OUT_SyntheticFuels!$C$4:$C$1000)*1,("LTH"=[1]OUT_SyntheticFuels!$A$4:$A$1000)*1,("Var_Fout"=[1]OUT_SyntheticFuels!$B$4:$B$1000)*1,[1]OUT_SyntheticFuels!K$4:K$1000)</f>
        <v>5.9362805959137562E-5</v>
      </c>
      <c r="M642" s="1" cm="1">
        <f t="array" ref="M642">SUMPRODUCT(("SUP_WODBIO"=[1]OUT_SyntheticFuels!$C$4:$C$1000)*1,("LTH"=[1]OUT_SyntheticFuels!$A$4:$A$1000)*1,("Var_Fout"=[1]OUT_SyntheticFuels!$B$4:$B$1000)*1,[1]OUT_SyntheticFuels!L$4:L$1000)</f>
        <v>7.4896071559042257E-5</v>
      </c>
      <c r="N642" s="1" cm="1">
        <f t="array" ref="N642">SUMPRODUCT(("SUP_WODBIO"=[1]OUT_SyntheticFuels!$C$4:$C$1000)*1,("LTH"=[1]OUT_SyntheticFuels!$A$4:$A$1000)*1,("Var_Fout"=[1]OUT_SyntheticFuels!$B$4:$B$1000)*1,[1]OUT_SyntheticFuels!M$4:M$1000)</f>
        <v>7.700419870116137E-5</v>
      </c>
      <c r="O642" s="1" cm="1">
        <f t="array" ref="O642">SUMPRODUCT(("SUP_WODBIO"=[1]OUT_SyntheticFuels!$C$4:$C$1000)*1,("LTH"=[1]OUT_SyntheticFuels!$A$4:$A$1000)*1,("Var_Fout"=[1]OUT_SyntheticFuels!$B$4:$B$1000)*1,[1]OUT_SyntheticFuels!N$4:N$1000)</f>
        <v>9.177465070250809E-5</v>
      </c>
      <c r="P642" s="1" cm="1">
        <f t="array" ref="P642">SUMPRODUCT(("SUP_WODBIO"=[1]OUT_SyntheticFuels!$C$4:$C$1000)*1,("LTH"=[1]OUT_SyntheticFuels!$A$4:$A$1000)*1,("Var_Fout"=[1]OUT_SyntheticFuels!$B$4:$B$1000)*1,[1]OUT_SyntheticFuels!O$4:O$1000)</f>
        <v>9.6551217542213658E-5</v>
      </c>
      <c r="Q642" s="1" cm="1">
        <f t="array" ref="Q642">SUMPRODUCT(("SUP_WODBIO"=[1]OUT_SyntheticFuels!$C$4:$C$1000)*1,("LTH"=[1]OUT_SyntheticFuels!$A$4:$A$1000)*1,("Var_Fout"=[1]OUT_SyntheticFuels!$B$4:$B$1000)*1,[1]OUT_SyntheticFuels!P$4:P$1000)</f>
        <v>1.793338383570859E-4</v>
      </c>
      <c r="S642" s="3"/>
    </row>
    <row r="643" spans="2:19" x14ac:dyDescent="0.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SUMPRODUCT(("SUP_WODBIOCCS"=[1]OUT_SyntheticFuels!$C$4:$C$1000)*1,("LTH"=[1]OUT_SyntheticFuels!$A$4:$A$1000)*1,("Var_Fout"=[1]OUT_SyntheticFuels!$B$4:$B$1000)*1,[1]OUT_SyntheticFuels!I$4:I$1000)</f>
        <v>0</v>
      </c>
      <c r="K643" s="1" cm="1">
        <f t="array" ref="K643">SUMPRODUCT(("SUP_WODBIOCCS"=[1]OUT_SyntheticFuels!$C$4:$C$1000)*1,("LTH"=[1]OUT_SyntheticFuels!$A$4:$A$1000)*1,("Var_Fout"=[1]OUT_SyntheticFuels!$B$4:$B$1000)*1,[1]OUT_SyntheticFuels!J$4:J$1000)</f>
        <v>0</v>
      </c>
      <c r="L643" s="1" cm="1">
        <f t="array" ref="L643">SUMPRODUCT(("SUP_WODBIOCCS"=[1]OUT_SyntheticFuels!$C$4:$C$1000)*1,("LTH"=[1]OUT_SyntheticFuels!$A$4:$A$1000)*1,("Var_Fout"=[1]OUT_SyntheticFuels!$B$4:$B$1000)*1,[1]OUT_SyntheticFuels!K$4:K$1000)</f>
        <v>0</v>
      </c>
      <c r="M643" s="1" cm="1">
        <f t="array" ref="M643">SUMPRODUCT(("SUP_WODBIOCCS"=[1]OUT_SyntheticFuels!$C$4:$C$1000)*1,("LTH"=[1]OUT_SyntheticFuels!$A$4:$A$1000)*1,("Var_Fout"=[1]OUT_SyntheticFuels!$B$4:$B$1000)*1,[1]OUT_SyntheticFuels!L$4:L$1000)</f>
        <v>0</v>
      </c>
      <c r="N643" s="1" cm="1">
        <f t="array" ref="N643">SUMPRODUCT(("SUP_WODBIOCCS"=[1]OUT_SyntheticFuels!$C$4:$C$1000)*1,("LTH"=[1]OUT_SyntheticFuels!$A$4:$A$1000)*1,("Var_Fout"=[1]OUT_SyntheticFuels!$B$4:$B$1000)*1,[1]OUT_SyntheticFuels!M$4:M$1000)</f>
        <v>0</v>
      </c>
      <c r="O643" s="1" cm="1">
        <f t="array" ref="O643">SUMPRODUCT(("SUP_WODBIOCCS"=[1]OUT_SyntheticFuels!$C$4:$C$1000)*1,("LTH"=[1]OUT_SyntheticFuels!$A$4:$A$1000)*1,("Var_Fout"=[1]OUT_SyntheticFuels!$B$4:$B$1000)*1,[1]OUT_SyntheticFuels!N$4:N$1000)</f>
        <v>0</v>
      </c>
      <c r="P643" s="1" cm="1">
        <f t="array" ref="P643">SUMPRODUCT(("SUP_WODBIOCCS"=[1]OUT_SyntheticFuels!$C$4:$C$1000)*1,("LTH"=[1]OUT_SyntheticFuels!$A$4:$A$1000)*1,("Var_Fout"=[1]OUT_SyntheticFuels!$B$4:$B$1000)*1,[1]OUT_SyntheticFuels!O$4:O$1000)</f>
        <v>0</v>
      </c>
      <c r="Q643" s="1" cm="1">
        <f t="array" ref="Q643">SUMPRODUCT(("SUP_WODBIOCCS"=[1]OUT_SyntheticFuels!$C$4:$C$1000)*1,("LTH"=[1]OUT_SyntheticFuels!$A$4:$A$1000)*1,("Var_Fout"=[1]OUT_SyntheticFuels!$B$4:$B$1000)*1,[1]OUT_SyntheticFuels!P$4:P$1000)</f>
        <v>0</v>
      </c>
      <c r="S643" s="3"/>
    </row>
    <row r="644" spans="2:19" x14ac:dyDescent="0.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13.477461425408521</v>
      </c>
      <c r="G644" s="3">
        <f t="shared" ref="G644" si="721">G645+G646+G651</f>
        <v>22.420196896703597</v>
      </c>
      <c r="H644" s="3">
        <f t="shared" ref="H644" si="722">H645+H646+H651</f>
        <v>22.113205453167588</v>
      </c>
      <c r="I644" s="3">
        <f t="shared" ref="I644" si="723">I645+I646+I651</f>
        <v>22.43976055270457</v>
      </c>
      <c r="J644" s="3">
        <f t="shared" ref="J644" si="724">J645+J646+J651</f>
        <v>22.419054501665634</v>
      </c>
      <c r="K644" s="3">
        <f t="shared" ref="K644" si="725">K645+K646+K651</f>
        <v>22.143949273460247</v>
      </c>
      <c r="L644" s="3">
        <f t="shared" ref="L644:O644" si="726">L645+L646+L651</f>
        <v>21.867631871470973</v>
      </c>
      <c r="M644" s="3">
        <f t="shared" si="726"/>
        <v>21.591466973330515</v>
      </c>
      <c r="N644" s="3">
        <f t="shared" si="726"/>
        <v>21.591534900109636</v>
      </c>
      <c r="O644" s="3">
        <f t="shared" si="726"/>
        <v>21.59174710819487</v>
      </c>
      <c r="P644" s="3">
        <f>P645+P646+P651</f>
        <v>21.591911891609264</v>
      </c>
      <c r="Q644" s="3">
        <f>Q645+Q646+Q651</f>
        <v>21.593179702391247</v>
      </c>
      <c r="S644" s="3"/>
    </row>
    <row r="645" spans="2:19" x14ac:dyDescent="0.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3.7980890453788723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12.48768142622205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12.540265595238091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12.540422828132941</v>
      </c>
      <c r="J645" s="1" cm="1">
        <f t="array" ref="J645">SUMPRODUCT(("SUP_MNRBIO"=[1]OUT_SyntheticFuels!$C$4:$C$1000)*1,("VAR_FIN"=[1]OUT_SyntheticFuels!$B$4:$B$1000)*1,("MNR"=[1]OUT_SyntheticFuels!$A$4:$A$1000)*1,[1]OUT_SyntheticFuels!I$4:I$1000)</f>
        <v>12.540426178369573</v>
      </c>
      <c r="K645" s="1" cm="1">
        <f t="array" ref="K645">SUMPRODUCT(("SUP_MNRBIO"=[1]OUT_SyntheticFuels!$C$4:$C$1000)*1,("VAR_FIN"=[1]OUT_SyntheticFuels!$B$4:$B$1000)*1,("MNR"=[1]OUT_SyntheticFuels!$A$4:$A$1000)*1,[1]OUT_SyntheticFuels!J$4:J$1000)</f>
        <v>12.541602913931792</v>
      </c>
      <c r="L645" s="1" cm="1">
        <f t="array" ref="L645">SUMPRODUCT(("SUP_MNRBIO"=[1]OUT_SyntheticFuels!$C$4:$C$1000)*1,("VAR_FIN"=[1]OUT_SyntheticFuels!$B$4:$B$1000)*1,("MNR"=[1]OUT_SyntheticFuels!$A$4:$A$1000)*1,[1]OUT_SyntheticFuels!K$4:K$1000)</f>
        <v>12.5416224835975</v>
      </c>
      <c r="M645" s="1" cm="1">
        <f t="array" ref="M645">SUMPRODUCT(("SUP_MNRBIO"=[1]OUT_SyntheticFuels!$C$4:$C$1000)*1,("VAR_FIN"=[1]OUT_SyntheticFuels!$B$4:$B$1000)*1,("MNR"=[1]OUT_SyntheticFuels!$A$4:$A$1000)*1,[1]OUT_SyntheticFuels!L$4:L$1000)</f>
        <v>12.541655317753762</v>
      </c>
      <c r="N645" s="1" cm="1">
        <f t="array" ref="N645">SUMPRODUCT(("SUP_MNRBIO"=[1]OUT_SyntheticFuels!$C$4:$C$1000)*1,("VAR_FIN"=[1]OUT_SyntheticFuels!$B$4:$B$1000)*1,("MNR"=[1]OUT_SyntheticFuels!$A$4:$A$1000)*1,[1]OUT_SyntheticFuels!M$4:M$1000)</f>
        <v>12.54166709350242</v>
      </c>
      <c r="O645" s="1" cm="1">
        <f t="array" ref="O645">SUMPRODUCT(("SUP_MNRBIO"=[1]OUT_SyntheticFuels!$C$4:$C$1000)*1,("VAR_FIN"=[1]OUT_SyntheticFuels!$B$4:$B$1000)*1,("MNR"=[1]OUT_SyntheticFuels!$A$4:$A$1000)*1,[1]OUT_SyntheticFuels!N$4:N$1000)</f>
        <v>12.541739241110202</v>
      </c>
      <c r="P645" s="1" cm="1">
        <f t="array" ref="P645">SUMPRODUCT(("SUP_MNRBIO"=[1]OUT_SyntheticFuels!$C$4:$C$1000)*1,("VAR_FIN"=[1]OUT_SyntheticFuels!$B$4:$B$1000)*1,("MNR"=[1]OUT_SyntheticFuels!$A$4:$A$1000)*1,[1]OUT_SyntheticFuels!O$4:O$1000)</f>
        <v>12.541843702953544</v>
      </c>
      <c r="Q645" s="1" cm="1">
        <f t="array" ref="Q645">SUMPRODUCT(("SUP_MNRBIO"=[1]OUT_SyntheticFuels!$C$4:$C$1000)*1,("VAR_FIN"=[1]OUT_SyntheticFuels!$B$4:$B$1000)*1,("MNR"=[1]OUT_SyntheticFuels!$A$4:$A$1000)*1,[1]OUT_SyntheticFuels!P$4:P$1000)</f>
        <v>12.542122705679732</v>
      </c>
      <c r="S645" s="3"/>
    </row>
    <row r="646" spans="2:19" x14ac:dyDescent="0.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9.6793723800296494</v>
      </c>
      <c r="G646" s="1">
        <f t="shared" ref="G646" si="727">SUM(G647:G650)</f>
        <v>9.9324342746878234</v>
      </c>
      <c r="H646" s="1">
        <f t="shared" ref="H646" si="728">SUM(H647:H650)</f>
        <v>9.5727613891730403</v>
      </c>
      <c r="I646" s="1">
        <f t="shared" ref="I646" si="729">SUM(I647:I650)</f>
        <v>9.8989448174671626</v>
      </c>
      <c r="J646" s="1">
        <f t="shared" ref="J646" si="730">SUM(J647:J650)</f>
        <v>9.8780188878272526</v>
      </c>
      <c r="K646" s="1">
        <f t="shared" ref="K646" si="731">SUM(K647:K650)</f>
        <v>9.6016973501836471</v>
      </c>
      <c r="L646" s="1">
        <f t="shared" ref="L646:O646" si="732">SUM(L647:L650)</f>
        <v>9.3253415563064355</v>
      </c>
      <c r="M646" s="1">
        <f t="shared" si="732"/>
        <v>9.0489690747717137</v>
      </c>
      <c r="N646" s="1">
        <f t="shared" si="732"/>
        <v>9.0490015093718288</v>
      </c>
      <c r="O646" s="1">
        <f t="shared" si="732"/>
        <v>9.0489754022642632</v>
      </c>
      <c r="P646" s="1">
        <f>SUM(P647:P650)</f>
        <v>9.0489819874583706</v>
      </c>
      <c r="Q646" s="1">
        <f>SUM(Q647:Q650)</f>
        <v>9.0490394910299958</v>
      </c>
      <c r="S646" s="3"/>
    </row>
    <row r="647" spans="2:19" x14ac:dyDescent="0.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9.6793723800296494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9.9324342746878234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9.5727613891730403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9.8989448174671626</v>
      </c>
      <c r="J647" s="1" cm="1">
        <f t="array" ref="J647">SUMPRODUCT(("SUP_WSTBIO"=[1]OUT_SyntheticFuels!$C$4:$C$1000)*1,("CWST"=[1]OUT_SyntheticFuels!$A$4:$A$1000)*1,("VAR_FIN"=[1]OUT_SyntheticFuels!$B$4:$B$1000)*1,[1]OUT_SyntheticFuels!I$4:I$1000)</f>
        <v>9.8780188878272526</v>
      </c>
      <c r="K647" s="1" cm="1">
        <f t="array" ref="K647">SUMPRODUCT(("SUP_WSTBIO"=[1]OUT_SyntheticFuels!$C$4:$C$1000)*1,("CWST"=[1]OUT_SyntheticFuels!$A$4:$A$1000)*1,("VAR_FIN"=[1]OUT_SyntheticFuels!$B$4:$B$1000)*1,[1]OUT_SyntheticFuels!J$4:J$1000)</f>
        <v>9.6007098915010474</v>
      </c>
      <c r="L647" s="1" cm="1">
        <f t="array" ref="L647">SUMPRODUCT(("SUP_WSTBIO"=[1]OUT_SyntheticFuels!$C$4:$C$1000)*1,("CWST"=[1]OUT_SyntheticFuels!$A$4:$A$1000)*1,("VAR_FIN"=[1]OUT_SyntheticFuels!$B$4:$B$1000)*1,[1]OUT_SyntheticFuels!K$4:K$1000)</f>
        <v>9.3243378452361814</v>
      </c>
      <c r="M647" s="1" cm="1">
        <f t="array" ref="M647">SUMPRODUCT(("SUP_WSTBIO"=[1]OUT_SyntheticFuels!$C$4:$C$1000)*1,("CWST"=[1]OUT_SyntheticFuels!$A$4:$A$1000)*1,("VAR_FIN"=[1]OUT_SyntheticFuels!$B$4:$B$1000)*1,[1]OUT_SyntheticFuels!L$4:L$1000)</f>
        <v>9.0480205335707105</v>
      </c>
      <c r="N647" s="1" cm="1">
        <f t="array" ref="N647">SUMPRODUCT(("SUP_WSTBIO"=[1]OUT_SyntheticFuels!$C$4:$C$1000)*1,("CWST"=[1]OUT_SyntheticFuels!$A$4:$A$1000)*1,("VAR_FIN"=[1]OUT_SyntheticFuels!$B$4:$B$1000)*1,[1]OUT_SyntheticFuels!M$4:M$1000)</f>
        <v>9.0478940782397448</v>
      </c>
      <c r="O647" s="1" cm="1">
        <f t="array" ref="O647">SUMPRODUCT(("SUP_WSTBIO"=[1]OUT_SyntheticFuels!$C$4:$C$1000)*1,("CWST"=[1]OUT_SyntheticFuels!$A$4:$A$1000)*1,("VAR_FIN"=[1]OUT_SyntheticFuels!$B$4:$B$1000)*1,[1]OUT_SyntheticFuels!N$4:N$1000)</f>
        <v>9.0477071485896854</v>
      </c>
      <c r="P647" s="1" cm="1">
        <f t="array" ref="P647">SUMPRODUCT(("SUP_WSTBIO"=[1]OUT_SyntheticFuels!$C$4:$C$1000)*1,("CWST"=[1]OUT_SyntheticFuels!$A$4:$A$1000)*1,("VAR_FIN"=[1]OUT_SyntheticFuels!$B$4:$B$1000)*1,[1]OUT_SyntheticFuels!O$4:O$1000)</f>
        <v>9.0476479370420346</v>
      </c>
      <c r="Q647" s="1" cm="1">
        <f t="array" ref="Q647">SUMPRODUCT(("SUP_WSTBIO"=[1]OUT_SyntheticFuels!$C$4:$C$1000)*1,("CWST"=[1]OUT_SyntheticFuels!$A$4:$A$1000)*1,("VAR_FIN"=[1]OUT_SyntheticFuels!$B$4:$B$1000)*1,[1]OUT_SyntheticFuels!P$4:P$1000)</f>
        <v>9.0465955291220101</v>
      </c>
      <c r="S647" s="3"/>
    </row>
    <row r="648" spans="2:19" x14ac:dyDescent="0.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SUMPRODUCT(("SUP_WSTBIOCCS"=[1]OUT_SyntheticFuels!$C$4:$C$1000)*1,("CWST"=[1]OUT_SyntheticFuels!$A$4:$A$1000)*1,("VAR_FIN"=[1]OUT_SyntheticFuels!$B$4:$B$1000)*1,[1]OUT_SyntheticFuels!I$4:I$1000)</f>
        <v>0</v>
      </c>
      <c r="K648" s="1" cm="1">
        <f t="array" ref="K648">SUMPRODUCT(("SUP_WSTBIOCCS"=[1]OUT_SyntheticFuels!$C$4:$C$1000)*1,("CWST"=[1]OUT_SyntheticFuels!$A$4:$A$1000)*1,("VAR_FIN"=[1]OUT_SyntheticFuels!$B$4:$B$1000)*1,[1]OUT_SyntheticFuels!J$4:J$1000)</f>
        <v>0</v>
      </c>
      <c r="L648" s="1" cm="1">
        <f t="array" ref="L648">SUMPRODUCT(("SUP_WSTBIOCCS"=[1]OUT_SyntheticFuels!$C$4:$C$1000)*1,("CWST"=[1]OUT_SyntheticFuels!$A$4:$A$1000)*1,("VAR_FIN"=[1]OUT_SyntheticFuels!$B$4:$B$1000)*1,[1]OUT_SyntheticFuels!K$4:K$1000)</f>
        <v>0</v>
      </c>
      <c r="M648" s="1" cm="1">
        <f t="array" ref="M648">SUMPRODUCT(("SUP_WSTBIOCCS"=[1]OUT_SyntheticFuels!$C$4:$C$1000)*1,("CWST"=[1]OUT_SyntheticFuels!$A$4:$A$1000)*1,("VAR_FIN"=[1]OUT_SyntheticFuels!$B$4:$B$1000)*1,[1]OUT_SyntheticFuels!L$4:L$1000)</f>
        <v>0</v>
      </c>
      <c r="N648" s="1" cm="1">
        <f t="array" ref="N648">SUMPRODUCT(("SUP_WSTBIOCCS"=[1]OUT_SyntheticFuels!$C$4:$C$1000)*1,("CWST"=[1]OUT_SyntheticFuels!$A$4:$A$1000)*1,("VAR_FIN"=[1]OUT_SyntheticFuels!$B$4:$B$1000)*1,[1]OUT_SyntheticFuels!M$4:M$1000)</f>
        <v>0</v>
      </c>
      <c r="O648" s="1" cm="1">
        <f t="array" ref="O648">SUMPRODUCT(("SUP_WSTBIOCCS"=[1]OUT_SyntheticFuels!$C$4:$C$1000)*1,("CWST"=[1]OUT_SyntheticFuels!$A$4:$A$1000)*1,("VAR_FIN"=[1]OUT_SyntheticFuels!$B$4:$B$1000)*1,[1]OUT_SyntheticFuels!N$4:N$1000)</f>
        <v>0</v>
      </c>
      <c r="P648" s="1" cm="1">
        <f t="array" ref="P648">SUMPRODUCT(("SUP_WSTBIOCCS"=[1]OUT_SyntheticFuels!$C$4:$C$1000)*1,("CWST"=[1]OUT_SyntheticFuels!$A$4:$A$1000)*1,("VAR_FIN"=[1]OUT_SyntheticFuels!$B$4:$B$1000)*1,[1]OUT_SyntheticFuels!O$4:O$1000)</f>
        <v>0</v>
      </c>
      <c r="Q648" s="1" cm="1">
        <f t="array" ref="Q648">SUMPRODUCT(("SUP_WSTBIOCCS"=[1]OUT_SyntheticFuels!$C$4:$C$1000)*1,("CWST"=[1]OUT_SyntheticFuels!$A$4:$A$1000)*1,("VAR_FIN"=[1]OUT_SyntheticFuels!$B$4:$B$1000)*1,[1]OUT_SyntheticFuels!P$4:P$1000)</f>
        <v>0</v>
      </c>
      <c r="S648" s="3"/>
    </row>
    <row r="649" spans="2:19" x14ac:dyDescent="0.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SUMPRODUCT(("SUP_WSTHTGBIO"=[1]OUT_SyntheticFuels!$C$4:$C$1000)*1,("CWST"=[1]OUT_SyntheticFuels!$A$4:$A$1000)*1,("VAR_FIN"=[1]OUT_SyntheticFuels!$B$4:$B$1000)*1,[1]OUT_SyntheticFuels!I$4:I$1000)</f>
        <v>0</v>
      </c>
      <c r="K649" s="1" cm="1">
        <f t="array" ref="K649">SUMPRODUCT(("SUP_WSTHTGBIO"=[1]OUT_SyntheticFuels!$C$4:$C$1000)*1,("CWST"=[1]OUT_SyntheticFuels!$A$4:$A$1000)*1,("VAR_FIN"=[1]OUT_SyntheticFuels!$B$4:$B$1000)*1,[1]OUT_SyntheticFuels!J$4:J$1000)</f>
        <v>9.8745868259909929E-4</v>
      </c>
      <c r="L649" s="1" cm="1">
        <f t="array" ref="L649">SUMPRODUCT(("SUP_WSTHTGBIO"=[1]OUT_SyntheticFuels!$C$4:$C$1000)*1,("CWST"=[1]OUT_SyntheticFuels!$A$4:$A$1000)*1,("VAR_FIN"=[1]OUT_SyntheticFuels!$B$4:$B$1000)*1,[1]OUT_SyntheticFuels!K$4:K$1000)</f>
        <v>1.0037110702541868E-3</v>
      </c>
      <c r="M649" s="1" cm="1">
        <f t="array" ref="M649">SUMPRODUCT(("SUP_WSTHTGBIO"=[1]OUT_SyntheticFuels!$C$4:$C$1000)*1,("CWST"=[1]OUT_SyntheticFuels!$A$4:$A$1000)*1,("VAR_FIN"=[1]OUT_SyntheticFuels!$B$4:$B$1000)*1,[1]OUT_SyntheticFuels!L$4:L$1000)</f>
        <v>9.4854120100339471E-4</v>
      </c>
      <c r="N649" s="1" cm="1">
        <f t="array" ref="N649">SUMPRODUCT(("SUP_WSTHTGBIO"=[1]OUT_SyntheticFuels!$C$4:$C$1000)*1,("CWST"=[1]OUT_SyntheticFuels!$A$4:$A$1000)*1,("VAR_FIN"=[1]OUT_SyntheticFuels!$B$4:$B$1000)*1,[1]OUT_SyntheticFuels!M$4:M$1000)</f>
        <v>1.1074311320838455E-3</v>
      </c>
      <c r="O649" s="1" cm="1">
        <f t="array" ref="O649">SUMPRODUCT(("SUP_WSTHTGBIO"=[1]OUT_SyntheticFuels!$C$4:$C$1000)*1,("CWST"=[1]OUT_SyntheticFuels!$A$4:$A$1000)*1,("VAR_FIN"=[1]OUT_SyntheticFuels!$B$4:$B$1000)*1,[1]OUT_SyntheticFuels!N$4:N$1000)</f>
        <v>1.2682536745787219E-3</v>
      </c>
      <c r="P649" s="1" cm="1">
        <f t="array" ref="P649">SUMPRODUCT(("SUP_WSTHTGBIO"=[1]OUT_SyntheticFuels!$C$4:$C$1000)*1,("CWST"=[1]OUT_SyntheticFuels!$A$4:$A$1000)*1,("VAR_FIN"=[1]OUT_SyntheticFuels!$B$4:$B$1000)*1,[1]OUT_SyntheticFuels!O$4:O$1000)</f>
        <v>1.3340504163367034E-3</v>
      </c>
      <c r="Q649" s="1" cm="1">
        <f t="array" ref="Q649">SUMPRODUCT(("SUP_WSTHTGBIO"=[1]OUT_SyntheticFuels!$C$4:$C$1000)*1,("CWST"=[1]OUT_SyntheticFuels!$A$4:$A$1000)*1,("VAR_FIN"=[1]OUT_SyntheticFuels!$B$4:$B$1000)*1,[1]OUT_SyntheticFuels!P$4:P$1000)</f>
        <v>2.4439619079865242E-3</v>
      </c>
      <c r="S649" s="3"/>
    </row>
    <row r="650" spans="2:19" x14ac:dyDescent="0.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SUMPRODUCT(("SUP_WSTHTGBIOCCS"=[1]OUT_SyntheticFuels!$C$4:$C$1000)*1,("CWST"=[1]OUT_SyntheticFuels!$A$4:$A$1000)*1,("VAR_FIN"=[1]OUT_SyntheticFuels!$B$4:$B$1000)*1,[1]OUT_SyntheticFuels!I$4:I$1000)</f>
        <v>0</v>
      </c>
      <c r="K650" s="1" cm="1">
        <f t="array" ref="K650">SUMPRODUCT(("SUP_WSTHTGBIOCCS"=[1]OUT_SyntheticFuels!$C$4:$C$1000)*1,("CWST"=[1]OUT_SyntheticFuels!$A$4:$A$1000)*1,("VAR_FIN"=[1]OUT_SyntheticFuels!$B$4:$B$1000)*1,[1]OUT_SyntheticFuels!J$4:J$1000)</f>
        <v>0</v>
      </c>
      <c r="L650" s="1" cm="1">
        <f t="array" ref="L650">SUMPRODUCT(("SUP_WSTHTGBIOCCS"=[1]OUT_SyntheticFuels!$C$4:$C$1000)*1,("CWST"=[1]OUT_SyntheticFuels!$A$4:$A$1000)*1,("VAR_FIN"=[1]OUT_SyntheticFuels!$B$4:$B$1000)*1,[1]OUT_SyntheticFuels!K$4:K$1000)</f>
        <v>0</v>
      </c>
      <c r="M650" s="1" cm="1">
        <f t="array" ref="M650">SUMPRODUCT(("SUP_WSTHTGBIOCCS"=[1]OUT_SyntheticFuels!$C$4:$C$1000)*1,("CWST"=[1]OUT_SyntheticFuels!$A$4:$A$1000)*1,("VAR_FIN"=[1]OUT_SyntheticFuels!$B$4:$B$1000)*1,[1]OUT_SyntheticFuels!L$4:L$1000)</f>
        <v>0</v>
      </c>
      <c r="N650" s="1" cm="1">
        <f t="array" ref="N650">SUMPRODUCT(("SUP_WSTHTGBIOCCS"=[1]OUT_SyntheticFuels!$C$4:$C$1000)*1,("CWST"=[1]OUT_SyntheticFuels!$A$4:$A$1000)*1,("VAR_FIN"=[1]OUT_SyntheticFuels!$B$4:$B$1000)*1,[1]OUT_SyntheticFuels!M$4:M$1000)</f>
        <v>0</v>
      </c>
      <c r="O650" s="1" cm="1">
        <f t="array" ref="O650">SUMPRODUCT(("SUP_WSTHTGBIOCCS"=[1]OUT_SyntheticFuels!$C$4:$C$1000)*1,("CWST"=[1]OUT_SyntheticFuels!$A$4:$A$1000)*1,("VAR_FIN"=[1]OUT_SyntheticFuels!$B$4:$B$1000)*1,[1]OUT_SyntheticFuels!N$4:N$1000)</f>
        <v>0</v>
      </c>
      <c r="P650" s="1" cm="1">
        <f t="array" ref="P650">SUMPRODUCT(("SUP_WSTHTGBIOCCS"=[1]OUT_SyntheticFuels!$C$4:$C$1000)*1,("CWST"=[1]OUT_SyntheticFuels!$A$4:$A$1000)*1,("VAR_FIN"=[1]OUT_SyntheticFuels!$B$4:$B$1000)*1,[1]OUT_SyntheticFuels!O$4:O$1000)</f>
        <v>0</v>
      </c>
      <c r="Q650" s="1" cm="1">
        <f t="array" ref="Q650">SUMPRODUCT(("SUP_WSTHTGBIOCCS"=[1]OUT_SyntheticFuels!$C$4:$C$1000)*1,("CWST"=[1]OUT_SyntheticFuels!$A$4:$A$1000)*1,("VAR_FIN"=[1]OUT_SyntheticFuels!$B$4:$B$1000)*1,[1]OUT_SyntheticFuels!P$4:P$1000)</f>
        <v>0</v>
      </c>
      <c r="S650" s="3"/>
    </row>
    <row r="651" spans="2:19" x14ac:dyDescent="0.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33">SUM(G652:G653)</f>
        <v>8.1195793722789599E-5</v>
      </c>
      <c r="H651" s="1">
        <f t="shared" ref="H651" si="734">SUM(H652:H653)</f>
        <v>1.7846875645459974E-4</v>
      </c>
      <c r="I651" s="1">
        <f t="shared" ref="I651" si="735">SUM(I652:I653)</f>
        <v>3.9290710446647341E-4</v>
      </c>
      <c r="J651" s="1">
        <f t="shared" ref="J651" si="736">SUM(J652:J653)</f>
        <v>6.0943546881135852E-4</v>
      </c>
      <c r="K651" s="1">
        <f t="shared" ref="K651" si="737">SUM(K652:K653)</f>
        <v>6.4900934480721553E-4</v>
      </c>
      <c r="L651" s="1">
        <f t="shared" ref="L651:O651" si="738">SUM(L652:L653)</f>
        <v>6.6783156704029744E-4</v>
      </c>
      <c r="M651" s="1">
        <f t="shared" si="738"/>
        <v>8.4258080503922441E-4</v>
      </c>
      <c r="N651" s="1">
        <f t="shared" si="738"/>
        <v>8.6629723538806541E-4</v>
      </c>
      <c r="O651" s="1">
        <f t="shared" si="738"/>
        <v>1.0324648204032164E-3</v>
      </c>
      <c r="P651" s="1">
        <f>SUM(P652:P653)</f>
        <v>1.0862011973499044E-3</v>
      </c>
      <c r="Q651" s="1">
        <f>SUM(Q652:Q653)</f>
        <v>2.0175056815172165E-3</v>
      </c>
      <c r="S651" s="3"/>
    </row>
    <row r="652" spans="2:19" x14ac:dyDescent="0.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8.1195793722789599E-5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1.7846875645459974E-4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3.9290710446647341E-4</v>
      </c>
      <c r="J652" s="1" cm="1">
        <f t="array" ref="J652">SUMPRODUCT(("SUP_WODBIO"=[1]OUT_SyntheticFuels!$C$4:$C$1000)*1,("CWOD"=[1]OUT_SyntheticFuels!$A$4:$A$1000)*1,("VAR_FIN"=[1]OUT_SyntheticFuels!$B$4:$B$1000)*1,[1]OUT_SyntheticFuels!I$4:I$1000)</f>
        <v>6.0943546881135852E-4</v>
      </c>
      <c r="K652" s="1" cm="1">
        <f t="array" ref="K652">SUMPRODUCT(("SUP_WODBIO"=[1]OUT_SyntheticFuels!$C$4:$C$1000)*1,("CWOD"=[1]OUT_SyntheticFuels!$A$4:$A$1000)*1,("VAR_FIN"=[1]OUT_SyntheticFuels!$B$4:$B$1000)*1,[1]OUT_SyntheticFuels!J$4:J$1000)</f>
        <v>6.4900934480721553E-4</v>
      </c>
      <c r="L652" s="1" cm="1">
        <f t="array" ref="L652">SUMPRODUCT(("SUP_WODBIO"=[1]OUT_SyntheticFuels!$C$4:$C$1000)*1,("CWOD"=[1]OUT_SyntheticFuels!$A$4:$A$1000)*1,("VAR_FIN"=[1]OUT_SyntheticFuels!$B$4:$B$1000)*1,[1]OUT_SyntheticFuels!K$4:K$1000)</f>
        <v>6.6783156704029744E-4</v>
      </c>
      <c r="M652" s="1" cm="1">
        <f t="array" ref="M652">SUMPRODUCT(("SUP_WODBIO"=[1]OUT_SyntheticFuels!$C$4:$C$1000)*1,("CWOD"=[1]OUT_SyntheticFuels!$A$4:$A$1000)*1,("VAR_FIN"=[1]OUT_SyntheticFuels!$B$4:$B$1000)*1,[1]OUT_SyntheticFuels!L$4:L$1000)</f>
        <v>8.4258080503922441E-4</v>
      </c>
      <c r="N652" s="1" cm="1">
        <f t="array" ref="N652">SUMPRODUCT(("SUP_WODBIO"=[1]OUT_SyntheticFuels!$C$4:$C$1000)*1,("CWOD"=[1]OUT_SyntheticFuels!$A$4:$A$1000)*1,("VAR_FIN"=[1]OUT_SyntheticFuels!$B$4:$B$1000)*1,[1]OUT_SyntheticFuels!M$4:M$1000)</f>
        <v>8.6629723538806541E-4</v>
      </c>
      <c r="O652" s="1" cm="1">
        <f t="array" ref="O652">SUMPRODUCT(("SUP_WODBIO"=[1]OUT_SyntheticFuels!$C$4:$C$1000)*1,("CWOD"=[1]OUT_SyntheticFuels!$A$4:$A$1000)*1,("VAR_FIN"=[1]OUT_SyntheticFuels!$B$4:$B$1000)*1,[1]OUT_SyntheticFuels!N$4:N$1000)</f>
        <v>1.0324648204032164E-3</v>
      </c>
      <c r="P652" s="1" cm="1">
        <f t="array" ref="P652">SUMPRODUCT(("SUP_WODBIO"=[1]OUT_SyntheticFuels!$C$4:$C$1000)*1,("CWOD"=[1]OUT_SyntheticFuels!$A$4:$A$1000)*1,("VAR_FIN"=[1]OUT_SyntheticFuels!$B$4:$B$1000)*1,[1]OUT_SyntheticFuels!O$4:O$1000)</f>
        <v>1.0862011973499044E-3</v>
      </c>
      <c r="Q652" s="1" cm="1">
        <f t="array" ref="Q652">SUMPRODUCT(("SUP_WODBIO"=[1]OUT_SyntheticFuels!$C$4:$C$1000)*1,("CWOD"=[1]OUT_SyntheticFuels!$A$4:$A$1000)*1,("VAR_FIN"=[1]OUT_SyntheticFuels!$B$4:$B$1000)*1,[1]OUT_SyntheticFuels!P$4:P$1000)</f>
        <v>2.0175056815172165E-3</v>
      </c>
      <c r="S652" s="3"/>
    </row>
    <row r="653" spans="2:19" x14ac:dyDescent="0.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SUMPRODUCT(("SUP_WODBIOCCS"=[1]OUT_SyntheticFuels!$C$4:$C$1000)*1,("CWOD"=[1]OUT_SyntheticFuels!$A$4:$A$1000)*1,("VAR_FIN"=[1]OUT_SyntheticFuels!$B$4:$B$1000)*1,[1]OUT_SyntheticFuels!I$4:I$1000)</f>
        <v>0</v>
      </c>
      <c r="K653" s="1" cm="1">
        <f t="array" ref="K653">SUMPRODUCT(("SUP_WODBIOCCS"=[1]OUT_SyntheticFuels!$C$4:$C$1000)*1,("CWOD"=[1]OUT_SyntheticFuels!$A$4:$A$1000)*1,("VAR_FIN"=[1]OUT_SyntheticFuels!$B$4:$B$1000)*1,[1]OUT_SyntheticFuels!J$4:J$1000)</f>
        <v>0</v>
      </c>
      <c r="L653" s="1" cm="1">
        <f t="array" ref="L653">SUMPRODUCT(("SUP_WODBIOCCS"=[1]OUT_SyntheticFuels!$C$4:$C$1000)*1,("CWOD"=[1]OUT_SyntheticFuels!$A$4:$A$1000)*1,("VAR_FIN"=[1]OUT_SyntheticFuels!$B$4:$B$1000)*1,[1]OUT_SyntheticFuels!K$4:K$1000)</f>
        <v>0</v>
      </c>
      <c r="M653" s="1" cm="1">
        <f t="array" ref="M653">SUMPRODUCT(("SUP_WODBIOCCS"=[1]OUT_SyntheticFuels!$C$4:$C$1000)*1,("CWOD"=[1]OUT_SyntheticFuels!$A$4:$A$1000)*1,("VAR_FIN"=[1]OUT_SyntheticFuels!$B$4:$B$1000)*1,[1]OUT_SyntheticFuels!L$4:L$1000)</f>
        <v>0</v>
      </c>
      <c r="N653" s="1" cm="1">
        <f t="array" ref="N653">SUMPRODUCT(("SUP_WODBIOCCS"=[1]OUT_SyntheticFuels!$C$4:$C$1000)*1,("CWOD"=[1]OUT_SyntheticFuels!$A$4:$A$1000)*1,("VAR_FIN"=[1]OUT_SyntheticFuels!$B$4:$B$1000)*1,[1]OUT_SyntheticFuels!M$4:M$1000)</f>
        <v>0</v>
      </c>
      <c r="O653" s="1" cm="1">
        <f t="array" ref="O653">SUMPRODUCT(("SUP_WODBIOCCS"=[1]OUT_SyntheticFuels!$C$4:$C$1000)*1,("CWOD"=[1]OUT_SyntheticFuels!$A$4:$A$1000)*1,("VAR_FIN"=[1]OUT_SyntheticFuels!$B$4:$B$1000)*1,[1]OUT_SyntheticFuels!N$4:N$1000)</f>
        <v>0</v>
      </c>
      <c r="P653" s="1" cm="1">
        <f t="array" ref="P653">SUMPRODUCT(("SUP_WODBIOCCS"=[1]OUT_SyntheticFuels!$C$4:$C$1000)*1,("CWOD"=[1]OUT_SyntheticFuels!$A$4:$A$1000)*1,("VAR_FIN"=[1]OUT_SyntheticFuels!$B$4:$B$1000)*1,[1]OUT_SyntheticFuels!O$4:O$1000)</f>
        <v>0</v>
      </c>
      <c r="Q653" s="1" cm="1">
        <f t="array" ref="Q653">SUMPRODUCT(("SUP_WODBIOCCS"=[1]OUT_SyntheticFuels!$C$4:$C$1000)*1,("CWOD"=[1]OUT_SyntheticFuels!$A$4:$A$1000)*1,("VAR_FIN"=[1]OUT_SyntheticFuels!$B$4:$B$1000)*1,[1]OUT_SyntheticFuels!P$4:P$1000)</f>
        <v>0</v>
      </c>
      <c r="S653" s="3"/>
    </row>
    <row r="654" spans="2:19" x14ac:dyDescent="0.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M654" s="14" t="s">
        <v>292</v>
      </c>
      <c r="N654" s="14" t="s">
        <v>292</v>
      </c>
      <c r="O654" s="14" t="s">
        <v>292</v>
      </c>
      <c r="P654" s="14" t="s">
        <v>292</v>
      </c>
      <c r="Q654" s="14" t="s">
        <v>292</v>
      </c>
      <c r="S654" s="3"/>
    </row>
    <row r="655" spans="2:19" x14ac:dyDescent="0.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39">IFERROR(SUM(F635,F625,F615)/F645,"-")</f>
        <v>0.34965034965035036</v>
      </c>
      <c r="G655" s="4">
        <f t="shared" si="739"/>
        <v>0.34965034965035063</v>
      </c>
      <c r="H655" s="4">
        <f t="shared" si="739"/>
        <v>0.34965034965034997</v>
      </c>
      <c r="I655" s="4">
        <f t="shared" si="739"/>
        <v>0.3496503496503503</v>
      </c>
      <c r="J655" s="4">
        <f t="shared" si="739"/>
        <v>0.34965034965035008</v>
      </c>
      <c r="K655" s="4">
        <f t="shared" si="739"/>
        <v>0.34965034965035013</v>
      </c>
      <c r="L655" s="4">
        <f t="shared" ref="L655:O655" si="740">IFERROR(SUM(L635,L625,L615)/L645,"-")</f>
        <v>0.34965034965035002</v>
      </c>
      <c r="M655" s="4">
        <f t="shared" si="740"/>
        <v>0.34965034965034991</v>
      </c>
      <c r="N655" s="4">
        <f t="shared" si="740"/>
        <v>0.34965034965035019</v>
      </c>
      <c r="O655" s="4">
        <f t="shared" si="740"/>
        <v>0.34965034965035013</v>
      </c>
      <c r="P655" s="4">
        <f>IFERROR(SUM(P635,P625,P615)/P645,"-")</f>
        <v>0.34965034965035013</v>
      </c>
      <c r="Q655" s="4">
        <f>IFERROR(SUM(Q635,Q625,Q615)/Q645,"-")</f>
        <v>0.34965034965035013</v>
      </c>
      <c r="S655" s="3"/>
    </row>
    <row r="656" spans="2:19" x14ac:dyDescent="0.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41">IFERROR(SUM(F637,F627,F617)/F647,"-")</f>
        <v>0.59322033898305149</v>
      </c>
      <c r="G656" s="4">
        <f t="shared" si="741"/>
        <v>0.59322033898305115</v>
      </c>
      <c r="H656" s="4">
        <f t="shared" si="741"/>
        <v>0.59322033898305027</v>
      </c>
      <c r="I656" s="4">
        <f t="shared" si="741"/>
        <v>0.59322033898305093</v>
      </c>
      <c r="J656" s="4">
        <f t="shared" si="741"/>
        <v>0.59322033898305038</v>
      </c>
      <c r="K656" s="4">
        <f t="shared" si="741"/>
        <v>0.59322033898305138</v>
      </c>
      <c r="L656" s="4">
        <f t="shared" ref="L656:O656" si="742">IFERROR(SUM(L637,L627,L617)/L647,"-")</f>
        <v>0.5932203389830506</v>
      </c>
      <c r="M656" s="4">
        <f t="shared" si="742"/>
        <v>0.59322033898305038</v>
      </c>
      <c r="N656" s="4">
        <f t="shared" si="742"/>
        <v>0.59322033898305138</v>
      </c>
      <c r="O656" s="4">
        <f t="shared" si="742"/>
        <v>0.59322033898305093</v>
      </c>
      <c r="P656" s="4">
        <f t="shared" ref="P656:Q659" si="743">IFERROR(SUM(P637,P627,P617)/P647,"-")</f>
        <v>0.5932203389830506</v>
      </c>
      <c r="Q656" s="4">
        <f t="shared" si="743"/>
        <v>0.59322033898305082</v>
      </c>
      <c r="S656" s="3"/>
    </row>
    <row r="657" spans="2:19" x14ac:dyDescent="0.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41"/>
        <v>-</v>
      </c>
      <c r="G657" s="4" t="str">
        <f t="shared" si="741"/>
        <v>-</v>
      </c>
      <c r="H657" s="4" t="str">
        <f t="shared" si="741"/>
        <v>-</v>
      </c>
      <c r="I657" s="4" t="str">
        <f t="shared" si="741"/>
        <v>-</v>
      </c>
      <c r="J657" s="4" t="str">
        <f t="shared" si="741"/>
        <v>-</v>
      </c>
      <c r="K657" s="4" t="str">
        <f t="shared" si="741"/>
        <v>-</v>
      </c>
      <c r="L657" s="4" t="str">
        <f t="shared" ref="L657:O657" si="744">IFERROR(SUM(L638,L628,L618)/L648,"-")</f>
        <v>-</v>
      </c>
      <c r="M657" s="4" t="str">
        <f t="shared" si="744"/>
        <v>-</v>
      </c>
      <c r="N657" s="4" t="str">
        <f t="shared" si="744"/>
        <v>-</v>
      </c>
      <c r="O657" s="4" t="str">
        <f t="shared" si="744"/>
        <v>-</v>
      </c>
      <c r="P657" s="4" t="str">
        <f t="shared" si="743"/>
        <v>-</v>
      </c>
      <c r="Q657" s="4" t="str">
        <f t="shared" si="743"/>
        <v>-</v>
      </c>
      <c r="S657" s="3"/>
    </row>
    <row r="658" spans="2:19" x14ac:dyDescent="0.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41"/>
        <v>-</v>
      </c>
      <c r="G658" s="4" t="str">
        <f t="shared" si="741"/>
        <v>-</v>
      </c>
      <c r="H658" s="4" t="str">
        <f t="shared" si="741"/>
        <v>-</v>
      </c>
      <c r="I658" s="4" t="str">
        <f t="shared" si="741"/>
        <v>-</v>
      </c>
      <c r="J658" s="4" t="str">
        <f t="shared" si="741"/>
        <v>-</v>
      </c>
      <c r="K658" s="4">
        <f t="shared" si="741"/>
        <v>0.70000000000000007</v>
      </c>
      <c r="L658" s="4">
        <f t="shared" ref="L658:O658" si="745">IFERROR(SUM(L639,L629,L619)/L649,"-")</f>
        <v>0.69999999999999973</v>
      </c>
      <c r="M658" s="4">
        <f t="shared" si="745"/>
        <v>0.70000000000000007</v>
      </c>
      <c r="N658" s="4">
        <f t="shared" si="745"/>
        <v>0.69999999999999984</v>
      </c>
      <c r="O658" s="4">
        <f t="shared" si="745"/>
        <v>0.7</v>
      </c>
      <c r="P658" s="4">
        <f t="shared" si="743"/>
        <v>0.70000000000000051</v>
      </c>
      <c r="Q658" s="4">
        <f t="shared" si="743"/>
        <v>0.70000000000000018</v>
      </c>
      <c r="S658" s="3"/>
    </row>
    <row r="659" spans="2:19" x14ac:dyDescent="0.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41"/>
        <v>-</v>
      </c>
      <c r="G659" s="4" t="str">
        <f t="shared" si="741"/>
        <v>-</v>
      </c>
      <c r="H659" s="4" t="str">
        <f t="shared" si="741"/>
        <v>-</v>
      </c>
      <c r="I659" s="4" t="str">
        <f t="shared" si="741"/>
        <v>-</v>
      </c>
      <c r="J659" s="4" t="str">
        <f t="shared" si="741"/>
        <v>-</v>
      </c>
      <c r="K659" s="4" t="str">
        <f t="shared" si="741"/>
        <v>-</v>
      </c>
      <c r="L659" s="4" t="str">
        <f t="shared" ref="L659:O659" si="746">IFERROR(SUM(L640,L630,L620)/L650,"-")</f>
        <v>-</v>
      </c>
      <c r="M659" s="4" t="str">
        <f t="shared" si="746"/>
        <v>-</v>
      </c>
      <c r="N659" s="4" t="str">
        <f t="shared" si="746"/>
        <v>-</v>
      </c>
      <c r="O659" s="4" t="str">
        <f t="shared" si="746"/>
        <v>-</v>
      </c>
      <c r="P659" s="4" t="str">
        <f t="shared" si="743"/>
        <v>-</v>
      </c>
      <c r="Q659" s="4" t="str">
        <f t="shared" si="743"/>
        <v>-</v>
      </c>
      <c r="S659" s="3"/>
    </row>
    <row r="660" spans="2:19" x14ac:dyDescent="0.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47">IFERROR(SUM(F642,F632,F622)/F652,"-")</f>
        <v>-</v>
      </c>
      <c r="G660" s="4">
        <f t="shared" si="747"/>
        <v>0.83086233010385269</v>
      </c>
      <c r="H660" s="4">
        <f t="shared" si="747"/>
        <v>0.85925925925925906</v>
      </c>
      <c r="I660" s="4">
        <f t="shared" si="747"/>
        <v>0.85925925925925828</v>
      </c>
      <c r="J660" s="4">
        <f t="shared" si="747"/>
        <v>0.85925925925925928</v>
      </c>
      <c r="K660" s="4">
        <f t="shared" si="747"/>
        <v>0.8592592592592595</v>
      </c>
      <c r="L660" s="4">
        <f t="shared" ref="L660:O660" si="748">IFERROR(SUM(L642,L632,L622)/L652,"-")</f>
        <v>0.85925925925925806</v>
      </c>
      <c r="M660" s="4">
        <f t="shared" si="748"/>
        <v>0.85925925925925928</v>
      </c>
      <c r="N660" s="4">
        <f t="shared" si="748"/>
        <v>0.85925925925925872</v>
      </c>
      <c r="O660" s="4">
        <f t="shared" si="748"/>
        <v>0.85925925925925828</v>
      </c>
      <c r="P660" s="4">
        <f>IFERROR(SUM(P642,P632,P622)/P652,"-")</f>
        <v>0.85925925925925883</v>
      </c>
      <c r="Q660" s="4">
        <f>IFERROR(SUM(Q642,Q632,Q622)/Q652,"-")</f>
        <v>0.85925925925925917</v>
      </c>
      <c r="S660" s="3"/>
    </row>
    <row r="661" spans="2:19" x14ac:dyDescent="0.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47"/>
        <v>-</v>
      </c>
      <c r="G661" s="4" t="str">
        <f t="shared" si="747"/>
        <v>-</v>
      </c>
      <c r="H661" s="4" t="str">
        <f t="shared" si="747"/>
        <v>-</v>
      </c>
      <c r="I661" s="4" t="str">
        <f t="shared" si="747"/>
        <v>-</v>
      </c>
      <c r="J661" s="4" t="str">
        <f t="shared" si="747"/>
        <v>-</v>
      </c>
      <c r="K661" s="4" t="str">
        <f t="shared" si="747"/>
        <v>-</v>
      </c>
      <c r="L661" s="4" t="str">
        <f t="shared" ref="L661:O661" si="749">IFERROR(SUM(L643,L633,L623)/L653,"-")</f>
        <v>-</v>
      </c>
      <c r="M661" s="4" t="str">
        <f t="shared" si="749"/>
        <v>-</v>
      </c>
      <c r="N661" s="4" t="str">
        <f t="shared" si="749"/>
        <v>-</v>
      </c>
      <c r="O661" s="4" t="str">
        <f t="shared" si="749"/>
        <v>-</v>
      </c>
      <c r="P661" s="4" t="str">
        <f>IFERROR(SUM(P643,P633,P623)/P653,"-")</f>
        <v>-</v>
      </c>
      <c r="Q661" s="4" t="str">
        <f>IFERROR(SUM(Q643,Q633,Q623)/Q653,"-")</f>
        <v>-</v>
      </c>
      <c r="S661" s="3"/>
    </row>
    <row r="662" spans="2:19" x14ac:dyDescent="0.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3.3091345609415597E-3</v>
      </c>
      <c r="G662" s="3">
        <f t="shared" ref="G662:K662" si="750">SUM(G663,G667,G676)</f>
        <v>4.4876865337928071E-3</v>
      </c>
      <c r="H662" s="3">
        <f t="shared" si="750"/>
        <v>4.5156040766261563E-3</v>
      </c>
      <c r="I662" s="3">
        <f t="shared" si="750"/>
        <v>7.7410589952668068E-3</v>
      </c>
      <c r="J662" s="3">
        <f t="shared" si="750"/>
        <v>2.2329175505180161E-2</v>
      </c>
      <c r="K662" s="3">
        <f t="shared" si="750"/>
        <v>3.3731679430919481E-2</v>
      </c>
      <c r="L662" s="3">
        <f t="shared" ref="L662:O662" si="751">SUM(L663,L667,L676)</f>
        <v>3.3777416484726236E-2</v>
      </c>
      <c r="M662" s="3">
        <f t="shared" si="751"/>
        <v>0.12342308581809268</v>
      </c>
      <c r="N662" s="3">
        <f t="shared" si="751"/>
        <v>0.13394800461168066</v>
      </c>
      <c r="O662" s="3">
        <f t="shared" si="751"/>
        <v>0.52446371517563173</v>
      </c>
      <c r="P662" s="3">
        <f>SUM(P663,P667,P676)</f>
        <v>0.57026125426953478</v>
      </c>
      <c r="Q662" s="3">
        <f>SUM(Q663,Q667,Q676)</f>
        <v>0.60099366606990068</v>
      </c>
      <c r="S662" s="3"/>
    </row>
    <row r="663" spans="2:19" x14ac:dyDescent="0.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3.3091345609415597E-3</v>
      </c>
      <c r="G663" s="1">
        <f>[1]Other_transformation!C$28</f>
        <v>4.4876865337928071E-3</v>
      </c>
      <c r="H663" s="1">
        <f>[1]Other_transformation!D$28</f>
        <v>4.5156040766261563E-3</v>
      </c>
      <c r="I663" s="1">
        <f>[1]Other_transformation!E$28</f>
        <v>7.7410589952668068E-3</v>
      </c>
      <c r="J663" s="1">
        <f>[1]Other_transformation!F$28</f>
        <v>2.2329175505180161E-2</v>
      </c>
      <c r="K663" s="1">
        <f>[1]Other_transformation!G$28</f>
        <v>3.3731679430919481E-2</v>
      </c>
      <c r="L663" s="1">
        <f>[1]Other_transformation!H$28</f>
        <v>3.3777416484726236E-2</v>
      </c>
      <c r="M663" s="1">
        <f>[1]Other_transformation!I$28</f>
        <v>0.11593705471990159</v>
      </c>
      <c r="N663" s="1">
        <f>[1]Other_transformation!J$28</f>
        <v>0.12673745330610653</v>
      </c>
      <c r="O663" s="1">
        <f>[1]Other_transformation!K$28</f>
        <v>0.51414204928890317</v>
      </c>
      <c r="P663" s="1">
        <f>[1]Other_transformation!L$28</f>
        <v>0.55959990571355678</v>
      </c>
      <c r="Q663" s="1">
        <f>[1]Other_transformation!M$28</f>
        <v>0.56605365681466657</v>
      </c>
      <c r="S663" s="3"/>
    </row>
    <row r="664" spans="2:19" x14ac:dyDescent="0.5">
      <c r="B664" t="str">
        <f t="shared" ref="B664:B675" si="752">B663</f>
        <v>SPS1</v>
      </c>
      <c r="C664" t="str">
        <f t="shared" ref="C664:C675" si="753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3.3091345609415597E-3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4.4876865337928071E-3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4.5156040766261563E-3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7.7302019585170642E-3</v>
      </c>
      <c r="J664" s="1" cm="1">
        <f t="array" ref="J664">SUMPRODUCT(("SUP_ELCH2"=[1]OUT_SyntheticFuels!$C$4:$C$1000)*1,ISNUMBER(SEARCH("h2",[1]OUT_SyntheticFuels!$A$4:$A$1000))*1,("Var_Fout"=[1]OUT_SyntheticFuels!$B$4:$B$1000)*1,[1]OUT_SyntheticFuels!I$4:I$1000)</f>
        <v>2.2031884904026564E-2</v>
      </c>
      <c r="K664" s="1" cm="1">
        <f t="array" ref="K664">SUMPRODUCT(("SUP_ELCH2"=[1]OUT_SyntheticFuels!$C$4:$C$1000)*1,ISNUMBER(SEARCH("h2",[1]OUT_SyntheticFuels!$A$4:$A$1000))*1,("Var_Fout"=[1]OUT_SyntheticFuels!$B$4:$B$1000)*1,[1]OUT_SyntheticFuels!J$4:J$1000)</f>
        <v>2.462920567883262E-2</v>
      </c>
      <c r="L664" s="1" cm="1">
        <f t="array" ref="L664">SUMPRODUCT(("SUP_ELCH2"=[1]OUT_SyntheticFuels!$C$4:$C$1000)*1,ISNUMBER(SEARCH("h2",[1]OUT_SyntheticFuels!$A$4:$A$1000))*1,("Var_Fout"=[1]OUT_SyntheticFuels!$B$4:$B$1000)*1,[1]OUT_SyntheticFuels!K$4:K$1000)</f>
        <v>2.2337272423199148E-2</v>
      </c>
      <c r="M664" s="1" cm="1">
        <f t="array" ref="M664">SUMPRODUCT(("SUP_ELCH2"=[1]OUT_SyntheticFuels!$C$4:$C$1000)*1,ISNUMBER(SEARCH("h2",[1]OUT_SyntheticFuels!$A$4:$A$1000))*1,("Var_Fout"=[1]OUT_SyntheticFuels!$B$4:$B$1000)*1,[1]OUT_SyntheticFuels!L$4:L$1000)</f>
        <v>0.10114876247995756</v>
      </c>
      <c r="N664" s="1" cm="1">
        <f t="array" ref="N664">SUMPRODUCT(("SUP_ELCH2"=[1]OUT_SyntheticFuels!$C$4:$C$1000)*1,ISNUMBER(SEARCH("h2",[1]OUT_SyntheticFuels!$A$4:$A$1000))*1,("Var_Fout"=[1]OUT_SyntheticFuels!$B$4:$B$1000)*1,[1]OUT_SyntheticFuels!M$4:M$1000)</f>
        <v>0.11332236548470979</v>
      </c>
      <c r="O664" s="1" cm="1">
        <f t="array" ref="O664">SUMPRODUCT(("SUP_ELCH2"=[1]OUT_SyntheticFuels!$C$4:$C$1000)*1,ISNUMBER(SEARCH("h2",[1]OUT_SyntheticFuels!$A$4:$A$1000))*1,("Var_Fout"=[1]OUT_SyntheticFuels!$B$4:$B$1000)*1,[1]OUT_SyntheticFuels!N$4:N$1000)</f>
        <v>0.49929158553287528</v>
      </c>
      <c r="P664" s="1" cm="1">
        <f t="array" ref="P664">SUMPRODUCT(("SUP_ELCH2"=[1]OUT_SyntheticFuels!$C$4:$C$1000)*1,ISNUMBER(SEARCH("h2",[1]OUT_SyntheticFuels!$A$4:$A$1000))*1,("Var_Fout"=[1]OUT_SyntheticFuels!$B$4:$B$1000)*1,[1]OUT_SyntheticFuels!O$4:O$1000)</f>
        <v>0.54518778496406317</v>
      </c>
      <c r="Q664" s="1" cm="1">
        <f t="array" ref="Q664">SUMPRODUCT(("SUP_ELCH2"=[1]OUT_SyntheticFuels!$C$4:$C$1000)*1,ISNUMBER(SEARCH("h2",[1]OUT_SyntheticFuels!$A$4:$A$1000))*1,("Var_Fout"=[1]OUT_SyntheticFuels!$B$4:$B$1000)*1,[1]OUT_SyntheticFuels!P$4:P$1000)</f>
        <v>0.53819306477070394</v>
      </c>
      <c r="S664" s="3"/>
    </row>
    <row r="665" spans="2:19" x14ac:dyDescent="0.5">
      <c r="B665" t="str">
        <f t="shared" ref="B665" si="754">B664</f>
        <v>SPS1</v>
      </c>
      <c r="C665" t="str">
        <f t="shared" ref="C665" si="755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1.0857036749742236E-5</v>
      </c>
      <c r="J665" s="1" cm="1">
        <f t="array" ref="J665">SUMPRODUCT(("SUP_ELCH2_D"=[1]OUT_SyntheticFuels!$C$4:$C$1000)*1,ISNUMBER(SEARCH("h2",[1]OUT_SyntheticFuels!$A$4:$A$1000))*1,("Var_Fout"=[1]OUT_SyntheticFuels!$B$4:$B$1000)*1,[1]OUT_SyntheticFuels!I$4:I$1000)</f>
        <v>2.9729060115359616E-4</v>
      </c>
      <c r="K665" s="1" cm="1">
        <f t="array" ref="K665">SUMPRODUCT(("SUP_ELCH2_D"=[1]OUT_SyntheticFuels!$C$4:$C$1000)*1,ISNUMBER(SEARCH("h2",[1]OUT_SyntheticFuels!$A$4:$A$1000))*1,("Var_Fout"=[1]OUT_SyntheticFuels!$B$4:$B$1000)*1,[1]OUT_SyntheticFuels!J$4:J$1000)</f>
        <v>1.0006158354117509E-3</v>
      </c>
      <c r="L665" s="1" cm="1">
        <f t="array" ref="L665">SUMPRODUCT(("SUP_ELCH2_D"=[1]OUT_SyntheticFuels!$C$4:$C$1000)*1,ISNUMBER(SEARCH("h2",[1]OUT_SyntheticFuels!$A$4:$A$1000))*1,("Var_Fout"=[1]OUT_SyntheticFuels!$B$4:$B$1000)*1,[1]OUT_SyntheticFuels!K$4:K$1000)</f>
        <v>1.2408325577417919E-3</v>
      </c>
      <c r="M665" s="1" cm="1">
        <f t="array" ref="M665">SUMPRODUCT(("SUP_ELCH2_D"=[1]OUT_SyntheticFuels!$C$4:$C$1000)*1,ISNUMBER(SEARCH("h2",[1]OUT_SyntheticFuels!$A$4:$A$1000))*1,("Var_Fout"=[1]OUT_SyntheticFuels!$B$4:$B$1000)*1,[1]OUT_SyntheticFuels!L$4:L$1000)</f>
        <v>1.2851932444171625E-3</v>
      </c>
      <c r="N665" s="1" cm="1">
        <f t="array" ref="N665">SUMPRODUCT(("SUP_ELCH2_D"=[1]OUT_SyntheticFuels!$C$4:$C$1000)*1,ISNUMBER(SEARCH("h2",[1]OUT_SyntheticFuels!$A$4:$A$1000))*1,("Var_Fout"=[1]OUT_SyntheticFuels!$B$4:$B$1000)*1,[1]OUT_SyntheticFuels!M$4:M$1000)</f>
        <v>1.2884707088704596E-3</v>
      </c>
      <c r="O665" s="1" cm="1">
        <f t="array" ref="O665">SUMPRODUCT(("SUP_ELCH2_D"=[1]OUT_SyntheticFuels!$C$4:$C$1000)*1,ISNUMBER(SEARCH("h2",[1]OUT_SyntheticFuels!$A$4:$A$1000))*1,("Var_Fout"=[1]OUT_SyntheticFuels!$B$4:$B$1000)*1,[1]OUT_SyntheticFuels!N$4:N$1000)</f>
        <v>1.3264697115389164E-3</v>
      </c>
      <c r="P665" s="1" cm="1">
        <f t="array" ref="P665">SUMPRODUCT(("SUP_ELCH2_D"=[1]OUT_SyntheticFuels!$C$4:$C$1000)*1,ISNUMBER(SEARCH("h2",[1]OUT_SyntheticFuels!$A$4:$A$1000))*1,("Var_Fout"=[1]OUT_SyntheticFuels!$B$4:$B$1000)*1,[1]OUT_SyntheticFuels!O$4:O$1000)</f>
        <v>1.0868244468776786E-3</v>
      </c>
      <c r="Q665" s="1" cm="1">
        <f t="array" ref="Q665">SUMPRODUCT(("SUP_ELCH2_D"=[1]OUT_SyntheticFuels!$C$4:$C$1000)*1,ISNUMBER(SEARCH("h2",[1]OUT_SyntheticFuels!$A$4:$A$1000))*1,("Var_Fout"=[1]OUT_SyntheticFuels!$B$4:$B$1000)*1,[1]OUT_SyntheticFuels!P$4:P$1000)</f>
        <v>2.1489270345872208E-3</v>
      </c>
      <c r="S665" s="3"/>
    </row>
    <row r="666" spans="2:19" x14ac:dyDescent="0.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SUMPRODUCT(("SUP_ELCH2_SOEC"=[1]OUT_SyntheticFuels!$C$4:$C$1000)*1,ISNUMBER(SEARCH("H2",[1]OUT_SyntheticFuels!$A$4:$A$1000))*1,("Var_Fout"=[1]OUT_SyntheticFuels!$B$4:$B$1000)*1,[1]OUT_SyntheticFuels!I$4:I$1000)</f>
        <v>0</v>
      </c>
      <c r="K666" s="1" cm="1">
        <f t="array" ref="K666">SUMPRODUCT(("SUP_ELCH2_SOEC"=[1]OUT_SyntheticFuels!$C$4:$C$1000)*1,ISNUMBER(SEARCH("H2",[1]OUT_SyntheticFuels!$A$4:$A$1000))*1,("Var_Fout"=[1]OUT_SyntheticFuels!$B$4:$B$1000)*1,[1]OUT_SyntheticFuels!J$4:J$1000)</f>
        <v>8.1018579166751131E-3</v>
      </c>
      <c r="L666" s="1" cm="1">
        <f t="array" ref="L666">SUMPRODUCT(("SUP_ELCH2_SOEC"=[1]OUT_SyntheticFuels!$C$4:$C$1000)*1,ISNUMBER(SEARCH("H2",[1]OUT_SyntheticFuels!$A$4:$A$1000))*1,("Var_Fout"=[1]OUT_SyntheticFuels!$B$4:$B$1000)*1,[1]OUT_SyntheticFuels!K$4:K$1000)</f>
        <v>1.0199311503785297E-2</v>
      </c>
      <c r="M666" s="1" cm="1">
        <f t="array" ref="M666">SUMPRODUCT(("SUP_ELCH2_SOEC"=[1]OUT_SyntheticFuels!$C$4:$C$1000)*1,ISNUMBER(SEARCH("H2",[1]OUT_SyntheticFuels!$A$4:$A$1000))*1,("Var_Fout"=[1]OUT_SyntheticFuels!$B$4:$B$1000)*1,[1]OUT_SyntheticFuels!L$4:L$1000)</f>
        <v>1.3503098995526866E-2</v>
      </c>
      <c r="N666" s="1" cm="1">
        <f t="array" ref="N666">SUMPRODUCT(("SUP_ELCH2_SOEC"=[1]OUT_SyntheticFuels!$C$4:$C$1000)*1,ISNUMBER(SEARCH("H2",[1]OUT_SyntheticFuels!$A$4:$A$1000))*1,("Var_Fout"=[1]OUT_SyntheticFuels!$B$4:$B$1000)*1,[1]OUT_SyntheticFuels!M$4:M$1000)</f>
        <v>1.2126617112526274E-2</v>
      </c>
      <c r="O666" s="1" cm="1">
        <f t="array" ref="O666">SUMPRODUCT(("SUP_ELCH2_SOEC"=[1]OUT_SyntheticFuels!$C$4:$C$1000)*1,ISNUMBER(SEARCH("H2",[1]OUT_SyntheticFuels!$A$4:$A$1000))*1,("Var_Fout"=[1]OUT_SyntheticFuels!$B$4:$B$1000)*1,[1]OUT_SyntheticFuels!N$4:N$1000)</f>
        <v>1.3523994044488981E-2</v>
      </c>
      <c r="P666" s="1" cm="1">
        <f t="array" ref="P666">SUMPRODUCT(("SUP_ELCH2_SOEC"=[1]OUT_SyntheticFuels!$C$4:$C$1000)*1,ISNUMBER(SEARCH("H2",[1]OUT_SyntheticFuels!$A$4:$A$1000))*1,("Var_Fout"=[1]OUT_SyntheticFuels!$B$4:$B$1000)*1,[1]OUT_SyntheticFuels!O$4:O$1000)</f>
        <v>1.3325296302615929E-2</v>
      </c>
      <c r="Q666" s="1" cm="1">
        <f t="array" ref="Q666">SUMPRODUCT(("SUP_ELCH2_SOEC"=[1]OUT_SyntheticFuels!$C$4:$C$1000)*1,ISNUMBER(SEARCH("H2",[1]OUT_SyntheticFuels!$A$4:$A$1000))*1,("Var_Fout"=[1]OUT_SyntheticFuels!$B$4:$B$1000)*1,[1]OUT_SyntheticFuels!P$4:P$1000)</f>
        <v>2.5711665009375419E-2</v>
      </c>
      <c r="S666" s="3"/>
    </row>
    <row r="667" spans="2:19" x14ac:dyDescent="0.5">
      <c r="B667" t="str">
        <f t="shared" si="752"/>
        <v>SPS1</v>
      </c>
      <c r="C667" t="str">
        <f t="shared" si="753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SUM([1]Other_transformation!F$29:F$30)</f>
        <v>0</v>
      </c>
      <c r="K667" s="1">
        <f>SUM([1]Other_transformation!G$29:G$30)</f>
        <v>0</v>
      </c>
      <c r="L667" s="1">
        <f>SUM([1]Other_transformation!H$29:H$30)</f>
        <v>0</v>
      </c>
      <c r="M667" s="1">
        <f>SUM([1]Other_transformation!I$29:I$30)</f>
        <v>9.6977741118472625E-4</v>
      </c>
      <c r="N667" s="1">
        <f>SUM([1]Other_transformation!J$29:J$30)</f>
        <v>9.8598148303653192E-4</v>
      </c>
      <c r="O667" s="1">
        <f>SUM([1]Other_transformation!K$29:K$30)</f>
        <v>1.5250625042868907E-3</v>
      </c>
      <c r="P667" s="1">
        <f>SUM([1]Other_transformation!L$29:L$30)</f>
        <v>1.5604706133434767E-3</v>
      </c>
      <c r="Q667" s="1">
        <f>SUM([1]Other_transformation!M$29:M$30)</f>
        <v>3.2317981561360361E-3</v>
      </c>
      <c r="S667" s="3"/>
    </row>
    <row r="668" spans="2:19" x14ac:dyDescent="0.5">
      <c r="B668" t="str">
        <f t="shared" si="752"/>
        <v>SPS1</v>
      </c>
      <c r="C668" t="str">
        <f t="shared" si="753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[1]Other_transformation!F$29</f>
        <v>0</v>
      </c>
      <c r="K668" s="1">
        <f>[1]Other_transformation!G$29</f>
        <v>0</v>
      </c>
      <c r="L668" s="1">
        <f>[1]Other_transformation!H$29</f>
        <v>0</v>
      </c>
      <c r="M668" s="1">
        <f>[1]Other_transformation!I$29</f>
        <v>9.6977741118472625E-4</v>
      </c>
      <c r="N668" s="1">
        <f>[1]Other_transformation!J$29</f>
        <v>9.8598148303653192E-4</v>
      </c>
      <c r="O668" s="1">
        <f>[1]Other_transformation!K$29</f>
        <v>1.5250625042868907E-3</v>
      </c>
      <c r="P668" s="1">
        <f>[1]Other_transformation!L$29</f>
        <v>1.5604706133434767E-3</v>
      </c>
      <c r="Q668" s="1">
        <f>[1]Other_transformation!M$29</f>
        <v>3.2317981561360361E-3</v>
      </c>
      <c r="S668" s="3"/>
    </row>
    <row r="669" spans="2:19" x14ac:dyDescent="0.5">
      <c r="B669" t="str">
        <f t="shared" si="752"/>
        <v>SPS1</v>
      </c>
      <c r="C669" t="str">
        <f t="shared" si="753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[1]Other_transformation!F$30</f>
        <v>0</v>
      </c>
      <c r="K669" s="1">
        <f>[1]Other_transformation!G$30</f>
        <v>0</v>
      </c>
      <c r="L669" s="1">
        <f>[1]Other_transformation!H$30</f>
        <v>0</v>
      </c>
      <c r="M669" s="1">
        <f>[1]Other_transformation!I$30</f>
        <v>0</v>
      </c>
      <c r="N669" s="1">
        <f>[1]Other_transformation!J$30</f>
        <v>0</v>
      </c>
      <c r="O669" s="1">
        <f>[1]Other_transformation!K$30</f>
        <v>0</v>
      </c>
      <c r="P669" s="1">
        <f>[1]Other_transformation!L$30</f>
        <v>0</v>
      </c>
      <c r="Q669" s="1">
        <f>[1]Other_transformation!M$30</f>
        <v>0</v>
      </c>
      <c r="S669" s="3"/>
    </row>
    <row r="670" spans="2:19" x14ac:dyDescent="0.5">
      <c r="B670" t="str">
        <f t="shared" si="752"/>
        <v>SPS1</v>
      </c>
      <c r="C670" t="str">
        <f t="shared" si="753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56">G667-G673</f>
        <v>0</v>
      </c>
      <c r="H670" s="1">
        <f t="shared" si="756"/>
        <v>0</v>
      </c>
      <c r="I670" s="1">
        <f t="shared" si="756"/>
        <v>0</v>
      </c>
      <c r="J670" s="1">
        <f t="shared" si="756"/>
        <v>0</v>
      </c>
      <c r="K670" s="1">
        <f t="shared" si="756"/>
        <v>0</v>
      </c>
      <c r="L670" s="1">
        <f t="shared" ref="L670:O670" si="757">L667-L673</f>
        <v>0</v>
      </c>
      <c r="M670" s="1">
        <f t="shared" si="757"/>
        <v>0</v>
      </c>
      <c r="N670" s="1">
        <f t="shared" si="757"/>
        <v>0</v>
      </c>
      <c r="O670" s="1">
        <f t="shared" si="757"/>
        <v>0</v>
      </c>
      <c r="P670" s="1">
        <f t="shared" ref="P670:Q672" si="758">P667-P673</f>
        <v>0</v>
      </c>
      <c r="Q670" s="1">
        <f t="shared" si="758"/>
        <v>0</v>
      </c>
      <c r="S670" s="3"/>
    </row>
    <row r="671" spans="2:19" x14ac:dyDescent="0.5">
      <c r="B671" t="str">
        <f t="shared" si="752"/>
        <v>SPS1</v>
      </c>
      <c r="C671" t="str">
        <f t="shared" si="753"/>
        <v>CH</v>
      </c>
      <c r="D671" t="s">
        <v>607</v>
      </c>
      <c r="E671" s="5" t="s">
        <v>8</v>
      </c>
      <c r="F671" s="1">
        <f t="shared" ref="F671:K671" si="759">F668-F674</f>
        <v>0</v>
      </c>
      <c r="G671" s="1">
        <f t="shared" si="759"/>
        <v>0</v>
      </c>
      <c r="H671" s="1">
        <f t="shared" si="759"/>
        <v>0</v>
      </c>
      <c r="I671" s="1">
        <f t="shared" si="759"/>
        <v>0</v>
      </c>
      <c r="J671" s="1">
        <f t="shared" si="759"/>
        <v>0</v>
      </c>
      <c r="K671" s="1">
        <f t="shared" si="759"/>
        <v>0</v>
      </c>
      <c r="L671" s="1">
        <f t="shared" ref="L671:O671" si="760">L668-L674</f>
        <v>0</v>
      </c>
      <c r="M671" s="1">
        <f t="shared" si="760"/>
        <v>0</v>
      </c>
      <c r="N671" s="1">
        <f t="shared" si="760"/>
        <v>0</v>
      </c>
      <c r="O671" s="1">
        <f t="shared" si="760"/>
        <v>0</v>
      </c>
      <c r="P671" s="1">
        <f t="shared" si="758"/>
        <v>0</v>
      </c>
      <c r="Q671" s="1">
        <f t="shared" si="758"/>
        <v>0</v>
      </c>
      <c r="S671" s="3"/>
    </row>
    <row r="672" spans="2:19" x14ac:dyDescent="0.5">
      <c r="B672" t="str">
        <f t="shared" si="752"/>
        <v>SPS1</v>
      </c>
      <c r="C672" t="str">
        <f t="shared" si="753"/>
        <v>CH</v>
      </c>
      <c r="D672" t="s">
        <v>608</v>
      </c>
      <c r="E672" s="5" t="s">
        <v>8</v>
      </c>
      <c r="F672" s="1">
        <f t="shared" ref="F672:K672" si="761">F669-F675</f>
        <v>0</v>
      </c>
      <c r="G672" s="1">
        <f t="shared" si="761"/>
        <v>0</v>
      </c>
      <c r="H672" s="1">
        <f t="shared" si="761"/>
        <v>0</v>
      </c>
      <c r="I672" s="1">
        <f t="shared" si="761"/>
        <v>0</v>
      </c>
      <c r="J672" s="1">
        <f t="shared" si="761"/>
        <v>0</v>
      </c>
      <c r="K672" s="1">
        <f t="shared" si="761"/>
        <v>0</v>
      </c>
      <c r="L672" s="1">
        <f t="shared" ref="L672:O672" si="762">L669-L675</f>
        <v>0</v>
      </c>
      <c r="M672" s="1">
        <f t="shared" si="762"/>
        <v>0</v>
      </c>
      <c r="N672" s="1">
        <f t="shared" si="762"/>
        <v>0</v>
      </c>
      <c r="O672" s="1">
        <f t="shared" si="762"/>
        <v>0</v>
      </c>
      <c r="P672" s="1">
        <f t="shared" si="758"/>
        <v>0</v>
      </c>
      <c r="Q672" s="1">
        <f t="shared" si="758"/>
        <v>0</v>
      </c>
      <c r="S672" s="3"/>
    </row>
    <row r="673" spans="2:19" x14ac:dyDescent="0.5">
      <c r="B673" t="str">
        <f t="shared" si="752"/>
        <v>SPS1</v>
      </c>
      <c r="C673" t="str">
        <f t="shared" si="753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63">SUM(G674:G675)</f>
        <v>0</v>
      </c>
      <c r="H673" s="1">
        <f t="shared" si="763"/>
        <v>0</v>
      </c>
      <c r="I673" s="1">
        <f t="shared" si="763"/>
        <v>0</v>
      </c>
      <c r="J673" s="1">
        <f t="shared" si="763"/>
        <v>0</v>
      </c>
      <c r="K673" s="1">
        <f t="shared" si="763"/>
        <v>0</v>
      </c>
      <c r="L673" s="1">
        <f t="shared" ref="L673:O673" si="764">SUM(L674:L675)</f>
        <v>0</v>
      </c>
      <c r="M673" s="1">
        <f t="shared" si="764"/>
        <v>9.6977741118472625E-4</v>
      </c>
      <c r="N673" s="1">
        <f t="shared" si="764"/>
        <v>9.8598148303653192E-4</v>
      </c>
      <c r="O673" s="1">
        <f t="shared" si="764"/>
        <v>1.5250625042868907E-3</v>
      </c>
      <c r="P673" s="1">
        <f>SUM(P674:P675)</f>
        <v>1.5604706133434767E-3</v>
      </c>
      <c r="Q673" s="1">
        <f>SUM(Q674:Q675)</f>
        <v>3.2317981561360361E-3</v>
      </c>
      <c r="S673" s="3"/>
    </row>
    <row r="674" spans="2:19" x14ac:dyDescent="0.5">
      <c r="B674" t="str">
        <f t="shared" si="752"/>
        <v>SPS1</v>
      </c>
      <c r="C674" t="str">
        <f t="shared" si="753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IFERROR([1]Energy_Balances!F$157/([1]Energy_Balances!F$157+[1]Energy_Balances!F$72),0)*J668</f>
        <v>0</v>
      </c>
      <c r="K674" s="1">
        <f>IFERROR([1]Energy_Balances!G$157/([1]Energy_Balances!G$157+[1]Energy_Balances!G$72),0)*K668</f>
        <v>0</v>
      </c>
      <c r="L674" s="1">
        <f>IFERROR([1]Energy_Balances!H$157/([1]Energy_Balances!H$157+[1]Energy_Balances!H$72),0)*L668</f>
        <v>0</v>
      </c>
      <c r="M674" s="1">
        <f>IFERROR([1]Energy_Balances!I$157/([1]Energy_Balances!I$157+[1]Energy_Balances!I$72),0)*M668</f>
        <v>9.6977741118472625E-4</v>
      </c>
      <c r="N674" s="1">
        <f>IFERROR([1]Energy_Balances!J$157/([1]Energy_Balances!J$157+[1]Energy_Balances!J$72),0)*N668</f>
        <v>9.8598148303653192E-4</v>
      </c>
      <c r="O674" s="1">
        <f>IFERROR([1]Energy_Balances!K$157/([1]Energy_Balances!K$157+[1]Energy_Balances!K$72),0)*O668</f>
        <v>1.5250625042868907E-3</v>
      </c>
      <c r="P674" s="1">
        <f>IFERROR([1]Energy_Balances!L$157/([1]Energy_Balances!L$157+[1]Energy_Balances!L$72),0)*P668</f>
        <v>1.5604706133434767E-3</v>
      </c>
      <c r="Q674" s="1">
        <f>IFERROR([1]Energy_Balances!M$157/([1]Energy_Balances!M$157+[1]Energy_Balances!M$72),0)*Q668</f>
        <v>3.2317981561360361E-3</v>
      </c>
      <c r="S674" s="3"/>
    </row>
    <row r="675" spans="2:19" x14ac:dyDescent="0.5">
      <c r="B675" t="str">
        <f t="shared" si="752"/>
        <v>SPS1</v>
      </c>
      <c r="C675" t="str">
        <f t="shared" si="753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IFERROR([1]Energy_Balances!F$157/([1]Energy_Balances!F$157+[1]Energy_Balances!F$72),0)*J669</f>
        <v>0</v>
      </c>
      <c r="K675" s="1">
        <f>IFERROR([1]Energy_Balances!G$157/([1]Energy_Balances!G$157+[1]Energy_Balances!G$72),0)*K669</f>
        <v>0</v>
      </c>
      <c r="L675" s="1">
        <f>IFERROR([1]Energy_Balances!H$157/([1]Energy_Balances!H$157+[1]Energy_Balances!H$72),0)*L669</f>
        <v>0</v>
      </c>
      <c r="M675" s="1">
        <f>IFERROR([1]Energy_Balances!I$157/([1]Energy_Balances!I$157+[1]Energy_Balances!I$72),0)*M669</f>
        <v>0</v>
      </c>
      <c r="N675" s="1">
        <f>IFERROR([1]Energy_Balances!J$157/([1]Energy_Balances!J$157+[1]Energy_Balances!J$72),0)*N669</f>
        <v>0</v>
      </c>
      <c r="O675" s="1">
        <f>IFERROR([1]Energy_Balances!K$157/([1]Energy_Balances!K$157+[1]Energy_Balances!K$72),0)*O669</f>
        <v>0</v>
      </c>
      <c r="P675" s="1">
        <f>IFERROR([1]Energy_Balances!L$157/([1]Energy_Balances!L$157+[1]Energy_Balances!L$72),0)*P669</f>
        <v>0</v>
      </c>
      <c r="Q675" s="1">
        <f>IFERROR([1]Energy_Balances!M$157/([1]Energy_Balances!M$157+[1]Energy_Balances!M$72),0)*Q669</f>
        <v>0</v>
      </c>
      <c r="S675" s="3"/>
    </row>
    <row r="676" spans="2:19" x14ac:dyDescent="0.5">
      <c r="B676" t="str">
        <f t="shared" ref="B676:B678" si="765">B675</f>
        <v>SPS1</v>
      </c>
      <c r="C676" t="str">
        <f t="shared" ref="C676:C678" si="766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67">SUM(G677:G678)</f>
        <v>0</v>
      </c>
      <c r="H676" s="1">
        <f t="shared" si="767"/>
        <v>0</v>
      </c>
      <c r="I676" s="1">
        <f t="shared" si="767"/>
        <v>0</v>
      </c>
      <c r="J676" s="1">
        <f t="shared" si="767"/>
        <v>0</v>
      </c>
      <c r="K676" s="1">
        <f t="shared" si="767"/>
        <v>0</v>
      </c>
      <c r="L676" s="1">
        <f t="shared" ref="L676:O676" si="768">SUM(L677:L678)</f>
        <v>0</v>
      </c>
      <c r="M676" s="1">
        <f t="shared" si="768"/>
        <v>6.5162536870063516E-3</v>
      </c>
      <c r="N676" s="1">
        <f t="shared" si="768"/>
        <v>6.2245698225376206E-3</v>
      </c>
      <c r="O676" s="1">
        <f t="shared" si="768"/>
        <v>8.7966033824417086E-3</v>
      </c>
      <c r="P676" s="1">
        <f>SUM(P677:P678)</f>
        <v>9.1008779426345159E-3</v>
      </c>
      <c r="Q676" s="1">
        <f>SUM(Q677:Q678)</f>
        <v>3.1708211099098056E-2</v>
      </c>
      <c r="S676" s="3"/>
    </row>
    <row r="677" spans="2:19" x14ac:dyDescent="0.5">
      <c r="B677" t="str">
        <f t="shared" si="765"/>
        <v>SPS1</v>
      </c>
      <c r="C677" t="str">
        <f t="shared" si="766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[1]Other_transformation!F31</f>
        <v>0</v>
      </c>
      <c r="K677" s="1">
        <f>[1]Other_transformation!G31</f>
        <v>0</v>
      </c>
      <c r="L677" s="1">
        <f>[1]Other_transformation!H31</f>
        <v>0</v>
      </c>
      <c r="M677" s="1">
        <f>[1]Other_transformation!I31</f>
        <v>6.5162536870063516E-3</v>
      </c>
      <c r="N677" s="1">
        <f>[1]Other_transformation!J31</f>
        <v>6.2245698225376206E-3</v>
      </c>
      <c r="O677" s="1">
        <f>[1]Other_transformation!K31</f>
        <v>8.7966033824417086E-3</v>
      </c>
      <c r="P677" s="1">
        <f>[1]Other_transformation!L31</f>
        <v>9.1008779426345159E-3</v>
      </c>
      <c r="Q677" s="1">
        <f>[1]Other_transformation!M31</f>
        <v>3.1708211099098056E-2</v>
      </c>
      <c r="S677" s="3"/>
    </row>
    <row r="678" spans="2:19" x14ac:dyDescent="0.5">
      <c r="B678" t="str">
        <f t="shared" si="765"/>
        <v>SPS1</v>
      </c>
      <c r="C678" t="str">
        <f t="shared" si="766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[1]Other_transformation!F32</f>
        <v>0</v>
      </c>
      <c r="K678" s="1">
        <f>[1]Other_transformation!G32</f>
        <v>0</v>
      </c>
      <c r="L678" s="1">
        <f>[1]Other_transformation!H32</f>
        <v>0</v>
      </c>
      <c r="M678" s="1">
        <f>[1]Other_transformation!I32</f>
        <v>0</v>
      </c>
      <c r="N678" s="1">
        <f>[1]Other_transformation!J32</f>
        <v>0</v>
      </c>
      <c r="O678" s="1">
        <f>[1]Other_transformation!K32</f>
        <v>0</v>
      </c>
      <c r="P678" s="1">
        <f>[1]Other_transformation!L32</f>
        <v>0</v>
      </c>
      <c r="Q678" s="1">
        <f>[1]Other_transformation!M32</f>
        <v>0</v>
      </c>
      <c r="S678" s="3"/>
    </row>
    <row r="679" spans="2:19" x14ac:dyDescent="0.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4.8308533736373194E-3</v>
      </c>
      <c r="G679" s="3">
        <f t="shared" ref="G679:K679" si="769">SUM(G680,G684,G686,G695)</f>
        <v>6.4664071092115413E-3</v>
      </c>
      <c r="H679" s="3">
        <f t="shared" si="769"/>
        <v>6.3824792602489838E-3</v>
      </c>
      <c r="I679" s="3">
        <f t="shared" si="769"/>
        <v>1.0604190404475069E-2</v>
      </c>
      <c r="J679" s="3">
        <f t="shared" si="769"/>
        <v>2.9673322930471976E-2</v>
      </c>
      <c r="K679" s="3">
        <f t="shared" si="769"/>
        <v>4.2383217801729045E-2</v>
      </c>
      <c r="L679" s="3">
        <f t="shared" ref="L679:O679" si="770">SUM(L680,L684,L686,L695)</f>
        <v>4.109297936648227E-2</v>
      </c>
      <c r="M679" s="3">
        <f t="shared" si="770"/>
        <v>0.15205934724995107</v>
      </c>
      <c r="N679" s="3">
        <f t="shared" si="770"/>
        <v>0.16491495853930332</v>
      </c>
      <c r="O679" s="3">
        <f t="shared" si="770"/>
        <v>0.64220415034548339</v>
      </c>
      <c r="P679" s="3">
        <f>SUM(P680,P684,P686,P695)</f>
        <v>0.69821581355422879</v>
      </c>
      <c r="Q679" s="3">
        <f>SUM(Q680,Q684,Q686,Q695)</f>
        <v>0.74462154971353423</v>
      </c>
      <c r="S679" s="3"/>
    </row>
    <row r="680" spans="2:19" x14ac:dyDescent="0.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4.8308533736373194E-3</v>
      </c>
      <c r="G680" s="1">
        <f t="shared" ref="G680:K680" si="771">SUM(G681:G683)</f>
        <v>6.4664071092115413E-3</v>
      </c>
      <c r="H680" s="1">
        <f t="shared" si="771"/>
        <v>6.3824792602489838E-3</v>
      </c>
      <c r="I680" s="1">
        <f t="shared" si="771"/>
        <v>1.0604190404475069E-2</v>
      </c>
      <c r="J680" s="1">
        <f t="shared" si="771"/>
        <v>2.9673322930471976E-2</v>
      </c>
      <c r="K680" s="1">
        <f t="shared" si="771"/>
        <v>4.1172595354409772E-2</v>
      </c>
      <c r="L680" s="1">
        <f t="shared" ref="L680:O680" si="772">SUM(L681:L683)</f>
        <v>3.9764333423460432E-2</v>
      </c>
      <c r="M680" s="1">
        <f t="shared" si="772"/>
        <v>0.13842255719598393</v>
      </c>
      <c r="N680" s="1">
        <f t="shared" si="772"/>
        <v>0.1518959295437218</v>
      </c>
      <c r="O680" s="1">
        <f t="shared" si="772"/>
        <v>0.62403381751328613</v>
      </c>
      <c r="P680" s="1">
        <f>SUM(P681:P683)</f>
        <v>0.67951384436473861</v>
      </c>
      <c r="Q680" s="1">
        <f>SUM(Q681:Q683)</f>
        <v>0.68466531355241333</v>
      </c>
      <c r="S680" s="3"/>
    </row>
    <row r="681" spans="2:19" x14ac:dyDescent="0.5">
      <c r="B681" t="str">
        <f t="shared" ref="B681:B697" si="773">B680</f>
        <v>SPS1</v>
      </c>
      <c r="C681" t="str">
        <f t="shared" ref="C681:C697" si="774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4.8308533736373194E-3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6.4664071092115413E-3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6.3824792602489838E-3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1.058931775139323E-2</v>
      </c>
      <c r="J681" s="1" cm="1">
        <f t="array" ref="J681">SUMPRODUCT(("SUP_ELCH2"=[1]OUT_SyntheticFuels!$C$4:$C$1000)*1,ISNUMBER(SEARCH("ELC",[1]OUT_SyntheticFuels!$A$4:$A$1000))*1,("Var_Fin"=[1]OUT_SyntheticFuels!$B$4:$B$1000)*1,[1]OUT_SyntheticFuels!I$4:I$1000)</f>
        <v>2.9278252364154905E-2</v>
      </c>
      <c r="K681" s="1" cm="1">
        <f t="array" ref="K681">SUMPRODUCT(("SUP_ELCH2"=[1]OUT_SyntheticFuels!$C$4:$C$1000)*1,ISNUMBER(SEARCH("ELC",[1]OUT_SyntheticFuels!$A$4:$A$1000))*1,("Var_Fin"=[1]OUT_SyntheticFuels!$B$4:$B$1000)*1,[1]OUT_SyntheticFuels!J$4:J$1000)</f>
        <v>3.1779620230751753E-2</v>
      </c>
      <c r="L681" s="1" cm="1">
        <f t="array" ref="L681">SUMPRODUCT(("SUP_ELCH2"=[1]OUT_SyntheticFuels!$C$4:$C$1000)*1,ISNUMBER(SEARCH("ELC",[1]OUT_SyntheticFuels!$A$4:$A$1000))*1,("Var_Fin"=[1]OUT_SyntheticFuels!$B$4:$B$1000)*1,[1]OUT_SyntheticFuels!K$4:K$1000)</f>
        <v>2.8009119025955018E-2</v>
      </c>
      <c r="M681" s="1" cm="1">
        <f t="array" ref="M681">SUMPRODUCT(("SUP_ELCH2"=[1]OUT_SyntheticFuels!$C$4:$C$1000)*1,ISNUMBER(SEARCH("ELC",[1]OUT_SyntheticFuels!$A$4:$A$1000))*1,("Var_Fin"=[1]OUT_SyntheticFuels!$B$4:$B$1000)*1,[1]OUT_SyntheticFuels!L$4:L$1000)</f>
        <v>0.12335214936580199</v>
      </c>
      <c r="N681" s="1" cm="1">
        <f t="array" ref="N681">SUMPRODUCT(("SUP_ELCH2"=[1]OUT_SyntheticFuels!$C$4:$C$1000)*1,ISNUMBER(SEARCH("ELC",[1]OUT_SyntheticFuels!$A$4:$A$1000))*1,("Var_Fin"=[1]OUT_SyntheticFuels!$B$4:$B$1000)*1,[1]OUT_SyntheticFuels!M$4:M$1000)</f>
        <v>0.13819800668867058</v>
      </c>
      <c r="O681" s="1" cm="1">
        <f t="array" ref="O681">SUMPRODUCT(("SUP_ELCH2"=[1]OUT_SyntheticFuels!$C$4:$C$1000)*1,ISNUMBER(SEARCH("ELC",[1]OUT_SyntheticFuels!$A$4:$A$1000))*1,("Var_Fin"=[1]OUT_SyntheticFuels!$B$4:$B$1000)*1,[1]OUT_SyntheticFuels!N$4:N$1000)</f>
        <v>0.6088921774791155</v>
      </c>
      <c r="P681" s="1" cm="1">
        <f t="array" ref="P681">SUMPRODUCT(("SUP_ELCH2"=[1]OUT_SyntheticFuels!$C$4:$C$1000)*1,ISNUMBER(SEARCH("ELC",[1]OUT_SyntheticFuels!$A$4:$A$1000))*1,("Var_Fin"=[1]OUT_SyntheticFuels!$B$4:$B$1000)*1,[1]OUT_SyntheticFuels!O$4:O$1000)</f>
        <v>0.66486315239519866</v>
      </c>
      <c r="Q681" s="1" cm="1">
        <f t="array" ref="Q681">SUMPRODUCT(("SUP_ELCH2"=[1]OUT_SyntheticFuels!$C$4:$C$1000)*1,ISNUMBER(SEARCH("ELC",[1]OUT_SyntheticFuels!$A$4:$A$1000))*1,("Var_Fin"=[1]OUT_SyntheticFuels!$B$4:$B$1000)*1,[1]OUT_SyntheticFuels!P$4:P$1000)</f>
        <v>0.65633300581793164</v>
      </c>
      <c r="S681" s="3"/>
    </row>
    <row r="682" spans="2:19" x14ac:dyDescent="0.5">
      <c r="B682" t="str">
        <f t="shared" ref="B682" si="775">B681</f>
        <v>SPS1</v>
      </c>
      <c r="C682" t="str">
        <f t="shared" ref="C682" si="776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1.4872653081838676E-5</v>
      </c>
      <c r="J682" s="1" cm="1">
        <f t="array" ref="J682">SUMPRODUCT(("SUP_ELCH2_D"=[1]OUT_SyntheticFuels!$C$4:$C$1000)*1,ISNUMBER(SEARCH("ELC",[1]OUT_SyntheticFuels!$A$4:$A$1000))*1,("Var_Fin"=[1]OUT_SyntheticFuels!$B$4:$B$1000)*1,[1]OUT_SyntheticFuels!I$4:I$1000)</f>
        <v>3.9507056631707122E-4</v>
      </c>
      <c r="K682" s="1" cm="1">
        <f t="array" ref="K682">SUMPRODUCT(("SUP_ELCH2_D"=[1]OUT_SyntheticFuels!$C$4:$C$1000)*1,ISNUMBER(SEARCH("ELC",[1]OUT_SyntheticFuels!$A$4:$A$1000))*1,("Var_Fin"=[1]OUT_SyntheticFuels!$B$4:$B$1000)*1,[1]OUT_SyntheticFuels!J$4:J$1000)</f>
        <v>1.2911172069829042E-3</v>
      </c>
      <c r="L682" s="1" cm="1">
        <f t="array" ref="L682">SUMPRODUCT(("SUP_ELCH2_D"=[1]OUT_SyntheticFuels!$C$4:$C$1000)*1,ISNUMBER(SEARCH("ELC",[1]OUT_SyntheticFuels!$A$4:$A$1000))*1,("Var_Fin"=[1]OUT_SyntheticFuels!$B$4:$B$1000)*1,[1]OUT_SyntheticFuels!K$4:K$1000)</f>
        <v>1.5559028937201164E-3</v>
      </c>
      <c r="M682" s="1" cm="1">
        <f t="array" ref="M682">SUMPRODUCT(("SUP_ELCH2_D"=[1]OUT_SyntheticFuels!$C$4:$C$1000)*1,ISNUMBER(SEARCH("ELC",[1]OUT_SyntheticFuels!$A$4:$A$1000))*1,("Var_Fin"=[1]OUT_SyntheticFuels!$B$4:$B$1000)*1,[1]OUT_SyntheticFuels!L$4:L$1000)</f>
        <v>1.5673088346550761E-3</v>
      </c>
      <c r="N682" s="1" cm="1">
        <f t="array" ref="N682">SUMPRODUCT(("SUP_ELCH2_D"=[1]OUT_SyntheticFuels!$C$4:$C$1000)*1,ISNUMBER(SEARCH("ELC",[1]OUT_SyntheticFuels!$A$4:$A$1000))*1,("Var_Fin"=[1]OUT_SyntheticFuels!$B$4:$B$1000)*1,[1]OUT_SyntheticFuels!M$4:M$1000)</f>
        <v>1.5713057425249511E-3</v>
      </c>
      <c r="O682" s="1" cm="1">
        <f t="array" ref="O682">SUMPRODUCT(("SUP_ELCH2_D"=[1]OUT_SyntheticFuels!$C$4:$C$1000)*1,ISNUMBER(SEARCH("ELC",[1]OUT_SyntheticFuels!$A$4:$A$1000))*1,("Var_Fin"=[1]OUT_SyntheticFuels!$B$4:$B$1000)*1,[1]OUT_SyntheticFuels!N$4:N$1000)</f>
        <v>1.6176459896816049E-3</v>
      </c>
      <c r="P682" s="1" cm="1">
        <f t="array" ref="P682">SUMPRODUCT(("SUP_ELCH2_D"=[1]OUT_SyntheticFuels!$C$4:$C$1000)*1,ISNUMBER(SEARCH("ELC",[1]OUT_SyntheticFuels!$A$4:$A$1000))*1,("Var_Fin"=[1]OUT_SyntheticFuels!$B$4:$B$1000)*1,[1]OUT_SyntheticFuels!O$4:O$1000)</f>
        <v>1.3253956669239976E-3</v>
      </c>
      <c r="Q682" s="1" cm="1">
        <f t="array" ref="Q682">SUMPRODUCT(("SUP_ELCH2_D"=[1]OUT_SyntheticFuels!$C$4:$C$1000)*1,ISNUMBER(SEARCH("ELC",[1]OUT_SyntheticFuels!$A$4:$A$1000))*1,("Var_Fin"=[1]OUT_SyntheticFuels!$B$4:$B$1000)*1,[1]OUT_SyntheticFuels!P$4:P$1000)</f>
        <v>2.6206427251063693E-3</v>
      </c>
      <c r="S682" s="3"/>
    </row>
    <row r="683" spans="2:19" x14ac:dyDescent="0.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SUMPRODUCT(("SUP_ELCH2_SOEC"=[1]OUT_SyntheticFuels!$C$4:$C$1000)*1,ISNUMBER(SEARCH("ELC",[1]OUT_SyntheticFuels!$A$4:$A$1000))*1,("Var_Fin"=[1]OUT_SyntheticFuels!$B$4:$B$1000)*1,[1]OUT_SyntheticFuels!I$4:I$1000)</f>
        <v>0</v>
      </c>
      <c r="K683" s="1" cm="1">
        <f t="array" ref="K683">SUMPRODUCT(("SUP_ELCH2_SOEC"=[1]OUT_SyntheticFuels!$C$4:$C$1000)*1,ISNUMBER(SEARCH("ELC",[1]OUT_SyntheticFuels!$A$4:$A$1000))*1,("Var_Fin"=[1]OUT_SyntheticFuels!$B$4:$B$1000)*1,[1]OUT_SyntheticFuels!J$4:J$1000)</f>
        <v>8.1018579166751131E-3</v>
      </c>
      <c r="L683" s="1" cm="1">
        <f t="array" ref="L683">SUMPRODUCT(("SUP_ELCH2_SOEC"=[1]OUT_SyntheticFuels!$C$4:$C$1000)*1,ISNUMBER(SEARCH("ELC",[1]OUT_SyntheticFuels!$A$4:$A$1000))*1,("Var_Fin"=[1]OUT_SyntheticFuels!$B$4:$B$1000)*1,[1]OUT_SyntheticFuels!K$4:K$1000)</f>
        <v>1.0199311503785297E-2</v>
      </c>
      <c r="M683" s="1" cm="1">
        <f t="array" ref="M683">SUMPRODUCT(("SUP_ELCH2_SOEC"=[1]OUT_SyntheticFuels!$C$4:$C$1000)*1,ISNUMBER(SEARCH("ELC",[1]OUT_SyntheticFuels!$A$4:$A$1000))*1,("Var_Fin"=[1]OUT_SyntheticFuels!$B$4:$B$1000)*1,[1]OUT_SyntheticFuels!L$4:L$1000)</f>
        <v>1.3503098995526866E-2</v>
      </c>
      <c r="N683" s="1" cm="1">
        <f t="array" ref="N683">SUMPRODUCT(("SUP_ELCH2_SOEC"=[1]OUT_SyntheticFuels!$C$4:$C$1000)*1,ISNUMBER(SEARCH("ELC",[1]OUT_SyntheticFuels!$A$4:$A$1000))*1,("Var_Fin"=[1]OUT_SyntheticFuels!$B$4:$B$1000)*1,[1]OUT_SyntheticFuels!M$4:M$1000)</f>
        <v>1.2126617112526274E-2</v>
      </c>
      <c r="O683" s="1" cm="1">
        <f t="array" ref="O683">SUMPRODUCT(("SUP_ELCH2_SOEC"=[1]OUT_SyntheticFuels!$C$4:$C$1000)*1,ISNUMBER(SEARCH("ELC",[1]OUT_SyntheticFuels!$A$4:$A$1000))*1,("Var_Fin"=[1]OUT_SyntheticFuels!$B$4:$B$1000)*1,[1]OUT_SyntheticFuels!N$4:N$1000)</f>
        <v>1.3523994044488981E-2</v>
      </c>
      <c r="P683" s="1" cm="1">
        <f t="array" ref="P683">SUMPRODUCT(("SUP_ELCH2_SOEC"=[1]OUT_SyntheticFuels!$C$4:$C$1000)*1,ISNUMBER(SEARCH("ELC",[1]OUT_SyntheticFuels!$A$4:$A$1000))*1,("Var_Fin"=[1]OUT_SyntheticFuels!$B$4:$B$1000)*1,[1]OUT_SyntheticFuels!O$4:O$1000)</f>
        <v>1.3325296302615929E-2</v>
      </c>
      <c r="Q683" s="1" cm="1">
        <f t="array" ref="Q683">SUMPRODUCT(("SUP_ELCH2_SOEC"=[1]OUT_SyntheticFuels!$C$4:$C$1000)*1,ISNUMBER(SEARCH("ELC",[1]OUT_SyntheticFuels!$A$4:$A$1000))*1,("Var_Fin"=[1]OUT_SyntheticFuels!$B$4:$B$1000)*1,[1]OUT_SyntheticFuels!P$4:P$1000)</f>
        <v>2.5711665009375419E-2</v>
      </c>
      <c r="S683" s="3"/>
    </row>
    <row r="684" spans="2:19" x14ac:dyDescent="0.5">
      <c r="B684" t="str">
        <f t="shared" ref="B684:B685" si="777">B683</f>
        <v>SPS1</v>
      </c>
      <c r="C684" t="str">
        <f t="shared" ref="C684:C685" si="778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O684" si="779">G685</f>
        <v>0</v>
      </c>
      <c r="H684" s="1">
        <f t="shared" si="779"/>
        <v>0</v>
      </c>
      <c r="I684" s="1">
        <f t="shared" si="779"/>
        <v>0</v>
      </c>
      <c r="J684" s="1">
        <f t="shared" si="779"/>
        <v>0</v>
      </c>
      <c r="K684" s="1">
        <f t="shared" si="779"/>
        <v>1.2106224473192723E-3</v>
      </c>
      <c r="L684" s="1">
        <f t="shared" si="779"/>
        <v>1.3286459430218403E-3</v>
      </c>
      <c r="M684" s="1">
        <f t="shared" si="779"/>
        <v>1.5003443328363169E-3</v>
      </c>
      <c r="N684" s="1">
        <f t="shared" si="779"/>
        <v>1.3474019013918065E-3</v>
      </c>
      <c r="O684" s="1">
        <f t="shared" si="779"/>
        <v>1.5026660049432185E-3</v>
      </c>
      <c r="P684" s="1">
        <f>P685</f>
        <v>1.4805884780684335E-3</v>
      </c>
      <c r="Q684" s="1">
        <f>Q685</f>
        <v>2.8568516677083757E-3</v>
      </c>
      <c r="S684" s="3"/>
    </row>
    <row r="685" spans="2:19" x14ac:dyDescent="0.5">
      <c r="B685" t="str">
        <f t="shared" si="777"/>
        <v>SPS1</v>
      </c>
      <c r="C685" t="str">
        <f t="shared" si="778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SUMPRODUCT(("SUP_ELCH2_SOEC"=[1]OUT_SyntheticFuels!$C$4:$C$1000)*1,ISNUMBER(SEARCH("CHEAT",[1]OUT_SyntheticFuels!$A$4:$A$1000))*1,("Var_Fin"=[1]OUT_SyntheticFuels!$B$4:$B$1000)*1,[1]OUT_SyntheticFuels!I$4:I$1000)</f>
        <v>0</v>
      </c>
      <c r="K685" s="1" cm="1">
        <f t="array" ref="K685">SUMPRODUCT(("SUP_ELCH2_SOEC"=[1]OUT_SyntheticFuels!$C$4:$C$1000)*1,ISNUMBER(SEARCH("CHEAT",[1]OUT_SyntheticFuels!$A$4:$A$1000))*1,("Var_Fin"=[1]OUT_SyntheticFuels!$B$4:$B$1000)*1,[1]OUT_SyntheticFuels!J$4:J$1000)</f>
        <v>1.2106224473192723E-3</v>
      </c>
      <c r="L685" s="1" cm="1">
        <f t="array" ref="L685">SUMPRODUCT(("SUP_ELCH2_SOEC"=[1]OUT_SyntheticFuels!$C$4:$C$1000)*1,ISNUMBER(SEARCH("CHEAT",[1]OUT_SyntheticFuels!$A$4:$A$1000))*1,("Var_Fin"=[1]OUT_SyntheticFuels!$B$4:$B$1000)*1,[1]OUT_SyntheticFuels!K$4:K$1000)</f>
        <v>1.3286459430218403E-3</v>
      </c>
      <c r="M685" s="1" cm="1">
        <f t="array" ref="M685">SUMPRODUCT(("SUP_ELCH2_SOEC"=[1]OUT_SyntheticFuels!$C$4:$C$1000)*1,ISNUMBER(SEARCH("CHEAT",[1]OUT_SyntheticFuels!$A$4:$A$1000))*1,("Var_Fin"=[1]OUT_SyntheticFuels!$B$4:$B$1000)*1,[1]OUT_SyntheticFuels!L$4:L$1000)</f>
        <v>1.5003443328363169E-3</v>
      </c>
      <c r="N685" s="1" cm="1">
        <f t="array" ref="N685">SUMPRODUCT(("SUP_ELCH2_SOEC"=[1]OUT_SyntheticFuels!$C$4:$C$1000)*1,ISNUMBER(SEARCH("CHEAT",[1]OUT_SyntheticFuels!$A$4:$A$1000))*1,("Var_Fin"=[1]OUT_SyntheticFuels!$B$4:$B$1000)*1,[1]OUT_SyntheticFuels!M$4:M$1000)</f>
        <v>1.3474019013918065E-3</v>
      </c>
      <c r="O685" s="1" cm="1">
        <f t="array" ref="O685">SUMPRODUCT(("SUP_ELCH2_SOEC"=[1]OUT_SyntheticFuels!$C$4:$C$1000)*1,ISNUMBER(SEARCH("CHEAT",[1]OUT_SyntheticFuels!$A$4:$A$1000))*1,("Var_Fin"=[1]OUT_SyntheticFuels!$B$4:$B$1000)*1,[1]OUT_SyntheticFuels!N$4:N$1000)</f>
        <v>1.5026660049432185E-3</v>
      </c>
      <c r="P685" s="1" cm="1">
        <f t="array" ref="P685">SUMPRODUCT(("SUP_ELCH2_SOEC"=[1]OUT_SyntheticFuels!$C$4:$C$1000)*1,ISNUMBER(SEARCH("CHEAT",[1]OUT_SyntheticFuels!$A$4:$A$1000))*1,("Var_Fin"=[1]OUT_SyntheticFuels!$B$4:$B$1000)*1,[1]OUT_SyntheticFuels!O$4:O$1000)</f>
        <v>1.4805884780684335E-3</v>
      </c>
      <c r="Q685" s="1" cm="1">
        <f t="array" ref="Q685">SUMPRODUCT(("SUP_ELCH2_SOEC"=[1]OUT_SyntheticFuels!$C$4:$C$1000)*1,ISNUMBER(SEARCH("CHEAT",[1]OUT_SyntheticFuels!$A$4:$A$1000))*1,("Var_Fin"=[1]OUT_SyntheticFuels!$B$4:$B$1000)*1,[1]OUT_SyntheticFuels!P$4:P$1000)</f>
        <v>2.8568516677083757E-3</v>
      </c>
      <c r="S685" s="3"/>
    </row>
    <row r="686" spans="2:19" x14ac:dyDescent="0.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80">SUM(G687:G688)</f>
        <v>0</v>
      </c>
      <c r="H686" s="1">
        <f t="shared" si="780"/>
        <v>0</v>
      </c>
      <c r="I686" s="1">
        <f t="shared" si="780"/>
        <v>0</v>
      </c>
      <c r="J686" s="1">
        <f t="shared" si="780"/>
        <v>0</v>
      </c>
      <c r="K686" s="1">
        <f t="shared" si="780"/>
        <v>0</v>
      </c>
      <c r="L686" s="1">
        <f t="shared" ref="L686:O686" si="781">SUM(L687:L688)</f>
        <v>0</v>
      </c>
      <c r="M686" s="1">
        <f t="shared" si="781"/>
        <v>1.2760229094535885E-3</v>
      </c>
      <c r="N686" s="1">
        <f t="shared" si="781"/>
        <v>1.2973440566270164E-3</v>
      </c>
      <c r="O686" s="1">
        <f t="shared" si="781"/>
        <v>2.0066611898511702E-3</v>
      </c>
      <c r="P686" s="1">
        <f>SUM(P687:P688)</f>
        <v>2.0532508070308891E-3</v>
      </c>
      <c r="Q686" s="1">
        <f>SUM(Q687:Q688)</f>
        <v>4.2523659949158374E-3</v>
      </c>
      <c r="S686" s="3"/>
    </row>
    <row r="687" spans="2:19" x14ac:dyDescent="0.5">
      <c r="B687" t="str">
        <f t="shared" si="773"/>
        <v>SPS1</v>
      </c>
      <c r="C687" t="str">
        <f t="shared" si="774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SUMPRODUCT(("SUP_ngaH2"=[1]OUT_SyntheticFuels!$C$4:$C$1000)*1,ISNUMBER(SEARCH("nga",[1]OUT_SyntheticFuels!$A$4:$A$1000))*1,("Var_Fin"=[1]OUT_SyntheticFuels!$B$4:$B$1000)*1,[1]OUT_SyntheticFuels!I$4:I$1000)</f>
        <v>0</v>
      </c>
      <c r="K687" s="1" cm="1">
        <f t="array" ref="K687">SUMPRODUCT(("SUP_ngaH2"=[1]OUT_SyntheticFuels!$C$4:$C$1000)*1,ISNUMBER(SEARCH("nga",[1]OUT_SyntheticFuels!$A$4:$A$1000))*1,("Var_Fin"=[1]OUT_SyntheticFuels!$B$4:$B$1000)*1,[1]OUT_SyntheticFuels!J$4:J$1000)</f>
        <v>0</v>
      </c>
      <c r="L687" s="1" cm="1">
        <f t="array" ref="L687">SUMPRODUCT(("SUP_ngaH2"=[1]OUT_SyntheticFuels!$C$4:$C$1000)*1,ISNUMBER(SEARCH("nga",[1]OUT_SyntheticFuels!$A$4:$A$1000))*1,("Var_Fin"=[1]OUT_SyntheticFuels!$B$4:$B$1000)*1,[1]OUT_SyntheticFuels!K$4:K$1000)</f>
        <v>0</v>
      </c>
      <c r="M687" s="1" cm="1">
        <f t="array" ref="M687">SUMPRODUCT(("SUP_ngaH2"=[1]OUT_SyntheticFuels!$C$4:$C$1000)*1,ISNUMBER(SEARCH("nga",[1]OUT_SyntheticFuels!$A$4:$A$1000))*1,("Var_Fin"=[1]OUT_SyntheticFuels!$B$4:$B$1000)*1,[1]OUT_SyntheticFuels!L$4:L$1000)</f>
        <v>1.2760229094535885E-3</v>
      </c>
      <c r="N687" s="1" cm="1">
        <f t="array" ref="N687">SUMPRODUCT(("SUP_ngaH2"=[1]OUT_SyntheticFuels!$C$4:$C$1000)*1,ISNUMBER(SEARCH("nga",[1]OUT_SyntheticFuels!$A$4:$A$1000))*1,("Var_Fin"=[1]OUT_SyntheticFuels!$B$4:$B$1000)*1,[1]OUT_SyntheticFuels!M$4:M$1000)</f>
        <v>1.2973440566270164E-3</v>
      </c>
      <c r="O687" s="1" cm="1">
        <f t="array" ref="O687">SUMPRODUCT(("SUP_ngaH2"=[1]OUT_SyntheticFuels!$C$4:$C$1000)*1,ISNUMBER(SEARCH("nga",[1]OUT_SyntheticFuels!$A$4:$A$1000))*1,("Var_Fin"=[1]OUT_SyntheticFuels!$B$4:$B$1000)*1,[1]OUT_SyntheticFuels!N$4:N$1000)</f>
        <v>2.0066611898511702E-3</v>
      </c>
      <c r="P687" s="1" cm="1">
        <f t="array" ref="P687">SUMPRODUCT(("SUP_ngaH2"=[1]OUT_SyntheticFuels!$C$4:$C$1000)*1,ISNUMBER(SEARCH("nga",[1]OUT_SyntheticFuels!$A$4:$A$1000))*1,("Var_Fin"=[1]OUT_SyntheticFuels!$B$4:$B$1000)*1,[1]OUT_SyntheticFuels!O$4:O$1000)</f>
        <v>2.0532508070308891E-3</v>
      </c>
      <c r="Q687" s="1" cm="1">
        <f t="array" ref="Q687">SUMPRODUCT(("SUP_ngaH2"=[1]OUT_SyntheticFuels!$C$4:$C$1000)*1,ISNUMBER(SEARCH("nga",[1]OUT_SyntheticFuels!$A$4:$A$1000))*1,("Var_Fin"=[1]OUT_SyntheticFuels!$B$4:$B$1000)*1,[1]OUT_SyntheticFuels!P$4:P$1000)</f>
        <v>4.2523659949158374E-3</v>
      </c>
      <c r="S687" s="3"/>
    </row>
    <row r="688" spans="2:19" x14ac:dyDescent="0.5">
      <c r="B688" t="str">
        <f t="shared" si="773"/>
        <v>SPS1</v>
      </c>
      <c r="C688" t="str">
        <f t="shared" si="774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SUMPRODUCT(("SUP_ngaH2ccs"=[1]OUT_SyntheticFuels!$C$4:$C$1000)*1,ISNUMBER(SEARCH("nga",[1]OUT_SyntheticFuels!$A$4:$A$1000))*1,("Var_Fin"=[1]OUT_SyntheticFuels!$B$4:$B$1000)*1,[1]OUT_SyntheticFuels!I$4:I$1000)</f>
        <v>0</v>
      </c>
      <c r="K688" s="1" cm="1">
        <f t="array" ref="K688">SUMPRODUCT(("SUP_ngaH2ccs"=[1]OUT_SyntheticFuels!$C$4:$C$1000)*1,ISNUMBER(SEARCH("nga",[1]OUT_SyntheticFuels!$A$4:$A$1000))*1,("Var_Fin"=[1]OUT_SyntheticFuels!$B$4:$B$1000)*1,[1]OUT_SyntheticFuels!J$4:J$1000)</f>
        <v>0</v>
      </c>
      <c r="L688" s="1" cm="1">
        <f t="array" ref="L688">SUMPRODUCT(("SUP_ngaH2ccs"=[1]OUT_SyntheticFuels!$C$4:$C$1000)*1,ISNUMBER(SEARCH("nga",[1]OUT_SyntheticFuels!$A$4:$A$1000))*1,("Var_Fin"=[1]OUT_SyntheticFuels!$B$4:$B$1000)*1,[1]OUT_SyntheticFuels!K$4:K$1000)</f>
        <v>0</v>
      </c>
      <c r="M688" s="1" cm="1">
        <f t="array" ref="M688">SUMPRODUCT(("SUP_ngaH2ccs"=[1]OUT_SyntheticFuels!$C$4:$C$1000)*1,ISNUMBER(SEARCH("nga",[1]OUT_SyntheticFuels!$A$4:$A$1000))*1,("Var_Fin"=[1]OUT_SyntheticFuels!$B$4:$B$1000)*1,[1]OUT_SyntheticFuels!L$4:L$1000)</f>
        <v>0</v>
      </c>
      <c r="N688" s="1" cm="1">
        <f t="array" ref="N688">SUMPRODUCT(("SUP_ngaH2ccs"=[1]OUT_SyntheticFuels!$C$4:$C$1000)*1,ISNUMBER(SEARCH("nga",[1]OUT_SyntheticFuels!$A$4:$A$1000))*1,("Var_Fin"=[1]OUT_SyntheticFuels!$B$4:$B$1000)*1,[1]OUT_SyntheticFuels!M$4:M$1000)</f>
        <v>0</v>
      </c>
      <c r="O688" s="1" cm="1">
        <f t="array" ref="O688">SUMPRODUCT(("SUP_ngaH2ccs"=[1]OUT_SyntheticFuels!$C$4:$C$1000)*1,ISNUMBER(SEARCH("nga",[1]OUT_SyntheticFuels!$A$4:$A$1000))*1,("Var_Fin"=[1]OUT_SyntheticFuels!$B$4:$B$1000)*1,[1]OUT_SyntheticFuels!N$4:N$1000)</f>
        <v>0</v>
      </c>
      <c r="P688" s="1" cm="1">
        <f t="array" ref="P688">SUMPRODUCT(("SUP_ngaH2ccs"=[1]OUT_SyntheticFuels!$C$4:$C$1000)*1,ISNUMBER(SEARCH("nga",[1]OUT_SyntheticFuels!$A$4:$A$1000))*1,("Var_Fin"=[1]OUT_SyntheticFuels!$B$4:$B$1000)*1,[1]OUT_SyntheticFuels!O$4:O$1000)</f>
        <v>0</v>
      </c>
      <c r="Q688" s="1" cm="1">
        <f t="array" ref="Q688">SUMPRODUCT(("SUP_ngaH2ccs"=[1]OUT_SyntheticFuels!$C$4:$C$1000)*1,ISNUMBER(SEARCH("nga",[1]OUT_SyntheticFuels!$A$4:$A$1000))*1,("Var_Fin"=[1]OUT_SyntheticFuels!$B$4:$B$1000)*1,[1]OUT_SyntheticFuels!P$4:P$1000)</f>
        <v>0</v>
      </c>
      <c r="S688" s="3"/>
    </row>
    <row r="689" spans="2:19" x14ac:dyDescent="0.5">
      <c r="B689" t="str">
        <f t="shared" si="773"/>
        <v>SPS1</v>
      </c>
      <c r="C689" t="str">
        <f t="shared" si="774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82">G686-G692</f>
        <v>0</v>
      </c>
      <c r="H689" s="1">
        <f t="shared" si="782"/>
        <v>0</v>
      </c>
      <c r="I689" s="1">
        <f t="shared" si="782"/>
        <v>0</v>
      </c>
      <c r="J689" s="1">
        <f t="shared" si="782"/>
        <v>0</v>
      </c>
      <c r="K689" s="1">
        <f t="shared" si="782"/>
        <v>0</v>
      </c>
      <c r="L689" s="1">
        <f t="shared" ref="L689:O689" si="783">L686-L692</f>
        <v>0</v>
      </c>
      <c r="M689" s="1">
        <f t="shared" si="783"/>
        <v>0</v>
      </c>
      <c r="N689" s="1">
        <f t="shared" si="783"/>
        <v>0</v>
      </c>
      <c r="O689" s="1">
        <f t="shared" si="783"/>
        <v>0</v>
      </c>
      <c r="P689" s="1">
        <f t="shared" ref="P689:Q691" si="784">P686-P692</f>
        <v>0</v>
      </c>
      <c r="Q689" s="1">
        <f t="shared" si="784"/>
        <v>0</v>
      </c>
      <c r="S689" s="3"/>
    </row>
    <row r="690" spans="2:19" x14ac:dyDescent="0.5">
      <c r="B690" t="str">
        <f t="shared" si="773"/>
        <v>SPS1</v>
      </c>
      <c r="C690" t="str">
        <f t="shared" si="774"/>
        <v>CH</v>
      </c>
      <c r="D690" t="s">
        <v>609</v>
      </c>
      <c r="E690" s="5" t="s">
        <v>8</v>
      </c>
      <c r="F690" s="1">
        <f t="shared" ref="F690:K690" si="785">F687-F693</f>
        <v>0</v>
      </c>
      <c r="G690" s="1">
        <f t="shared" si="785"/>
        <v>0</v>
      </c>
      <c r="H690" s="1">
        <f t="shared" si="785"/>
        <v>0</v>
      </c>
      <c r="I690" s="1">
        <f t="shared" si="785"/>
        <v>0</v>
      </c>
      <c r="J690" s="1">
        <f t="shared" si="785"/>
        <v>0</v>
      </c>
      <c r="K690" s="1">
        <f t="shared" si="785"/>
        <v>0</v>
      </c>
      <c r="L690" s="1">
        <f t="shared" ref="L690:O690" si="786">L687-L693</f>
        <v>0</v>
      </c>
      <c r="M690" s="1">
        <f t="shared" si="786"/>
        <v>0</v>
      </c>
      <c r="N690" s="1">
        <f t="shared" si="786"/>
        <v>0</v>
      </c>
      <c r="O690" s="1">
        <f t="shared" si="786"/>
        <v>0</v>
      </c>
      <c r="P690" s="1">
        <f t="shared" si="784"/>
        <v>0</v>
      </c>
      <c r="Q690" s="1">
        <f t="shared" si="784"/>
        <v>0</v>
      </c>
      <c r="S690" s="3"/>
    </row>
    <row r="691" spans="2:19" x14ac:dyDescent="0.5">
      <c r="B691" t="str">
        <f t="shared" si="773"/>
        <v>SPS1</v>
      </c>
      <c r="C691" t="str">
        <f t="shared" si="774"/>
        <v>CH</v>
      </c>
      <c r="D691" t="s">
        <v>610</v>
      </c>
      <c r="E691" s="5" t="s">
        <v>8</v>
      </c>
      <c r="F691" s="1">
        <f t="shared" ref="F691:K691" si="787">F688-F694</f>
        <v>0</v>
      </c>
      <c r="G691" s="1">
        <f t="shared" si="787"/>
        <v>0</v>
      </c>
      <c r="H691" s="1">
        <f t="shared" si="787"/>
        <v>0</v>
      </c>
      <c r="I691" s="1">
        <f t="shared" si="787"/>
        <v>0</v>
      </c>
      <c r="J691" s="1">
        <f t="shared" si="787"/>
        <v>0</v>
      </c>
      <c r="K691" s="1">
        <f t="shared" si="787"/>
        <v>0</v>
      </c>
      <c r="L691" s="1">
        <f t="shared" ref="L691:O691" si="788">L688-L694</f>
        <v>0</v>
      </c>
      <c r="M691" s="1">
        <f t="shared" si="788"/>
        <v>0</v>
      </c>
      <c r="N691" s="1">
        <f t="shared" si="788"/>
        <v>0</v>
      </c>
      <c r="O691" s="1">
        <f t="shared" si="788"/>
        <v>0</v>
      </c>
      <c r="P691" s="1">
        <f t="shared" si="784"/>
        <v>0</v>
      </c>
      <c r="Q691" s="1">
        <f t="shared" si="784"/>
        <v>0</v>
      </c>
      <c r="S691" s="3"/>
    </row>
    <row r="692" spans="2:19" x14ac:dyDescent="0.5">
      <c r="B692" t="str">
        <f t="shared" si="773"/>
        <v>SPS1</v>
      </c>
      <c r="C692" t="str">
        <f t="shared" si="774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89">SUM(G693:G694)</f>
        <v>0</v>
      </c>
      <c r="H692" s="1">
        <f t="shared" si="789"/>
        <v>0</v>
      </c>
      <c r="I692" s="1">
        <f t="shared" si="789"/>
        <v>0</v>
      </c>
      <c r="J692" s="1">
        <f t="shared" si="789"/>
        <v>0</v>
      </c>
      <c r="K692" s="1">
        <f t="shared" si="789"/>
        <v>0</v>
      </c>
      <c r="L692" s="1">
        <f t="shared" ref="L692:O692" si="790">SUM(L693:L694)</f>
        <v>0</v>
      </c>
      <c r="M692" s="1">
        <f t="shared" si="790"/>
        <v>1.2760229094535885E-3</v>
      </c>
      <c r="N692" s="1">
        <f t="shared" si="790"/>
        <v>1.2973440566270164E-3</v>
      </c>
      <c r="O692" s="1">
        <f t="shared" si="790"/>
        <v>2.0066611898511702E-3</v>
      </c>
      <c r="P692" s="1">
        <f>SUM(P693:P694)</f>
        <v>2.0532508070308891E-3</v>
      </c>
      <c r="Q692" s="1">
        <f>SUM(Q693:Q694)</f>
        <v>4.2523659949158374E-3</v>
      </c>
      <c r="S692" s="3"/>
    </row>
    <row r="693" spans="2:19" x14ac:dyDescent="0.5">
      <c r="B693" t="str">
        <f t="shared" si="773"/>
        <v>SPS1</v>
      </c>
      <c r="C693" t="str">
        <f t="shared" si="774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91">IFERROR(G674/G668,0)*G687</f>
        <v>0</v>
      </c>
      <c r="H693" s="1">
        <f t="shared" si="791"/>
        <v>0</v>
      </c>
      <c r="I693" s="1">
        <f t="shared" si="791"/>
        <v>0</v>
      </c>
      <c r="J693" s="1">
        <f t="shared" si="791"/>
        <v>0</v>
      </c>
      <c r="K693" s="1">
        <f t="shared" si="791"/>
        <v>0</v>
      </c>
      <c r="L693" s="1">
        <f t="shared" ref="L693:O693" si="792">IFERROR(L674/L668,0)*L687</f>
        <v>0</v>
      </c>
      <c r="M693" s="1">
        <f t="shared" si="792"/>
        <v>1.2760229094535885E-3</v>
      </c>
      <c r="N693" s="1">
        <f t="shared" si="792"/>
        <v>1.2973440566270164E-3</v>
      </c>
      <c r="O693" s="1">
        <f t="shared" si="792"/>
        <v>2.0066611898511702E-3</v>
      </c>
      <c r="P693" s="1">
        <f>IFERROR(P674/P668,0)*P687</f>
        <v>2.0532508070308891E-3</v>
      </c>
      <c r="Q693" s="1">
        <f>IFERROR(Q674/Q668,0)*Q687</f>
        <v>4.2523659949158374E-3</v>
      </c>
      <c r="S693" s="3"/>
    </row>
    <row r="694" spans="2:19" x14ac:dyDescent="0.5">
      <c r="B694" t="str">
        <f t="shared" si="773"/>
        <v>SPS1</v>
      </c>
      <c r="C694" t="str">
        <f t="shared" si="774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91"/>
        <v>0</v>
      </c>
      <c r="H694" s="1">
        <f t="shared" si="791"/>
        <v>0</v>
      </c>
      <c r="I694" s="1">
        <f t="shared" si="791"/>
        <v>0</v>
      </c>
      <c r="J694" s="1">
        <f t="shared" si="791"/>
        <v>0</v>
      </c>
      <c r="K694" s="1">
        <f t="shared" si="791"/>
        <v>0</v>
      </c>
      <c r="L694" s="1">
        <f t="shared" ref="L694:O694" si="793">IFERROR(L675/L669,0)*L688</f>
        <v>0</v>
      </c>
      <c r="M694" s="1">
        <f t="shared" si="793"/>
        <v>0</v>
      </c>
      <c r="N694" s="1">
        <f t="shared" si="793"/>
        <v>0</v>
      </c>
      <c r="O694" s="1">
        <f t="shared" si="793"/>
        <v>0</v>
      </c>
      <c r="P694" s="1">
        <f>IFERROR(P675/P669,0)*P688</f>
        <v>0</v>
      </c>
      <c r="Q694" s="1">
        <f>IFERROR(Q675/Q669,0)*Q688</f>
        <v>0</v>
      </c>
      <c r="S694" s="3"/>
    </row>
    <row r="695" spans="2:19" x14ac:dyDescent="0.5">
      <c r="B695" t="str">
        <f t="shared" si="773"/>
        <v>SPS1</v>
      </c>
      <c r="C695" t="str">
        <f t="shared" si="774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94">SUM(G696:G697)</f>
        <v>0</v>
      </c>
      <c r="H695" s="1">
        <f t="shared" si="794"/>
        <v>0</v>
      </c>
      <c r="I695" s="1">
        <f t="shared" si="794"/>
        <v>0</v>
      </c>
      <c r="J695" s="1">
        <f t="shared" si="794"/>
        <v>0</v>
      </c>
      <c r="K695" s="1">
        <f t="shared" si="794"/>
        <v>0</v>
      </c>
      <c r="L695" s="1">
        <f t="shared" ref="L695:O695" si="795">SUM(L696:L697)</f>
        <v>0</v>
      </c>
      <c r="M695" s="1">
        <f t="shared" si="795"/>
        <v>1.0860422811677243E-2</v>
      </c>
      <c r="N695" s="1">
        <f t="shared" si="795"/>
        <v>1.037428303756271E-2</v>
      </c>
      <c r="O695" s="1">
        <f t="shared" si="795"/>
        <v>1.4661005637402863E-2</v>
      </c>
      <c r="P695" s="1">
        <f>SUM(P696:P697)</f>
        <v>1.5168129904390877E-2</v>
      </c>
      <c r="Q695" s="1">
        <f>SUM(Q696:Q697)</f>
        <v>5.2847018498496726E-2</v>
      </c>
      <c r="S695" s="3"/>
    </row>
    <row r="696" spans="2:19" x14ac:dyDescent="0.5">
      <c r="B696" t="str">
        <f t="shared" si="773"/>
        <v>SPS1</v>
      </c>
      <c r="C696" t="str">
        <f t="shared" si="774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SUMPRODUCT(("SUP_wodH2"=[1]OUT_SyntheticFuels!$C$4:$C$1000)*1,ISNUMBER(SEARCH("wod",[1]OUT_SyntheticFuels!$A$4:$A$1000))*1,("Var_Fin"=[1]OUT_SyntheticFuels!$B$4:$B$1000)*1,[1]OUT_SyntheticFuels!I$4:I$1000)</f>
        <v>0</v>
      </c>
      <c r="K696" s="1" cm="1">
        <f t="array" ref="K696">SUMPRODUCT(("SUP_wodH2"=[1]OUT_SyntheticFuels!$C$4:$C$1000)*1,ISNUMBER(SEARCH("wod",[1]OUT_SyntheticFuels!$A$4:$A$1000))*1,("Var_Fin"=[1]OUT_SyntheticFuels!$B$4:$B$1000)*1,[1]OUT_SyntheticFuels!J$4:J$1000)</f>
        <v>0</v>
      </c>
      <c r="L696" s="1" cm="1">
        <f t="array" ref="L696">SUMPRODUCT(("SUP_wodH2"=[1]OUT_SyntheticFuels!$C$4:$C$1000)*1,ISNUMBER(SEARCH("wod",[1]OUT_SyntheticFuels!$A$4:$A$1000))*1,("Var_Fin"=[1]OUT_SyntheticFuels!$B$4:$B$1000)*1,[1]OUT_SyntheticFuels!K$4:K$1000)</f>
        <v>0</v>
      </c>
      <c r="M696" s="1" cm="1">
        <f t="array" ref="M696">SUMPRODUCT(("SUP_wodH2"=[1]OUT_SyntheticFuels!$C$4:$C$1000)*1,ISNUMBER(SEARCH("wod",[1]OUT_SyntheticFuels!$A$4:$A$1000))*1,("Var_Fin"=[1]OUT_SyntheticFuels!$B$4:$B$1000)*1,[1]OUT_SyntheticFuels!L$4:L$1000)</f>
        <v>1.0860422811677243E-2</v>
      </c>
      <c r="N696" s="1" cm="1">
        <f t="array" ref="N696">SUMPRODUCT(("SUP_wodH2"=[1]OUT_SyntheticFuels!$C$4:$C$1000)*1,ISNUMBER(SEARCH("wod",[1]OUT_SyntheticFuels!$A$4:$A$1000))*1,("Var_Fin"=[1]OUT_SyntheticFuels!$B$4:$B$1000)*1,[1]OUT_SyntheticFuels!M$4:M$1000)</f>
        <v>1.037428303756271E-2</v>
      </c>
      <c r="O696" s="1" cm="1">
        <f t="array" ref="O696">SUMPRODUCT(("SUP_wodH2"=[1]OUT_SyntheticFuels!$C$4:$C$1000)*1,ISNUMBER(SEARCH("wod",[1]OUT_SyntheticFuels!$A$4:$A$1000))*1,("Var_Fin"=[1]OUT_SyntheticFuels!$B$4:$B$1000)*1,[1]OUT_SyntheticFuels!N$4:N$1000)</f>
        <v>1.4661005637402863E-2</v>
      </c>
      <c r="P696" s="1" cm="1">
        <f t="array" ref="P696">SUMPRODUCT(("SUP_wodH2"=[1]OUT_SyntheticFuels!$C$4:$C$1000)*1,ISNUMBER(SEARCH("wod",[1]OUT_SyntheticFuels!$A$4:$A$1000))*1,("Var_Fin"=[1]OUT_SyntheticFuels!$B$4:$B$1000)*1,[1]OUT_SyntheticFuels!O$4:O$1000)</f>
        <v>1.5168129904390877E-2</v>
      </c>
      <c r="Q696" s="1" cm="1">
        <f t="array" ref="Q696">SUMPRODUCT(("SUP_wodH2"=[1]OUT_SyntheticFuels!$C$4:$C$1000)*1,ISNUMBER(SEARCH("wod",[1]OUT_SyntheticFuels!$A$4:$A$1000))*1,("Var_Fin"=[1]OUT_SyntheticFuels!$B$4:$B$1000)*1,[1]OUT_SyntheticFuels!P$4:P$1000)</f>
        <v>5.2847018498496726E-2</v>
      </c>
      <c r="S696" s="3"/>
    </row>
    <row r="697" spans="2:19" x14ac:dyDescent="0.5">
      <c r="B697" t="str">
        <f t="shared" si="773"/>
        <v>SPS1</v>
      </c>
      <c r="C697" t="str">
        <f t="shared" si="774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SUMPRODUCT(("SUP_wodH2ccs"=[1]OUT_SyntheticFuels!$C$4:$C$1000)*1,ISNUMBER(SEARCH("wod",[1]OUT_SyntheticFuels!$A$4:$A$1000))*1,("Var_Fin"=[1]OUT_SyntheticFuels!$B$4:$B$1000)*1,[1]OUT_SyntheticFuels!I$4:I$1000)</f>
        <v>0</v>
      </c>
      <c r="K697" s="1" cm="1">
        <f t="array" ref="K697">SUMPRODUCT(("SUP_wodH2ccs"=[1]OUT_SyntheticFuels!$C$4:$C$1000)*1,ISNUMBER(SEARCH("wod",[1]OUT_SyntheticFuels!$A$4:$A$1000))*1,("Var_Fin"=[1]OUT_SyntheticFuels!$B$4:$B$1000)*1,[1]OUT_SyntheticFuels!J$4:J$1000)</f>
        <v>0</v>
      </c>
      <c r="L697" s="1" cm="1">
        <f t="array" ref="L697">SUMPRODUCT(("SUP_wodH2ccs"=[1]OUT_SyntheticFuels!$C$4:$C$1000)*1,ISNUMBER(SEARCH("wod",[1]OUT_SyntheticFuels!$A$4:$A$1000))*1,("Var_Fin"=[1]OUT_SyntheticFuels!$B$4:$B$1000)*1,[1]OUT_SyntheticFuels!K$4:K$1000)</f>
        <v>0</v>
      </c>
      <c r="M697" s="1" cm="1">
        <f t="array" ref="M697">SUMPRODUCT(("SUP_wodH2ccs"=[1]OUT_SyntheticFuels!$C$4:$C$1000)*1,ISNUMBER(SEARCH("wod",[1]OUT_SyntheticFuels!$A$4:$A$1000))*1,("Var_Fin"=[1]OUT_SyntheticFuels!$B$4:$B$1000)*1,[1]OUT_SyntheticFuels!L$4:L$1000)</f>
        <v>0</v>
      </c>
      <c r="N697" s="1" cm="1">
        <f t="array" ref="N697">SUMPRODUCT(("SUP_wodH2ccs"=[1]OUT_SyntheticFuels!$C$4:$C$1000)*1,ISNUMBER(SEARCH("wod",[1]OUT_SyntheticFuels!$A$4:$A$1000))*1,("Var_Fin"=[1]OUT_SyntheticFuels!$B$4:$B$1000)*1,[1]OUT_SyntheticFuels!M$4:M$1000)</f>
        <v>0</v>
      </c>
      <c r="O697" s="1" cm="1">
        <f t="array" ref="O697">SUMPRODUCT(("SUP_wodH2ccs"=[1]OUT_SyntheticFuels!$C$4:$C$1000)*1,ISNUMBER(SEARCH("wod",[1]OUT_SyntheticFuels!$A$4:$A$1000))*1,("Var_Fin"=[1]OUT_SyntheticFuels!$B$4:$B$1000)*1,[1]OUT_SyntheticFuels!N$4:N$1000)</f>
        <v>0</v>
      </c>
      <c r="P697" s="1" cm="1">
        <f t="array" ref="P697">SUMPRODUCT(("SUP_wodH2ccs"=[1]OUT_SyntheticFuels!$C$4:$C$1000)*1,ISNUMBER(SEARCH("wod",[1]OUT_SyntheticFuels!$A$4:$A$1000))*1,("Var_Fin"=[1]OUT_SyntheticFuels!$B$4:$B$1000)*1,[1]OUT_SyntheticFuels!O$4:O$1000)</f>
        <v>0</v>
      </c>
      <c r="Q697" s="1" cm="1">
        <f t="array" ref="Q697">SUMPRODUCT(("SUP_wodH2ccs"=[1]OUT_SyntheticFuels!$C$4:$C$1000)*1,ISNUMBER(SEARCH("wod",[1]OUT_SyntheticFuels!$A$4:$A$1000))*1,("Var_Fin"=[1]OUT_SyntheticFuels!$B$4:$B$1000)*1,[1]OUT_SyntheticFuels!P$4:P$1000)</f>
        <v>0</v>
      </c>
      <c r="S697" s="3"/>
    </row>
    <row r="698" spans="2:19" x14ac:dyDescent="0.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M698" s="4" t="s">
        <v>292</v>
      </c>
      <c r="N698" s="4" t="s">
        <v>292</v>
      </c>
      <c r="O698" s="4" t="s">
        <v>292</v>
      </c>
      <c r="P698" s="4" t="s">
        <v>292</v>
      </c>
      <c r="Q698" s="4" t="s">
        <v>292</v>
      </c>
      <c r="S698" s="3"/>
    </row>
    <row r="699" spans="2:19" x14ac:dyDescent="0.5">
      <c r="B699" t="str">
        <f>B698</f>
        <v>SPS1</v>
      </c>
      <c r="C699" t="str">
        <f t="shared" ref="C699:C705" si="796">C698</f>
        <v>CH</v>
      </c>
      <c r="D699" t="s">
        <v>409</v>
      </c>
      <c r="E699" s="5" t="s">
        <v>240</v>
      </c>
      <c r="F699" s="4">
        <f>IFERROR(F664/F681,"-")</f>
        <v>0.68499999999999917</v>
      </c>
      <c r="G699" s="4">
        <f t="shared" ref="G699:K699" si="797">IFERROR(G664/G681,"-")</f>
        <v>0.69399999999999962</v>
      </c>
      <c r="H699" s="4">
        <f t="shared" si="797"/>
        <v>0.70750000000000002</v>
      </c>
      <c r="I699" s="4">
        <f t="shared" si="797"/>
        <v>0.73000000000000065</v>
      </c>
      <c r="J699" s="4">
        <f t="shared" si="797"/>
        <v>0.75249999999999995</v>
      </c>
      <c r="K699" s="4">
        <f t="shared" si="797"/>
        <v>0.77500000000000036</v>
      </c>
      <c r="L699" s="4">
        <f t="shared" ref="L699:O699" si="798">IFERROR(L664/L681,"-")</f>
        <v>0.79750000000000076</v>
      </c>
      <c r="M699" s="4">
        <f t="shared" si="798"/>
        <v>0.8199999999999994</v>
      </c>
      <c r="N699" s="4">
        <f t="shared" si="798"/>
        <v>0.8199999999999994</v>
      </c>
      <c r="O699" s="4">
        <f t="shared" si="798"/>
        <v>0.82000000000000095</v>
      </c>
      <c r="P699" s="4">
        <f>IFERROR(P664/P681,"-")</f>
        <v>0.8200000000000004</v>
      </c>
      <c r="Q699" s="4">
        <f>IFERROR(Q664/Q681,"-")</f>
        <v>0.82</v>
      </c>
      <c r="S699" s="3"/>
    </row>
    <row r="700" spans="2:19" x14ac:dyDescent="0.5">
      <c r="B700" t="str">
        <f t="shared" ref="B700:B705" si="799">B699</f>
        <v>SPS1</v>
      </c>
      <c r="C700" t="str">
        <f t="shared" si="796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800">IFERROR(G665/G682,"-")</f>
        <v>-</v>
      </c>
      <c r="H700" s="4" t="str">
        <f t="shared" si="800"/>
        <v>-</v>
      </c>
      <c r="I700" s="4">
        <f t="shared" si="800"/>
        <v>0.7300000000000002</v>
      </c>
      <c r="J700" s="4">
        <f t="shared" si="800"/>
        <v>0.75250000000000017</v>
      </c>
      <c r="K700" s="4">
        <f t="shared" si="800"/>
        <v>0.77500000000000013</v>
      </c>
      <c r="L700" s="4">
        <f t="shared" ref="L700:O700" si="801">IFERROR(L665/L682,"-")</f>
        <v>0.79749999999999932</v>
      </c>
      <c r="M700" s="4">
        <f t="shared" si="801"/>
        <v>0.82000000000000006</v>
      </c>
      <c r="N700" s="4">
        <f t="shared" si="801"/>
        <v>0.81999999999999984</v>
      </c>
      <c r="O700" s="4">
        <f t="shared" si="801"/>
        <v>0.82000000000000017</v>
      </c>
      <c r="P700" s="4">
        <f>IFERROR(P665/P682,"-")</f>
        <v>0.8200000000000004</v>
      </c>
      <c r="Q700" s="4">
        <f>IFERROR(Q665/Q682,"-")</f>
        <v>0.81999999999999917</v>
      </c>
      <c r="S700" s="3"/>
    </row>
    <row r="701" spans="2:19" x14ac:dyDescent="0.5">
      <c r="B701" t="str">
        <f t="shared" si="799"/>
        <v>SPS1</v>
      </c>
      <c r="C701" t="str">
        <f t="shared" si="796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802">IFERROR(G666/SUM(G683,G685),"-")</f>
        <v>-</v>
      </c>
      <c r="H701" s="4" t="str">
        <f t="shared" si="802"/>
        <v>-</v>
      </c>
      <c r="I701" s="4" t="str">
        <f t="shared" si="802"/>
        <v>-</v>
      </c>
      <c r="J701" s="4" t="str">
        <f t="shared" si="802"/>
        <v>-</v>
      </c>
      <c r="K701" s="4">
        <f t="shared" si="802"/>
        <v>0.86999999999999977</v>
      </c>
      <c r="L701" s="4">
        <f t="shared" ref="L701:O701" si="803">IFERROR(L666/SUM(L683,L685),"-")</f>
        <v>0.88474576271186434</v>
      </c>
      <c r="M701" s="4">
        <f t="shared" si="803"/>
        <v>0.90000000000000013</v>
      </c>
      <c r="N701" s="4">
        <f t="shared" si="803"/>
        <v>0.90000000000000013</v>
      </c>
      <c r="O701" s="4">
        <f t="shared" si="803"/>
        <v>0.9</v>
      </c>
      <c r="P701" s="4">
        <f>IFERROR(P666/SUM(P683,P685),"-")</f>
        <v>0.90000000000000013</v>
      </c>
      <c r="Q701" s="4">
        <f>IFERROR(Q666/SUM(Q683,Q685),"-")</f>
        <v>0.90000000000000013</v>
      </c>
      <c r="S701" s="3"/>
    </row>
    <row r="702" spans="2:19" x14ac:dyDescent="0.5">
      <c r="B702" t="str">
        <f t="shared" si="799"/>
        <v>SPS1</v>
      </c>
      <c r="C702" t="str">
        <f t="shared" si="796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804">IFERROR(G668/G687,"-")</f>
        <v>-</v>
      </c>
      <c r="H702" s="4" t="str">
        <f t="shared" si="804"/>
        <v>-</v>
      </c>
      <c r="I702" s="4" t="str">
        <f t="shared" si="804"/>
        <v>-</v>
      </c>
      <c r="J702" s="4" t="str">
        <f t="shared" si="804"/>
        <v>-</v>
      </c>
      <c r="K702" s="4" t="str">
        <f t="shared" si="804"/>
        <v>-</v>
      </c>
      <c r="L702" s="4" t="str">
        <f t="shared" ref="L702:O702" si="805">IFERROR(L668/L687,"-")</f>
        <v>-</v>
      </c>
      <c r="M702" s="4">
        <f t="shared" si="805"/>
        <v>0.75999999999999923</v>
      </c>
      <c r="N702" s="4">
        <f t="shared" si="805"/>
        <v>0.75999999999999956</v>
      </c>
      <c r="O702" s="4">
        <f t="shared" si="805"/>
        <v>0.76000000000000068</v>
      </c>
      <c r="P702" s="4">
        <f>IFERROR(P668/P687,"-")</f>
        <v>0.76000000000000045</v>
      </c>
      <c r="Q702" s="4">
        <f>IFERROR(Q668/Q687,"-")</f>
        <v>0.7599999999999999</v>
      </c>
      <c r="S702" s="3"/>
    </row>
    <row r="703" spans="2:19" x14ac:dyDescent="0.5">
      <c r="B703" t="str">
        <f t="shared" si="799"/>
        <v>SPS1</v>
      </c>
      <c r="C703" t="str">
        <f t="shared" si="796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804"/>
        <v>-</v>
      </c>
      <c r="H703" s="4" t="str">
        <f t="shared" si="804"/>
        <v>-</v>
      </c>
      <c r="I703" s="4" t="str">
        <f t="shared" si="804"/>
        <v>-</v>
      </c>
      <c r="J703" s="4" t="str">
        <f t="shared" si="804"/>
        <v>-</v>
      </c>
      <c r="K703" s="4" t="str">
        <f t="shared" si="804"/>
        <v>-</v>
      </c>
      <c r="L703" s="4" t="str">
        <f t="shared" ref="L703:O703" si="806">IFERROR(L669/L688,"-")</f>
        <v>-</v>
      </c>
      <c r="M703" s="4" t="str">
        <f t="shared" si="806"/>
        <v>-</v>
      </c>
      <c r="N703" s="4" t="str">
        <f t="shared" si="806"/>
        <v>-</v>
      </c>
      <c r="O703" s="4" t="str">
        <f t="shared" si="806"/>
        <v>-</v>
      </c>
      <c r="P703" s="4" t="str">
        <f>IFERROR(P669/P688,"-")</f>
        <v>-</v>
      </c>
      <c r="Q703" s="4" t="str">
        <f>IFERROR(Q669/Q688,"-")</f>
        <v>-</v>
      </c>
      <c r="S703" s="3"/>
    </row>
    <row r="704" spans="2:19" x14ac:dyDescent="0.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807">IFERROR(G677/G696,"-")</f>
        <v>-</v>
      </c>
      <c r="H704" s="4" t="str">
        <f t="shared" si="807"/>
        <v>-</v>
      </c>
      <c r="I704" s="4" t="str">
        <f t="shared" si="807"/>
        <v>-</v>
      </c>
      <c r="J704" s="4" t="str">
        <f t="shared" si="807"/>
        <v>-</v>
      </c>
      <c r="K704" s="4" t="str">
        <f t="shared" si="807"/>
        <v>-</v>
      </c>
      <c r="L704" s="4" t="str">
        <f t="shared" ref="L704:O704" si="808">IFERROR(L677/L696,"-")</f>
        <v>-</v>
      </c>
      <c r="M704" s="4">
        <f t="shared" si="808"/>
        <v>0.60000000000000053</v>
      </c>
      <c r="N704" s="4">
        <f t="shared" si="808"/>
        <v>0.59999999999999953</v>
      </c>
      <c r="O704" s="4">
        <f t="shared" si="808"/>
        <v>0.59999999999999942</v>
      </c>
      <c r="P704" s="4">
        <f>IFERROR(P677/P696,"-")</f>
        <v>0.59999999999999931</v>
      </c>
      <c r="Q704" s="4">
        <f>IFERROR(Q677/Q696,"-")</f>
        <v>0.60000000000000042</v>
      </c>
      <c r="S704" s="3"/>
    </row>
    <row r="705" spans="2:19" x14ac:dyDescent="0.5">
      <c r="B705" t="str">
        <f t="shared" si="799"/>
        <v>SPS1</v>
      </c>
      <c r="C705" t="str">
        <f t="shared" si="796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807"/>
        <v>-</v>
      </c>
      <c r="H705" s="4" t="str">
        <f t="shared" si="807"/>
        <v>-</v>
      </c>
      <c r="I705" s="4" t="str">
        <f t="shared" si="807"/>
        <v>-</v>
      </c>
      <c r="J705" s="4" t="str">
        <f t="shared" si="807"/>
        <v>-</v>
      </c>
      <c r="K705" s="4" t="str">
        <f t="shared" si="807"/>
        <v>-</v>
      </c>
      <c r="L705" s="4" t="str">
        <f t="shared" ref="L705:O705" si="809">IFERROR(L678/L697,"-")</f>
        <v>-</v>
      </c>
      <c r="M705" s="4" t="str">
        <f t="shared" si="809"/>
        <v>-</v>
      </c>
      <c r="N705" s="4" t="str">
        <f t="shared" si="809"/>
        <v>-</v>
      </c>
      <c r="O705" s="4" t="str">
        <f t="shared" si="809"/>
        <v>-</v>
      </c>
      <c r="P705" s="4" t="str">
        <f>IFERROR(P678/P697,"-")</f>
        <v>-</v>
      </c>
      <c r="Q705" s="4" t="str">
        <f>IFERROR(Q678/Q697,"-")</f>
        <v>-</v>
      </c>
      <c r="S705" s="3"/>
    </row>
    <row r="706" spans="2:19" x14ac:dyDescent="0.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1.1764725935361819</v>
      </c>
      <c r="G706" s="1">
        <f>[1]Other_transformation!C$39</f>
        <v>3.1936042869229757</v>
      </c>
      <c r="H706" s="1">
        <f>[1]Other_transformation!D$39</f>
        <v>3.1752182415632042</v>
      </c>
      <c r="I706" s="1">
        <f>[1]Other_transformation!E$39</f>
        <v>3.1751583872235027</v>
      </c>
      <c r="J706" s="1">
        <f>[1]Other_transformation!F$39</f>
        <v>3.1751602995509258</v>
      </c>
      <c r="K706" s="1">
        <f>[1]Other_transformation!G$39</f>
        <v>3.1740768568632642</v>
      </c>
      <c r="L706" s="1">
        <f>[1]Other_transformation!H$39</f>
        <v>3.1740997094301733</v>
      </c>
      <c r="M706" s="1">
        <f>[1]Other_transformation!I$39</f>
        <v>3.175553185839175</v>
      </c>
      <c r="N706" s="1">
        <f>[1]Other_transformation!J$39</f>
        <v>3.1754509934662298</v>
      </c>
      <c r="O706" s="1">
        <f>[1]Other_transformation!K$39</f>
        <v>3.1763541950881766</v>
      </c>
      <c r="P706" s="1">
        <f>[1]Other_transformation!L$39</f>
        <v>3.1763642483655175</v>
      </c>
      <c r="Q706" s="1">
        <f>[1]Other_transformation!M$39</f>
        <v>3.1795230461773789</v>
      </c>
      <c r="S706" s="3"/>
    </row>
    <row r="707" spans="2:19" x14ac:dyDescent="0.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1.2890723565412294</v>
      </c>
      <c r="G707" s="1">
        <f>[1]Other_transformation!C$38</f>
        <v>3.4992629888894746</v>
      </c>
      <c r="H707" s="1">
        <f>[1]Other_transformation!D$38</f>
        <v>3.4791172218315669</v>
      </c>
      <c r="I707" s="1">
        <f>[1]Other_transformation!E$38</f>
        <v>3.4790516388548354</v>
      </c>
      <c r="J707" s="1">
        <f>[1]Other_transformation!F$38</f>
        <v>3.4790537342104182</v>
      </c>
      <c r="K707" s="1">
        <f>[1]Other_transformation!G$38</f>
        <v>3.4778665956181252</v>
      </c>
      <c r="L707" s="1">
        <f>[1]Other_transformation!H$38</f>
        <v>3.4778916353958809</v>
      </c>
      <c r="M707" s="1">
        <f>[1]Other_transformation!I$38</f>
        <v>3.4794842235020793</v>
      </c>
      <c r="N707" s="1">
        <f>[1]Other_transformation!J$38</f>
        <v>3.4793722503343743</v>
      </c>
      <c r="O707" s="1">
        <f>[1]Other_transformation!K$38</f>
        <v>3.4803618970542654</v>
      </c>
      <c r="P707" s="1">
        <f>[1]Other_transformation!L$38</f>
        <v>3.4803729125271143</v>
      </c>
      <c r="Q707" s="1">
        <f>[1]Other_transformation!M$38</f>
        <v>3.4838340377259054</v>
      </c>
      <c r="S707" s="3"/>
    </row>
    <row r="708" spans="2:19" x14ac:dyDescent="0.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810">F706/F707</f>
        <v>0.91265054871925944</v>
      </c>
      <c r="G708" s="14">
        <f t="shared" si="810"/>
        <v>0.91265054871925966</v>
      </c>
      <c r="H708" s="14">
        <f t="shared" si="810"/>
        <v>0.91265054871925921</v>
      </c>
      <c r="I708" s="14">
        <f t="shared" si="810"/>
        <v>0.91265054871925899</v>
      </c>
      <c r="J708" s="14">
        <f t="shared" si="810"/>
        <v>0.91265054871925921</v>
      </c>
      <c r="K708" s="14">
        <f t="shared" si="810"/>
        <v>0.91265054871925932</v>
      </c>
      <c r="L708" s="14">
        <f t="shared" ref="L708:O708" si="811">L706/L707</f>
        <v>0.91265054871925944</v>
      </c>
      <c r="M708" s="14">
        <f t="shared" si="811"/>
        <v>0.91265054871925833</v>
      </c>
      <c r="N708" s="14">
        <f t="shared" si="811"/>
        <v>0.9126505487192591</v>
      </c>
      <c r="O708" s="14">
        <f t="shared" si="811"/>
        <v>0.91265054871925899</v>
      </c>
      <c r="P708" s="14">
        <f>P706/P707</f>
        <v>0.91265054871925932</v>
      </c>
      <c r="Q708" s="14">
        <f>Q706/Q707</f>
        <v>0.91265054871925888</v>
      </c>
      <c r="S708" s="3"/>
    </row>
    <row r="709" spans="2:19" x14ac:dyDescent="0.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5.9796514204808719</v>
      </c>
      <c r="G709" s="17" cm="1">
        <f t="array" ref="G709">SUMPRODUCT(("CT_CWODPLT"=[1]OUT_SyntheticFuels!$C$4:$C$1000)*1,("Var_Fout"=[1]OUT_SyntheticFuels!$B$4:$B$1000)*1,[1]OUT_SyntheticFuels!F$4:F$1000)</f>
        <v>6.9696559380058689</v>
      </c>
      <c r="H709" s="17" cm="1">
        <f t="array" ref="H709">SUMPRODUCT(("CT_CWODPLT"=[1]OUT_SyntheticFuels!$C$4:$C$1000)*1,("Var_Fout"=[1]OUT_SyntheticFuels!$B$4:$B$1000)*1,[1]OUT_SyntheticFuels!G$4:G$1000)</f>
        <v>6.7840980043999908</v>
      </c>
      <c r="I709" s="17" cm="1">
        <f t="array" ref="I709">SUMPRODUCT(("CT_CWODPLT"=[1]OUT_SyntheticFuels!$C$4:$C$1000)*1,("Var_Fout"=[1]OUT_SyntheticFuels!$B$4:$B$1000)*1,[1]OUT_SyntheticFuels!H$4:H$1000)</f>
        <v>7.147806532869085</v>
      </c>
      <c r="J709" s="17" cm="1">
        <f t="array" ref="J709">SUMPRODUCT(("CT_CWODPLT"=[1]OUT_SyntheticFuels!$C$4:$C$1000)*1,("Var_Fout"=[1]OUT_SyntheticFuels!$B$4:$B$1000)*1,[1]OUT_SyntheticFuels!I$4:I$1000)</f>
        <v>7.4302222957842536</v>
      </c>
      <c r="K709" s="17" cm="1">
        <f t="array" ref="K709">SUMPRODUCT(("CT_CWODPLT"=[1]OUT_SyntheticFuels!$C$4:$C$1000)*1,("Var_Fout"=[1]OUT_SyntheticFuels!$B$4:$B$1000)*1,[1]OUT_SyntheticFuels!J$4:J$1000)</f>
        <v>7.8810899002945458</v>
      </c>
      <c r="L709" s="17" cm="1">
        <f t="array" ref="L709">SUMPRODUCT(("CT_CWODPLT"=[1]OUT_SyntheticFuels!$C$4:$C$1000)*1,("Var_Fout"=[1]OUT_SyntheticFuels!$B$4:$B$1000)*1,[1]OUT_SyntheticFuels!K$4:K$1000)</f>
        <v>7.8169620066218855</v>
      </c>
      <c r="M709" s="17" cm="1">
        <f t="array" ref="M709">SUMPRODUCT(("CT_CWODPLT"=[1]OUT_SyntheticFuels!$C$4:$C$1000)*1,("Var_Fout"=[1]OUT_SyntheticFuels!$B$4:$B$1000)*1,[1]OUT_SyntheticFuels!L$4:L$1000)</f>
        <v>7.9409345112520686</v>
      </c>
      <c r="N709" s="17" cm="1">
        <f t="array" ref="N709">SUMPRODUCT(("CT_CWODPLT"=[1]OUT_SyntheticFuels!$C$4:$C$1000)*1,("Var_Fout"=[1]OUT_SyntheticFuels!$B$4:$B$1000)*1,[1]OUT_SyntheticFuels!M$4:M$1000)</f>
        <v>7.9198969510509007</v>
      </c>
      <c r="O709" s="17" cm="1">
        <f t="array" ref="O709">SUMPRODUCT(("CT_CWODPLT"=[1]OUT_SyntheticFuels!$C$4:$C$1000)*1,("Var_Fout"=[1]OUT_SyntheticFuels!$B$4:$B$1000)*1,[1]OUT_SyntheticFuels!N$4:N$1000)</f>
        <v>7.896777090591943</v>
      </c>
      <c r="P709" s="17" cm="1">
        <f t="array" ref="P709">SUMPRODUCT(("CT_CWODPLT"=[1]OUT_SyntheticFuels!$C$4:$C$1000)*1,("Var_Fout"=[1]OUT_SyntheticFuels!$B$4:$B$1000)*1,[1]OUT_SyntheticFuels!O$4:O$1000)</f>
        <v>7.8358045839889643</v>
      </c>
      <c r="Q709" s="17" cm="1">
        <f t="array" ref="Q709">SUMPRODUCT(("CT_CWODPLT"=[1]OUT_SyntheticFuels!$C$4:$C$1000)*1,("Var_Fout"=[1]OUT_SyntheticFuels!$B$4:$B$1000)*1,[1]OUT_SyntheticFuels!P$4:P$1000)</f>
        <v>7.7147225210865971</v>
      </c>
      <c r="S709" s="3"/>
    </row>
    <row r="710" spans="2:19" x14ac:dyDescent="0.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5.9796514204808719</v>
      </c>
      <c r="G710" s="18">
        <f t="shared" ref="G710:K710" si="812">G709</f>
        <v>6.9696559380058689</v>
      </c>
      <c r="H710" s="18">
        <f t="shared" si="812"/>
        <v>6.7840980043999908</v>
      </c>
      <c r="I710" s="18">
        <f t="shared" si="812"/>
        <v>7.147806532869085</v>
      </c>
      <c r="J710" s="18">
        <f t="shared" si="812"/>
        <v>7.4302222957842536</v>
      </c>
      <c r="K710" s="18">
        <f t="shared" si="812"/>
        <v>7.8810899002945458</v>
      </c>
      <c r="L710" s="18">
        <f t="shared" ref="L710:O710" si="813">L709</f>
        <v>7.8169620066218855</v>
      </c>
      <c r="M710" s="18">
        <f t="shared" si="813"/>
        <v>7.9409345112520686</v>
      </c>
      <c r="N710" s="18">
        <f t="shared" si="813"/>
        <v>7.9198969510509007</v>
      </c>
      <c r="O710" s="18">
        <f t="shared" si="813"/>
        <v>7.896777090591943</v>
      </c>
      <c r="P710" s="18">
        <f>P709</f>
        <v>7.8358045839889643</v>
      </c>
      <c r="Q710" s="18">
        <f>Q709</f>
        <v>7.7147225210865971</v>
      </c>
      <c r="S710" s="3"/>
    </row>
    <row r="711" spans="2:19" x14ac:dyDescent="0.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7.118632643429601</v>
      </c>
      <c r="G711" s="17" cm="1">
        <f t="array" ref="G711">SUMPRODUCT(("CT_CWODPLT"=[1]OUT_SyntheticFuels!$C$4:$C$1000)*1,("Var_Fin"=[1]OUT_SyntheticFuels!$B$4:$B$1000)*1,[1]OUT_SyntheticFuels!F$4:F$1000)</f>
        <v>8.2972094500069922</v>
      </c>
      <c r="H711" s="17" cm="1">
        <f t="array" ref="H711">SUMPRODUCT(("CT_CWODPLT"=[1]OUT_SyntheticFuels!$C$4:$C$1000)*1,("Var_Fin"=[1]OUT_SyntheticFuels!$B$4:$B$1000)*1,[1]OUT_SyntheticFuels!G$4:G$1000)</f>
        <v>8.076307148095232</v>
      </c>
      <c r="I711" s="17" cm="1">
        <f t="array" ref="I711">SUMPRODUCT(("CT_CWODPLT"=[1]OUT_SyntheticFuels!$C$4:$C$1000)*1,("Var_Fin"=[1]OUT_SyntheticFuels!$B$4:$B$1000)*1,[1]OUT_SyntheticFuels!H$4:H$1000)</f>
        <v>8.5092934915108245</v>
      </c>
      <c r="J711" s="17" cm="1">
        <f t="array" ref="J711">SUMPRODUCT(("CT_CWODPLT"=[1]OUT_SyntheticFuels!$C$4:$C$1000)*1,("Var_Fin"=[1]OUT_SyntheticFuels!$B$4:$B$1000)*1,[1]OUT_SyntheticFuels!I$4:I$1000)</f>
        <v>8.8455027330764846</v>
      </c>
      <c r="K711" s="17" cm="1">
        <f t="array" ref="K711">SUMPRODUCT(("CT_CWODPLT"=[1]OUT_SyntheticFuels!$C$4:$C$1000)*1,("Var_Fin"=[1]OUT_SyntheticFuels!$B$4:$B$1000)*1,[1]OUT_SyntheticFuels!J$4:J$1000)</f>
        <v>9.3822498813030322</v>
      </c>
      <c r="L711" s="17" cm="1">
        <f t="array" ref="L711">SUMPRODUCT(("CT_CWODPLT"=[1]OUT_SyntheticFuels!$C$4:$C$1000)*1,("Var_Fin"=[1]OUT_SyntheticFuels!$B$4:$B$1000)*1,[1]OUT_SyntheticFuels!K$4:K$1000)</f>
        <v>9.3059071507403388</v>
      </c>
      <c r="M711" s="17" cm="1">
        <f t="array" ref="M711">SUMPRODUCT(("CT_CWODPLT"=[1]OUT_SyntheticFuels!$C$4:$C$1000)*1,("Var_Fin"=[1]OUT_SyntheticFuels!$B$4:$B$1000)*1,[1]OUT_SyntheticFuels!L$4:L$1000)</f>
        <v>9.4534934657762708</v>
      </c>
      <c r="N711" s="17" cm="1">
        <f t="array" ref="N711">SUMPRODUCT(("CT_CWODPLT"=[1]OUT_SyntheticFuels!$C$4:$C$1000)*1,("Var_Fin"=[1]OUT_SyntheticFuels!$B$4:$B$1000)*1,[1]OUT_SyntheticFuels!M$4:M$1000)</f>
        <v>9.4284487512510822</v>
      </c>
      <c r="O711" s="17" cm="1">
        <f t="array" ref="O711">SUMPRODUCT(("CT_CWODPLT"=[1]OUT_SyntheticFuels!$C$4:$C$1000)*1,("Var_Fin"=[1]OUT_SyntheticFuels!$B$4:$B$1000)*1,[1]OUT_SyntheticFuels!N$4:N$1000)</f>
        <v>9.4009251078475593</v>
      </c>
      <c r="P711" s="17" cm="1">
        <f t="array" ref="P711">SUMPRODUCT(("CT_CWODPLT"=[1]OUT_SyntheticFuels!$C$4:$C$1000)*1,("Var_Fin"=[1]OUT_SyntheticFuels!$B$4:$B$1000)*1,[1]OUT_SyntheticFuels!O$4:O$1000)</f>
        <v>9.328338790463043</v>
      </c>
      <c r="Q711" s="17" cm="1">
        <f t="array" ref="Q711">SUMPRODUCT(("CT_CWODPLT"=[1]OUT_SyntheticFuels!$C$4:$C$1000)*1,("Var_Fin"=[1]OUT_SyntheticFuels!$B$4:$B$1000)*1,[1]OUT_SyntheticFuels!P$4:P$1000)</f>
        <v>9.1841934774840421</v>
      </c>
      <c r="S711" s="3"/>
    </row>
    <row r="712" spans="2:19" x14ac:dyDescent="0.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814">F711</f>
        <v>7.118632643429601</v>
      </c>
      <c r="G712" s="18">
        <f t="shared" si="814"/>
        <v>8.2972094500069922</v>
      </c>
      <c r="H712" s="18">
        <f t="shared" si="814"/>
        <v>8.076307148095232</v>
      </c>
      <c r="I712" s="18">
        <f t="shared" si="814"/>
        <v>8.5092934915108245</v>
      </c>
      <c r="J712" s="18">
        <f t="shared" si="814"/>
        <v>8.8455027330764846</v>
      </c>
      <c r="K712" s="18">
        <f t="shared" si="814"/>
        <v>9.3822498813030322</v>
      </c>
      <c r="L712" s="18">
        <f t="shared" ref="L712:O712" si="815">L711</f>
        <v>9.3059071507403388</v>
      </c>
      <c r="M712" s="18">
        <f t="shared" si="815"/>
        <v>9.4534934657762708</v>
      </c>
      <c r="N712" s="18">
        <f t="shared" si="815"/>
        <v>9.4284487512510822</v>
      </c>
      <c r="O712" s="18">
        <f t="shared" si="815"/>
        <v>9.4009251078475593</v>
      </c>
      <c r="P712" s="18">
        <f>P711</f>
        <v>9.328338790463043</v>
      </c>
      <c r="Q712" s="18">
        <f>Q711</f>
        <v>9.1841934774840421</v>
      </c>
      <c r="S712" s="3"/>
    </row>
    <row r="713" spans="2:19" x14ac:dyDescent="0.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816">IFERROR(F709/F711,"-")</f>
        <v>0.84000000000000097</v>
      </c>
      <c r="G713" s="14">
        <f t="shared" si="816"/>
        <v>0.83999999999999941</v>
      </c>
      <c r="H713" s="14">
        <f t="shared" si="816"/>
        <v>0.83999999999999952</v>
      </c>
      <c r="I713" s="14">
        <f t="shared" si="816"/>
        <v>0.83999999999999908</v>
      </c>
      <c r="J713" s="14">
        <f t="shared" si="816"/>
        <v>0.84000000000000075</v>
      </c>
      <c r="K713" s="14">
        <f t="shared" si="816"/>
        <v>0.83999999999999986</v>
      </c>
      <c r="L713" s="14">
        <f t="shared" ref="L713:O713" si="817">IFERROR(L709/L711,"-")</f>
        <v>0.84000000000000008</v>
      </c>
      <c r="M713" s="14">
        <f t="shared" si="817"/>
        <v>0.84000000000000008</v>
      </c>
      <c r="N713" s="14">
        <f t="shared" si="817"/>
        <v>0.83999999999999908</v>
      </c>
      <c r="O713" s="14">
        <f t="shared" si="817"/>
        <v>0.8399999999999993</v>
      </c>
      <c r="P713" s="14">
        <f>IFERROR(P709/P711,"-")</f>
        <v>0.84000000000000086</v>
      </c>
      <c r="Q713" s="14">
        <f>IFERROR(Q709/Q711,"-")</f>
        <v>0.84000000000000019</v>
      </c>
      <c r="S713" s="3"/>
    </row>
    <row r="714" spans="2:19" x14ac:dyDescent="0.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818">G715+G717</f>
        <v>0</v>
      </c>
      <c r="H714" s="17">
        <f t="shared" si="818"/>
        <v>0</v>
      </c>
      <c r="I714" s="17">
        <f t="shared" si="818"/>
        <v>0</v>
      </c>
      <c r="J714" s="17">
        <f t="shared" si="818"/>
        <v>0</v>
      </c>
      <c r="K714" s="17">
        <f t="shared" si="818"/>
        <v>0</v>
      </c>
      <c r="L714" s="17">
        <f t="shared" ref="L714:O714" si="819">L715+L717</f>
        <v>0</v>
      </c>
      <c r="M714" s="17">
        <f t="shared" si="819"/>
        <v>0</v>
      </c>
      <c r="N714" s="17">
        <f t="shared" si="819"/>
        <v>0</v>
      </c>
      <c r="O714" s="17">
        <f t="shared" si="819"/>
        <v>0</v>
      </c>
      <c r="P714" s="17">
        <f>P715+P717</f>
        <v>0</v>
      </c>
      <c r="Q714" s="17">
        <f>Q715+Q717</f>
        <v>0</v>
      </c>
      <c r="S714" s="3"/>
    </row>
    <row r="715" spans="2:19" x14ac:dyDescent="0.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O715" si="820">G716</f>
        <v>0</v>
      </c>
      <c r="H715" s="18">
        <f t="shared" si="820"/>
        <v>0</v>
      </c>
      <c r="I715" s="18">
        <f t="shared" si="820"/>
        <v>0</v>
      </c>
      <c r="J715" s="18">
        <f t="shared" si="820"/>
        <v>0</v>
      </c>
      <c r="K715" s="18">
        <f t="shared" si="820"/>
        <v>0</v>
      </c>
      <c r="L715" s="18">
        <f t="shared" si="820"/>
        <v>0</v>
      </c>
      <c r="M715" s="18">
        <f t="shared" si="820"/>
        <v>0</v>
      </c>
      <c r="N715" s="18">
        <f t="shared" si="820"/>
        <v>0</v>
      </c>
      <c r="O715" s="18">
        <f t="shared" si="820"/>
        <v>0</v>
      </c>
      <c r="P715" s="18">
        <f>P716</f>
        <v>0</v>
      </c>
      <c r="Q715" s="18">
        <f>Q716</f>
        <v>0</v>
      </c>
      <c r="S715" s="3"/>
    </row>
    <row r="716" spans="2:19" x14ac:dyDescent="0.5">
      <c r="B716" s="5" t="str">
        <f t="shared" ref="B716:C718" si="821">B714</f>
        <v>SPS1</v>
      </c>
      <c r="C716" s="5" t="str">
        <f t="shared" si="821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SUMPRODUCT(("SUP_H2NGA"=[1]OUT_SyntheticFuels!$C$4:$C$1000)*1,("NGA"=[1]OUT_SyntheticFuels!$A$4:$A$1000)*1,("Var_Fout"=[1]OUT_SyntheticFuels!$B$4:$B$1000)*1,[1]OUT_SyntheticFuels!I$4:I$1000)</f>
        <v>0</v>
      </c>
      <c r="K716" s="18" cm="1">
        <f t="array" ref="K716">SUMPRODUCT(("SUP_H2NGA"=[1]OUT_SyntheticFuels!$C$4:$C$1000)*1,("NGA"=[1]OUT_SyntheticFuels!$A$4:$A$1000)*1,("Var_Fout"=[1]OUT_SyntheticFuels!$B$4:$B$1000)*1,[1]OUT_SyntheticFuels!J$4:J$1000)</f>
        <v>0</v>
      </c>
      <c r="L716" s="18" cm="1">
        <f t="array" ref="L716">SUMPRODUCT(("SUP_H2NGA"=[1]OUT_SyntheticFuels!$C$4:$C$1000)*1,("NGA"=[1]OUT_SyntheticFuels!$A$4:$A$1000)*1,("Var_Fout"=[1]OUT_SyntheticFuels!$B$4:$B$1000)*1,[1]OUT_SyntheticFuels!K$4:K$1000)</f>
        <v>0</v>
      </c>
      <c r="M716" s="18" cm="1">
        <f t="array" ref="M716">SUMPRODUCT(("SUP_H2NGA"=[1]OUT_SyntheticFuels!$C$4:$C$1000)*1,("NGA"=[1]OUT_SyntheticFuels!$A$4:$A$1000)*1,("Var_Fout"=[1]OUT_SyntheticFuels!$B$4:$B$1000)*1,[1]OUT_SyntheticFuels!L$4:L$1000)</f>
        <v>0</v>
      </c>
      <c r="N716" s="18" cm="1">
        <f t="array" ref="N716">SUMPRODUCT(("SUP_H2NGA"=[1]OUT_SyntheticFuels!$C$4:$C$1000)*1,("NGA"=[1]OUT_SyntheticFuels!$A$4:$A$1000)*1,("Var_Fout"=[1]OUT_SyntheticFuels!$B$4:$B$1000)*1,[1]OUT_SyntheticFuels!M$4:M$1000)</f>
        <v>0</v>
      </c>
      <c r="O716" s="18" cm="1">
        <f t="array" ref="O716">SUMPRODUCT(("SUP_H2NGA"=[1]OUT_SyntheticFuels!$C$4:$C$1000)*1,("NGA"=[1]OUT_SyntheticFuels!$A$4:$A$1000)*1,("Var_Fout"=[1]OUT_SyntheticFuels!$B$4:$B$1000)*1,[1]OUT_SyntheticFuels!N$4:N$1000)</f>
        <v>0</v>
      </c>
      <c r="P716" s="18" cm="1">
        <f t="array" ref="P716">SUMPRODUCT(("SUP_H2NGA"=[1]OUT_SyntheticFuels!$C$4:$C$1000)*1,("NGA"=[1]OUT_SyntheticFuels!$A$4:$A$1000)*1,("Var_Fout"=[1]OUT_SyntheticFuels!$B$4:$B$1000)*1,[1]OUT_SyntheticFuels!O$4:O$1000)</f>
        <v>0</v>
      </c>
      <c r="Q716" s="18" cm="1">
        <f t="array" ref="Q716">SUMPRODUCT(("SUP_H2NGA"=[1]OUT_SyntheticFuels!$C$4:$C$1000)*1,("NGA"=[1]OUT_SyntheticFuels!$A$4:$A$1000)*1,("Var_Fout"=[1]OUT_SyntheticFuels!$B$4:$B$1000)*1,[1]OUT_SyntheticFuels!P$4:P$1000)</f>
        <v>0</v>
      </c>
      <c r="S716" s="3"/>
    </row>
    <row r="717" spans="2:19" x14ac:dyDescent="0.5">
      <c r="B717" s="5" t="str">
        <f t="shared" si="821"/>
        <v>SPS1</v>
      </c>
      <c r="C717" s="5" t="str">
        <f t="shared" si="821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822">SUM(G718:G720)</f>
        <v>0</v>
      </c>
      <c r="H717" s="18">
        <f t="shared" si="822"/>
        <v>0</v>
      </c>
      <c r="I717" s="18">
        <f t="shared" si="822"/>
        <v>0</v>
      </c>
      <c r="J717" s="18">
        <f t="shared" si="822"/>
        <v>0</v>
      </c>
      <c r="K717" s="18">
        <f t="shared" si="822"/>
        <v>0</v>
      </c>
      <c r="L717" s="18">
        <f t="shared" ref="L717:O717" si="823">SUM(L718:L720)</f>
        <v>0</v>
      </c>
      <c r="M717" s="18">
        <f t="shared" si="823"/>
        <v>0</v>
      </c>
      <c r="N717" s="18">
        <f t="shared" si="823"/>
        <v>0</v>
      </c>
      <c r="O717" s="18">
        <f t="shared" si="823"/>
        <v>0</v>
      </c>
      <c r="P717" s="18">
        <f>SUM(P718:P720)</f>
        <v>0</v>
      </c>
      <c r="Q717" s="18">
        <f>SUM(Q718:Q720)</f>
        <v>0</v>
      </c>
      <c r="S717" s="3"/>
    </row>
    <row r="718" spans="2:19" x14ac:dyDescent="0.5">
      <c r="B718" s="5" t="str">
        <f t="shared" si="821"/>
        <v>SPS1</v>
      </c>
      <c r="C718" s="5" t="str">
        <f t="shared" si="821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SUMPRODUCT(("SUP_H2DSL"=[1]OUT_SyntheticFuels!$C$4:$C$1000)*1,("DSL"=[1]OUT_SyntheticFuels!$A$4:$A$1000)*1,("Var_Fout"=[1]OUT_SyntheticFuels!$B$4:$B$1000)*1,[1]OUT_SyntheticFuels!I$4:I$1000)</f>
        <v>0</v>
      </c>
      <c r="K718" s="18" cm="1">
        <f t="array" ref="K718">SUMPRODUCT(("SUP_H2DSL"=[1]OUT_SyntheticFuels!$C$4:$C$1000)*1,("DSL"=[1]OUT_SyntheticFuels!$A$4:$A$1000)*1,("Var_Fout"=[1]OUT_SyntheticFuels!$B$4:$B$1000)*1,[1]OUT_SyntheticFuels!J$4:J$1000)</f>
        <v>0</v>
      </c>
      <c r="L718" s="18" cm="1">
        <f t="array" ref="L718">SUMPRODUCT(("SUP_H2DSL"=[1]OUT_SyntheticFuels!$C$4:$C$1000)*1,("DSL"=[1]OUT_SyntheticFuels!$A$4:$A$1000)*1,("Var_Fout"=[1]OUT_SyntheticFuels!$B$4:$B$1000)*1,[1]OUT_SyntheticFuels!K$4:K$1000)</f>
        <v>0</v>
      </c>
      <c r="M718" s="18" cm="1">
        <f t="array" ref="M718">SUMPRODUCT(("SUP_H2DSL"=[1]OUT_SyntheticFuels!$C$4:$C$1000)*1,("DSL"=[1]OUT_SyntheticFuels!$A$4:$A$1000)*1,("Var_Fout"=[1]OUT_SyntheticFuels!$B$4:$B$1000)*1,[1]OUT_SyntheticFuels!L$4:L$1000)</f>
        <v>0</v>
      </c>
      <c r="N718" s="18" cm="1">
        <f t="array" ref="N718">SUMPRODUCT(("SUP_H2DSL"=[1]OUT_SyntheticFuels!$C$4:$C$1000)*1,("DSL"=[1]OUT_SyntheticFuels!$A$4:$A$1000)*1,("Var_Fout"=[1]OUT_SyntheticFuels!$B$4:$B$1000)*1,[1]OUT_SyntheticFuels!M$4:M$1000)</f>
        <v>0</v>
      </c>
      <c r="O718" s="18" cm="1">
        <f t="array" ref="O718">SUMPRODUCT(("SUP_H2DSL"=[1]OUT_SyntheticFuels!$C$4:$C$1000)*1,("DSL"=[1]OUT_SyntheticFuels!$A$4:$A$1000)*1,("Var_Fout"=[1]OUT_SyntheticFuels!$B$4:$B$1000)*1,[1]OUT_SyntheticFuels!N$4:N$1000)</f>
        <v>0</v>
      </c>
      <c r="P718" s="18" cm="1">
        <f t="array" ref="P718">SUMPRODUCT(("SUP_H2DSL"=[1]OUT_SyntheticFuels!$C$4:$C$1000)*1,("DSL"=[1]OUT_SyntheticFuels!$A$4:$A$1000)*1,("Var_Fout"=[1]OUT_SyntheticFuels!$B$4:$B$1000)*1,[1]OUT_SyntheticFuels!O$4:O$1000)</f>
        <v>0</v>
      </c>
      <c r="Q718" s="18" cm="1">
        <f t="array" ref="Q718">SUMPRODUCT(("SUP_H2DSL"=[1]OUT_SyntheticFuels!$C$4:$C$1000)*1,("DSL"=[1]OUT_SyntheticFuels!$A$4:$A$1000)*1,("Var_Fout"=[1]OUT_SyntheticFuels!$B$4:$B$1000)*1,[1]OUT_SyntheticFuels!P$4:P$1000)</f>
        <v>0</v>
      </c>
      <c r="S718" s="3"/>
    </row>
    <row r="719" spans="2:19" x14ac:dyDescent="0.5">
      <c r="B719" s="5" t="str">
        <f t="shared" ref="B719:C721" si="824">B718</f>
        <v>SPS1</v>
      </c>
      <c r="C719" s="5" t="str">
        <f t="shared" si="824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SUMPRODUCT(("SUP_H2gsl"=[1]OUT_SyntheticFuels!$C$4:$C$1000)*1,("gsl"=[1]OUT_SyntheticFuels!$A$4:$A$1000)*1,("Var_Fout"=[1]OUT_SyntheticFuels!$B$4:$B$1000)*1,[1]OUT_SyntheticFuels!I$4:I$1000)</f>
        <v>0</v>
      </c>
      <c r="K719" s="18" cm="1">
        <f t="array" ref="K719">SUMPRODUCT(("SUP_H2gsl"=[1]OUT_SyntheticFuels!$C$4:$C$1000)*1,("gsl"=[1]OUT_SyntheticFuels!$A$4:$A$1000)*1,("Var_Fout"=[1]OUT_SyntheticFuels!$B$4:$B$1000)*1,[1]OUT_SyntheticFuels!J$4:J$1000)</f>
        <v>0</v>
      </c>
      <c r="L719" s="18" cm="1">
        <f t="array" ref="L719">SUMPRODUCT(("SUP_H2gsl"=[1]OUT_SyntheticFuels!$C$4:$C$1000)*1,("gsl"=[1]OUT_SyntheticFuels!$A$4:$A$1000)*1,("Var_Fout"=[1]OUT_SyntheticFuels!$B$4:$B$1000)*1,[1]OUT_SyntheticFuels!K$4:K$1000)</f>
        <v>0</v>
      </c>
      <c r="M719" s="18" cm="1">
        <f t="array" ref="M719">SUMPRODUCT(("SUP_H2gsl"=[1]OUT_SyntheticFuels!$C$4:$C$1000)*1,("gsl"=[1]OUT_SyntheticFuels!$A$4:$A$1000)*1,("Var_Fout"=[1]OUT_SyntheticFuels!$B$4:$B$1000)*1,[1]OUT_SyntheticFuels!L$4:L$1000)</f>
        <v>0</v>
      </c>
      <c r="N719" s="18" cm="1">
        <f t="array" ref="N719">SUMPRODUCT(("SUP_H2gsl"=[1]OUT_SyntheticFuels!$C$4:$C$1000)*1,("gsl"=[1]OUT_SyntheticFuels!$A$4:$A$1000)*1,("Var_Fout"=[1]OUT_SyntheticFuels!$B$4:$B$1000)*1,[1]OUT_SyntheticFuels!M$4:M$1000)</f>
        <v>0</v>
      </c>
      <c r="O719" s="18" cm="1">
        <f t="array" ref="O719">SUMPRODUCT(("SUP_H2gsl"=[1]OUT_SyntheticFuels!$C$4:$C$1000)*1,("gsl"=[1]OUT_SyntheticFuels!$A$4:$A$1000)*1,("Var_Fout"=[1]OUT_SyntheticFuels!$B$4:$B$1000)*1,[1]OUT_SyntheticFuels!N$4:N$1000)</f>
        <v>0</v>
      </c>
      <c r="P719" s="18" cm="1">
        <f t="array" ref="P719">SUMPRODUCT(("SUP_H2gsl"=[1]OUT_SyntheticFuels!$C$4:$C$1000)*1,("gsl"=[1]OUT_SyntheticFuels!$A$4:$A$1000)*1,("Var_Fout"=[1]OUT_SyntheticFuels!$B$4:$B$1000)*1,[1]OUT_SyntheticFuels!O$4:O$1000)</f>
        <v>0</v>
      </c>
      <c r="Q719" s="18" cm="1">
        <f t="array" ref="Q719">SUMPRODUCT(("SUP_H2gsl"=[1]OUT_SyntheticFuels!$C$4:$C$1000)*1,("gsl"=[1]OUT_SyntheticFuels!$A$4:$A$1000)*1,("Var_Fout"=[1]OUT_SyntheticFuels!$B$4:$B$1000)*1,[1]OUT_SyntheticFuels!P$4:P$1000)</f>
        <v>0</v>
      </c>
      <c r="S719" s="3"/>
    </row>
    <row r="720" spans="2:19" x14ac:dyDescent="0.5">
      <c r="B720" s="5" t="str">
        <f t="shared" si="824"/>
        <v>SPS1</v>
      </c>
      <c r="C720" s="5" t="str">
        <f t="shared" si="824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SUMPRODUCT(("SUP_H2DSL"=[1]OUT_SyntheticFuels!$C$4:$C$1000)*1,("KER"=[1]OUT_SyntheticFuels!$A$4:$A$1000)*1,("Var_Fout"=[1]OUT_SyntheticFuels!$B$4:$B$1000)*1,[1]OUT_SyntheticFuels!I$4:I$1000)</f>
        <v>0</v>
      </c>
      <c r="K720" s="18" cm="1">
        <f t="array" ref="K720">SUMPRODUCT(("SUP_H2DSL"=[1]OUT_SyntheticFuels!$C$4:$C$1000)*1,("KER"=[1]OUT_SyntheticFuels!$A$4:$A$1000)*1,("Var_Fout"=[1]OUT_SyntheticFuels!$B$4:$B$1000)*1,[1]OUT_SyntheticFuels!J$4:J$1000)</f>
        <v>0</v>
      </c>
      <c r="L720" s="18" cm="1">
        <f t="array" ref="L720">SUMPRODUCT(("SUP_H2DSL"=[1]OUT_SyntheticFuels!$C$4:$C$1000)*1,("KER"=[1]OUT_SyntheticFuels!$A$4:$A$1000)*1,("Var_Fout"=[1]OUT_SyntheticFuels!$B$4:$B$1000)*1,[1]OUT_SyntheticFuels!K$4:K$1000)</f>
        <v>0</v>
      </c>
      <c r="M720" s="18" cm="1">
        <f t="array" ref="M720">SUMPRODUCT(("SUP_H2DSL"=[1]OUT_SyntheticFuels!$C$4:$C$1000)*1,("KER"=[1]OUT_SyntheticFuels!$A$4:$A$1000)*1,("Var_Fout"=[1]OUT_SyntheticFuels!$B$4:$B$1000)*1,[1]OUT_SyntheticFuels!L$4:L$1000)</f>
        <v>0</v>
      </c>
      <c r="N720" s="18" cm="1">
        <f t="array" ref="N720">SUMPRODUCT(("SUP_H2DSL"=[1]OUT_SyntheticFuels!$C$4:$C$1000)*1,("KER"=[1]OUT_SyntheticFuels!$A$4:$A$1000)*1,("Var_Fout"=[1]OUT_SyntheticFuels!$B$4:$B$1000)*1,[1]OUT_SyntheticFuels!M$4:M$1000)</f>
        <v>0</v>
      </c>
      <c r="O720" s="18" cm="1">
        <f t="array" ref="O720">SUMPRODUCT(("SUP_H2DSL"=[1]OUT_SyntheticFuels!$C$4:$C$1000)*1,("KER"=[1]OUT_SyntheticFuels!$A$4:$A$1000)*1,("Var_Fout"=[1]OUT_SyntheticFuels!$B$4:$B$1000)*1,[1]OUT_SyntheticFuels!N$4:N$1000)</f>
        <v>0</v>
      </c>
      <c r="P720" s="18" cm="1">
        <f t="array" ref="P720">SUMPRODUCT(("SUP_H2DSL"=[1]OUT_SyntheticFuels!$C$4:$C$1000)*1,("KER"=[1]OUT_SyntheticFuels!$A$4:$A$1000)*1,("Var_Fout"=[1]OUT_SyntheticFuels!$B$4:$B$1000)*1,[1]OUT_SyntheticFuels!O$4:O$1000)</f>
        <v>0</v>
      </c>
      <c r="Q720" s="18" cm="1">
        <f t="array" ref="Q720">SUMPRODUCT(("SUP_H2DSL"=[1]OUT_SyntheticFuels!$C$4:$C$1000)*1,("KER"=[1]OUT_SyntheticFuels!$A$4:$A$1000)*1,("Var_Fout"=[1]OUT_SyntheticFuels!$B$4:$B$1000)*1,[1]OUT_SyntheticFuels!P$4:P$1000)</f>
        <v>0</v>
      </c>
      <c r="S720" s="3"/>
    </row>
    <row r="721" spans="2:19" x14ac:dyDescent="0.5">
      <c r="B721" s="9" t="str">
        <f t="shared" si="824"/>
        <v>SPS1</v>
      </c>
      <c r="C721" s="9" t="str">
        <f t="shared" si="824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O721" si="825">G722</f>
        <v>0</v>
      </c>
      <c r="H721" s="17">
        <f t="shared" si="825"/>
        <v>0</v>
      </c>
      <c r="I721" s="17">
        <f t="shared" si="825"/>
        <v>0</v>
      </c>
      <c r="J721" s="17">
        <f t="shared" si="825"/>
        <v>0</v>
      </c>
      <c r="K721" s="17">
        <f t="shared" si="825"/>
        <v>0</v>
      </c>
      <c r="L721" s="17">
        <f t="shared" si="825"/>
        <v>0</v>
      </c>
      <c r="M721" s="17">
        <f t="shared" si="825"/>
        <v>0</v>
      </c>
      <c r="N721" s="17">
        <f t="shared" si="825"/>
        <v>0</v>
      </c>
      <c r="O721" s="17">
        <f t="shared" si="825"/>
        <v>0</v>
      </c>
      <c r="P721" s="17">
        <f>P722</f>
        <v>0</v>
      </c>
      <c r="Q721" s="17">
        <f>Q722</f>
        <v>0</v>
      </c>
      <c r="S721" s="3"/>
    </row>
    <row r="722" spans="2:19" x14ac:dyDescent="0.5">
      <c r="B722" s="5" t="str">
        <f>B721</f>
        <v>SPS1</v>
      </c>
      <c r="C722" s="5" t="str">
        <f t="shared" ref="C722:C728" si="826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827">SUM(G723,G725)</f>
        <v>0</v>
      </c>
      <c r="H722" s="18">
        <f t="shared" si="827"/>
        <v>0</v>
      </c>
      <c r="I722" s="18">
        <f t="shared" si="827"/>
        <v>0</v>
      </c>
      <c r="J722" s="18">
        <f t="shared" si="827"/>
        <v>0</v>
      </c>
      <c r="K722" s="18">
        <f t="shared" si="827"/>
        <v>0</v>
      </c>
      <c r="L722" s="18">
        <f t="shared" ref="L722:O722" si="828">SUM(L723,L725)</f>
        <v>0</v>
      </c>
      <c r="M722" s="18">
        <f t="shared" si="828"/>
        <v>0</v>
      </c>
      <c r="N722" s="18">
        <f t="shared" si="828"/>
        <v>0</v>
      </c>
      <c r="O722" s="18">
        <f t="shared" si="828"/>
        <v>0</v>
      </c>
      <c r="P722" s="18">
        <f>SUM(P723,P725)</f>
        <v>0</v>
      </c>
      <c r="Q722" s="18">
        <f>SUM(Q723,Q725)</f>
        <v>0</v>
      </c>
      <c r="S722" s="3"/>
    </row>
    <row r="723" spans="2:19" x14ac:dyDescent="0.5">
      <c r="B723" s="5" t="str">
        <f t="shared" ref="B723:B728" si="829">B722</f>
        <v>SPS1</v>
      </c>
      <c r="C723" s="5" t="str">
        <f t="shared" si="826"/>
        <v>CH</v>
      </c>
      <c r="D723" t="s">
        <v>929</v>
      </c>
      <c r="E723" s="5" t="s">
        <v>8</v>
      </c>
      <c r="F723" s="18">
        <f>F724</f>
        <v>0</v>
      </c>
      <c r="G723" s="18">
        <f t="shared" ref="G723:O723" si="830">G724</f>
        <v>0</v>
      </c>
      <c r="H723" s="18">
        <f t="shared" si="830"/>
        <v>0</v>
      </c>
      <c r="I723" s="18">
        <f t="shared" si="830"/>
        <v>0</v>
      </c>
      <c r="J723" s="18">
        <f t="shared" si="830"/>
        <v>0</v>
      </c>
      <c r="K723" s="18">
        <f t="shared" si="830"/>
        <v>0</v>
      </c>
      <c r="L723" s="18">
        <f t="shared" si="830"/>
        <v>0</v>
      </c>
      <c r="M723" s="18">
        <f t="shared" si="830"/>
        <v>0</v>
      </c>
      <c r="N723" s="18">
        <f t="shared" si="830"/>
        <v>0</v>
      </c>
      <c r="O723" s="18">
        <f t="shared" si="830"/>
        <v>0</v>
      </c>
      <c r="P723" s="18">
        <f>P724</f>
        <v>0</v>
      </c>
      <c r="Q723" s="18">
        <f>Q724</f>
        <v>0</v>
      </c>
      <c r="S723" s="3"/>
    </row>
    <row r="724" spans="2:19" x14ac:dyDescent="0.5">
      <c r="B724" s="5" t="str">
        <f t="shared" si="829"/>
        <v>SPS1</v>
      </c>
      <c r="C724" s="5" t="str">
        <f t="shared" si="826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SUMPRODUCT(("SUP_H2NGA"=[1]OUT_SyntheticFuels!$C$4:$C$1000)*1,("H2"=[1]OUT_SyntheticFuels!$A$4:$A$1000)*1,("Var_Fin"=[1]OUT_SyntheticFuels!$B$4:$B$1000)*1,[1]OUT_SyntheticFuels!I$4:I$1000)</f>
        <v>0</v>
      </c>
      <c r="K724" s="10" cm="1">
        <f t="array" ref="K724">SUMPRODUCT(("SUP_H2NGA"=[1]OUT_SyntheticFuels!$C$4:$C$1000)*1,("H2"=[1]OUT_SyntheticFuels!$A$4:$A$1000)*1,("Var_Fin"=[1]OUT_SyntheticFuels!$B$4:$B$1000)*1,[1]OUT_SyntheticFuels!J$4:J$1000)</f>
        <v>0</v>
      </c>
      <c r="L724" s="10" cm="1">
        <f t="array" ref="L724">SUMPRODUCT(("SUP_H2NGA"=[1]OUT_SyntheticFuels!$C$4:$C$1000)*1,("H2"=[1]OUT_SyntheticFuels!$A$4:$A$1000)*1,("Var_Fin"=[1]OUT_SyntheticFuels!$B$4:$B$1000)*1,[1]OUT_SyntheticFuels!K$4:K$1000)</f>
        <v>0</v>
      </c>
      <c r="M724" s="10" cm="1">
        <f t="array" ref="M724">SUMPRODUCT(("SUP_H2NGA"=[1]OUT_SyntheticFuels!$C$4:$C$1000)*1,("H2"=[1]OUT_SyntheticFuels!$A$4:$A$1000)*1,("Var_Fin"=[1]OUT_SyntheticFuels!$B$4:$B$1000)*1,[1]OUT_SyntheticFuels!L$4:L$1000)</f>
        <v>0</v>
      </c>
      <c r="N724" s="10" cm="1">
        <f t="array" ref="N724">SUMPRODUCT(("SUP_H2NGA"=[1]OUT_SyntheticFuels!$C$4:$C$1000)*1,("H2"=[1]OUT_SyntheticFuels!$A$4:$A$1000)*1,("Var_Fin"=[1]OUT_SyntheticFuels!$B$4:$B$1000)*1,[1]OUT_SyntheticFuels!M$4:M$1000)</f>
        <v>0</v>
      </c>
      <c r="O724" s="10" cm="1">
        <f t="array" ref="O724">SUMPRODUCT(("SUP_H2NGA"=[1]OUT_SyntheticFuels!$C$4:$C$1000)*1,("H2"=[1]OUT_SyntheticFuels!$A$4:$A$1000)*1,("Var_Fin"=[1]OUT_SyntheticFuels!$B$4:$B$1000)*1,[1]OUT_SyntheticFuels!N$4:N$1000)</f>
        <v>0</v>
      </c>
      <c r="P724" s="10" cm="1">
        <f t="array" ref="P724">SUMPRODUCT(("SUP_H2NGA"=[1]OUT_SyntheticFuels!$C$4:$C$1000)*1,("H2"=[1]OUT_SyntheticFuels!$A$4:$A$1000)*1,("Var_Fin"=[1]OUT_SyntheticFuels!$B$4:$B$1000)*1,[1]OUT_SyntheticFuels!O$4:O$1000)</f>
        <v>0</v>
      </c>
      <c r="Q724" s="10" cm="1">
        <f t="array" ref="Q724">SUMPRODUCT(("SUP_H2NGA"=[1]OUT_SyntheticFuels!$C$4:$C$1000)*1,("H2"=[1]OUT_SyntheticFuels!$A$4:$A$1000)*1,("Var_Fin"=[1]OUT_SyntheticFuels!$B$4:$B$1000)*1,[1]OUT_SyntheticFuels!P$4:P$1000)</f>
        <v>0</v>
      </c>
      <c r="S724" s="3"/>
    </row>
    <row r="725" spans="2:19" x14ac:dyDescent="0.5">
      <c r="B725" s="5" t="str">
        <f t="shared" si="829"/>
        <v>SPS1</v>
      </c>
      <c r="C725" s="5" t="str">
        <f t="shared" si="826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831">SUM(G726:G728)</f>
        <v>0</v>
      </c>
      <c r="H725" s="18">
        <f t="shared" si="831"/>
        <v>0</v>
      </c>
      <c r="I725" s="18">
        <f t="shared" si="831"/>
        <v>0</v>
      </c>
      <c r="J725" s="18">
        <f t="shared" si="831"/>
        <v>0</v>
      </c>
      <c r="K725" s="18">
        <f t="shared" si="831"/>
        <v>0</v>
      </c>
      <c r="L725" s="18">
        <f t="shared" ref="L725:O725" si="832">SUM(L726:L728)</f>
        <v>0</v>
      </c>
      <c r="M725" s="18">
        <f t="shared" si="832"/>
        <v>0</v>
      </c>
      <c r="N725" s="18">
        <f t="shared" si="832"/>
        <v>0</v>
      </c>
      <c r="O725" s="18">
        <f t="shared" si="832"/>
        <v>0</v>
      </c>
      <c r="P725" s="18">
        <f>SUM(P726:P728)</f>
        <v>0</v>
      </c>
      <c r="Q725" s="18">
        <f>SUM(Q726:Q728)</f>
        <v>0</v>
      </c>
      <c r="S725" s="3"/>
    </row>
    <row r="726" spans="2:19" x14ac:dyDescent="0.5">
      <c r="B726" s="5" t="str">
        <f t="shared" si="829"/>
        <v>SPS1</v>
      </c>
      <c r="C726" s="5" t="str">
        <f t="shared" si="826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SUMPRODUCT(("SUP_H2DSL"=[1]OUT_SyntheticFuels!$C$4:$C$1000)*1,("H2"=[1]OUT_SyntheticFuels!$A$4:$A$1000)*1,("Var_Fin"=[1]OUT_SyntheticFuels!$B$4:$B$1000)*1,[1]OUT_SyntheticFuels!I$4:I$1000)*IFERROR(J718/SUM(J718,J720),0)</f>
        <v>0</v>
      </c>
      <c r="K726" s="10" cm="1">
        <f t="array" ref="K726">SUMPRODUCT(("SUP_H2DSL"=[1]OUT_SyntheticFuels!$C$4:$C$1000)*1,("H2"=[1]OUT_SyntheticFuels!$A$4:$A$1000)*1,("Var_Fin"=[1]OUT_SyntheticFuels!$B$4:$B$1000)*1,[1]OUT_SyntheticFuels!J$4:J$1000)*IFERROR(K718/SUM(K718,K720),0)</f>
        <v>0</v>
      </c>
      <c r="L726" s="10" cm="1">
        <f t="array" ref="L726">SUMPRODUCT(("SUP_H2DSL"=[1]OUT_SyntheticFuels!$C$4:$C$1000)*1,("H2"=[1]OUT_SyntheticFuels!$A$4:$A$1000)*1,("Var_Fin"=[1]OUT_SyntheticFuels!$B$4:$B$1000)*1,[1]OUT_SyntheticFuels!K$4:K$1000)*IFERROR(L718/SUM(L718,L720),0)</f>
        <v>0</v>
      </c>
      <c r="M726" s="10" cm="1">
        <f t="array" ref="M726">SUMPRODUCT(("SUP_H2DSL"=[1]OUT_SyntheticFuels!$C$4:$C$1000)*1,("H2"=[1]OUT_SyntheticFuels!$A$4:$A$1000)*1,("Var_Fin"=[1]OUT_SyntheticFuels!$B$4:$B$1000)*1,[1]OUT_SyntheticFuels!L$4:L$1000)*IFERROR(M718/SUM(M718,M720),0)</f>
        <v>0</v>
      </c>
      <c r="N726" s="10" cm="1">
        <f t="array" ref="N726">SUMPRODUCT(("SUP_H2DSL"=[1]OUT_SyntheticFuels!$C$4:$C$1000)*1,("H2"=[1]OUT_SyntheticFuels!$A$4:$A$1000)*1,("Var_Fin"=[1]OUT_SyntheticFuels!$B$4:$B$1000)*1,[1]OUT_SyntheticFuels!M$4:M$1000)*IFERROR(N718/SUM(N718,N720),0)</f>
        <v>0</v>
      </c>
      <c r="O726" s="10" cm="1">
        <f t="array" ref="O726">SUMPRODUCT(("SUP_H2DSL"=[1]OUT_SyntheticFuels!$C$4:$C$1000)*1,("H2"=[1]OUT_SyntheticFuels!$A$4:$A$1000)*1,("Var_Fin"=[1]OUT_SyntheticFuels!$B$4:$B$1000)*1,[1]OUT_SyntheticFuels!N$4:N$1000)*IFERROR(O718/SUM(O718,O720),0)</f>
        <v>0</v>
      </c>
      <c r="P726" s="10" cm="1">
        <f t="array" ref="P726">SUMPRODUCT(("SUP_H2DSL"=[1]OUT_SyntheticFuels!$C$4:$C$1000)*1,("H2"=[1]OUT_SyntheticFuels!$A$4:$A$1000)*1,("Var_Fin"=[1]OUT_SyntheticFuels!$B$4:$B$1000)*1,[1]OUT_SyntheticFuels!O$4:O$1000)*IFERROR(P718/SUM(P718,P720),0)</f>
        <v>0</v>
      </c>
      <c r="Q726" s="10" cm="1">
        <f t="array" ref="Q726">SUMPRODUCT(("SUP_H2DSL"=[1]OUT_SyntheticFuels!$C$4:$C$1000)*1,("H2"=[1]OUT_SyntheticFuels!$A$4:$A$1000)*1,("Var_Fin"=[1]OUT_SyntheticFuels!$B$4:$B$1000)*1,[1]OUT_SyntheticFuels!P$4:P$1000)*IFERROR(Q718/SUM(Q718,Q720),0)</f>
        <v>0</v>
      </c>
      <c r="S726" s="3"/>
    </row>
    <row r="727" spans="2:19" x14ac:dyDescent="0.5">
      <c r="B727" s="5" t="str">
        <f t="shared" si="829"/>
        <v>SPS1</v>
      </c>
      <c r="C727" s="5" t="str">
        <f t="shared" si="826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SUMPRODUCT(("SUP_H2GSL"=[1]OUT_SyntheticFuels!$C$4:$C$1000)*1,("H2"=[1]OUT_SyntheticFuels!$A$4:$A$1000)*1,("Var_Fin"=[1]OUT_SyntheticFuels!$B$4:$B$1000)*1,[1]OUT_SyntheticFuels!I$4:I$1000)</f>
        <v>0</v>
      </c>
      <c r="K727" s="10" cm="1">
        <f t="array" ref="K727">SUMPRODUCT(("SUP_H2GSL"=[1]OUT_SyntheticFuels!$C$4:$C$1000)*1,("H2"=[1]OUT_SyntheticFuels!$A$4:$A$1000)*1,("Var_Fin"=[1]OUT_SyntheticFuels!$B$4:$B$1000)*1,[1]OUT_SyntheticFuels!J$4:J$1000)</f>
        <v>0</v>
      </c>
      <c r="L727" s="10" cm="1">
        <f t="array" ref="L727">SUMPRODUCT(("SUP_H2GSL"=[1]OUT_SyntheticFuels!$C$4:$C$1000)*1,("H2"=[1]OUT_SyntheticFuels!$A$4:$A$1000)*1,("Var_Fin"=[1]OUT_SyntheticFuels!$B$4:$B$1000)*1,[1]OUT_SyntheticFuels!K$4:K$1000)</f>
        <v>0</v>
      </c>
      <c r="M727" s="10" cm="1">
        <f t="array" ref="M727">SUMPRODUCT(("SUP_H2GSL"=[1]OUT_SyntheticFuels!$C$4:$C$1000)*1,("H2"=[1]OUT_SyntheticFuels!$A$4:$A$1000)*1,("Var_Fin"=[1]OUT_SyntheticFuels!$B$4:$B$1000)*1,[1]OUT_SyntheticFuels!L$4:L$1000)</f>
        <v>0</v>
      </c>
      <c r="N727" s="10" cm="1">
        <f t="array" ref="N727">SUMPRODUCT(("SUP_H2GSL"=[1]OUT_SyntheticFuels!$C$4:$C$1000)*1,("H2"=[1]OUT_SyntheticFuels!$A$4:$A$1000)*1,("Var_Fin"=[1]OUT_SyntheticFuels!$B$4:$B$1000)*1,[1]OUT_SyntheticFuels!M$4:M$1000)</f>
        <v>0</v>
      </c>
      <c r="O727" s="10" cm="1">
        <f t="array" ref="O727">SUMPRODUCT(("SUP_H2GSL"=[1]OUT_SyntheticFuels!$C$4:$C$1000)*1,("H2"=[1]OUT_SyntheticFuels!$A$4:$A$1000)*1,("Var_Fin"=[1]OUT_SyntheticFuels!$B$4:$B$1000)*1,[1]OUT_SyntheticFuels!N$4:N$1000)</f>
        <v>0</v>
      </c>
      <c r="P727" s="10" cm="1">
        <f t="array" ref="P727">SUMPRODUCT(("SUP_H2GSL"=[1]OUT_SyntheticFuels!$C$4:$C$1000)*1,("H2"=[1]OUT_SyntheticFuels!$A$4:$A$1000)*1,("Var_Fin"=[1]OUT_SyntheticFuels!$B$4:$B$1000)*1,[1]OUT_SyntheticFuels!O$4:O$1000)</f>
        <v>0</v>
      </c>
      <c r="Q727" s="10" cm="1">
        <f t="array" ref="Q727">SUMPRODUCT(("SUP_H2GSL"=[1]OUT_SyntheticFuels!$C$4:$C$1000)*1,("H2"=[1]OUT_SyntheticFuels!$A$4:$A$1000)*1,("Var_Fin"=[1]OUT_SyntheticFuels!$B$4:$B$1000)*1,[1]OUT_SyntheticFuels!P$4:P$1000)</f>
        <v>0</v>
      </c>
      <c r="S727" s="3"/>
    </row>
    <row r="728" spans="2:19" x14ac:dyDescent="0.5">
      <c r="B728" s="5" t="str">
        <f t="shared" si="829"/>
        <v>SPS1</v>
      </c>
      <c r="C728" s="5" t="str">
        <f t="shared" si="826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SUMPRODUCT(("SUP_H2DSL"=[1]OUT_SyntheticFuels!$C$4:$C$1000)*1,("H2"=[1]OUT_SyntheticFuels!$A$4:$A$1000)*1,("Var_Fin"=[1]OUT_SyntheticFuels!$B$4:$B$1000)*1,[1]OUT_SyntheticFuels!I$4:I$1000)-J726</f>
        <v>0</v>
      </c>
      <c r="K728" s="10" cm="1">
        <f t="array" ref="K728">SUMPRODUCT(("SUP_H2DSL"=[1]OUT_SyntheticFuels!$C$4:$C$1000)*1,("H2"=[1]OUT_SyntheticFuels!$A$4:$A$1000)*1,("Var_Fin"=[1]OUT_SyntheticFuels!$B$4:$B$1000)*1,[1]OUT_SyntheticFuels!J$4:J$1000)-K726</f>
        <v>0</v>
      </c>
      <c r="L728" s="10" cm="1">
        <f t="array" ref="L728">SUMPRODUCT(("SUP_H2DSL"=[1]OUT_SyntheticFuels!$C$4:$C$1000)*1,("H2"=[1]OUT_SyntheticFuels!$A$4:$A$1000)*1,("Var_Fin"=[1]OUT_SyntheticFuels!$B$4:$B$1000)*1,[1]OUT_SyntheticFuels!K$4:K$1000)-L726</f>
        <v>0</v>
      </c>
      <c r="M728" s="10" cm="1">
        <f t="array" ref="M728">SUMPRODUCT(("SUP_H2DSL"=[1]OUT_SyntheticFuels!$C$4:$C$1000)*1,("H2"=[1]OUT_SyntheticFuels!$A$4:$A$1000)*1,("Var_Fin"=[1]OUT_SyntheticFuels!$B$4:$B$1000)*1,[1]OUT_SyntheticFuels!L$4:L$1000)-M726</f>
        <v>0</v>
      </c>
      <c r="N728" s="10" cm="1">
        <f t="array" ref="N728">SUMPRODUCT(("SUP_H2DSL"=[1]OUT_SyntheticFuels!$C$4:$C$1000)*1,("H2"=[1]OUT_SyntheticFuels!$A$4:$A$1000)*1,("Var_Fin"=[1]OUT_SyntheticFuels!$B$4:$B$1000)*1,[1]OUT_SyntheticFuels!M$4:M$1000)-N726</f>
        <v>0</v>
      </c>
      <c r="O728" s="10" cm="1">
        <f t="array" ref="O728">SUMPRODUCT(("SUP_H2DSL"=[1]OUT_SyntheticFuels!$C$4:$C$1000)*1,("H2"=[1]OUT_SyntheticFuels!$A$4:$A$1000)*1,("Var_Fin"=[1]OUT_SyntheticFuels!$B$4:$B$1000)*1,[1]OUT_SyntheticFuels!N$4:N$1000)-O726</f>
        <v>0</v>
      </c>
      <c r="P728" s="10" cm="1">
        <f t="array" ref="P728">SUMPRODUCT(("SUP_H2DSL"=[1]OUT_SyntheticFuels!$C$4:$C$1000)*1,("H2"=[1]OUT_SyntheticFuels!$A$4:$A$1000)*1,("Var_Fin"=[1]OUT_SyntheticFuels!$B$4:$B$1000)*1,[1]OUT_SyntheticFuels!O$4:O$1000)-P726</f>
        <v>0</v>
      </c>
      <c r="Q728" s="10" cm="1">
        <f t="array" ref="Q728">SUMPRODUCT(("SUP_H2DSL"=[1]OUT_SyntheticFuels!$C$4:$C$1000)*1,("H2"=[1]OUT_SyntheticFuels!$A$4:$A$1000)*1,("Var_Fin"=[1]OUT_SyntheticFuels!$B$4:$B$1000)*1,[1]OUT_SyntheticFuels!P$4:P$1000)-Q726</f>
        <v>0</v>
      </c>
      <c r="S728" s="3"/>
    </row>
    <row r="729" spans="2:19" x14ac:dyDescent="0.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M729" s="14" t="s">
        <v>292</v>
      </c>
      <c r="N729" s="14" t="s">
        <v>292</v>
      </c>
      <c r="O729" s="14" t="s">
        <v>292</v>
      </c>
      <c r="P729" s="14" t="s">
        <v>292</v>
      </c>
      <c r="Q729" s="14" t="s">
        <v>292</v>
      </c>
      <c r="S729" s="3"/>
    </row>
    <row r="730" spans="2:19" x14ac:dyDescent="0.5">
      <c r="B730" s="5" t="str">
        <f>B729</f>
        <v>SPS1</v>
      </c>
      <c r="C730" s="5" t="str">
        <f t="shared" ref="C730:C735" si="833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834">IFERROR(G716/G724,"-")</f>
        <v>-</v>
      </c>
      <c r="H730" s="14" t="str">
        <f t="shared" si="834"/>
        <v>-</v>
      </c>
      <c r="I730" s="14" t="str">
        <f t="shared" si="834"/>
        <v>-</v>
      </c>
      <c r="J730" s="14" t="str">
        <f t="shared" si="834"/>
        <v>-</v>
      </c>
      <c r="K730" s="14" t="str">
        <f t="shared" si="834"/>
        <v>-</v>
      </c>
      <c r="L730" s="14" t="str">
        <f t="shared" ref="L730:O730" si="835">IFERROR(L716/L724,"-")</f>
        <v>-</v>
      </c>
      <c r="M730" s="14" t="str">
        <f t="shared" si="835"/>
        <v>-</v>
      </c>
      <c r="N730" s="14" t="str">
        <f t="shared" si="835"/>
        <v>-</v>
      </c>
      <c r="O730" s="14" t="str">
        <f t="shared" si="835"/>
        <v>-</v>
      </c>
      <c r="P730" s="14" t="str">
        <f>IFERROR(P716/P724,"-")</f>
        <v>-</v>
      </c>
      <c r="Q730" s="14" t="str">
        <f>IFERROR(Q716/Q724,"-")</f>
        <v>-</v>
      </c>
      <c r="S730" s="3"/>
    </row>
    <row r="731" spans="2:19" x14ac:dyDescent="0.5">
      <c r="B731" s="5" t="str">
        <f t="shared" ref="B731:B735" si="836">B730</f>
        <v>SPS1</v>
      </c>
      <c r="C731" s="5" t="str">
        <f t="shared" si="833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37">IFERROR(G718/G726,"-")</f>
        <v>-</v>
      </c>
      <c r="H731" s="16" t="str">
        <f t="shared" si="837"/>
        <v>-</v>
      </c>
      <c r="I731" s="16" t="str">
        <f t="shared" si="837"/>
        <v>-</v>
      </c>
      <c r="J731" s="16" t="str">
        <f t="shared" si="837"/>
        <v>-</v>
      </c>
      <c r="K731" s="16" t="str">
        <f t="shared" si="837"/>
        <v>-</v>
      </c>
      <c r="L731" s="16" t="str">
        <f t="shared" ref="L731:O731" si="838">IFERROR(L718/L726,"-")</f>
        <v>-</v>
      </c>
      <c r="M731" s="16" t="str">
        <f t="shared" si="838"/>
        <v>-</v>
      </c>
      <c r="N731" s="16" t="str">
        <f t="shared" si="838"/>
        <v>-</v>
      </c>
      <c r="O731" s="16" t="str">
        <f t="shared" si="838"/>
        <v>-</v>
      </c>
      <c r="P731" s="16" t="str">
        <f t="shared" ref="P731:Q733" si="839">IFERROR(P718/P726,"-")</f>
        <v>-</v>
      </c>
      <c r="Q731" s="16" t="str">
        <f t="shared" si="839"/>
        <v>-</v>
      </c>
      <c r="S731" s="3"/>
    </row>
    <row r="732" spans="2:19" x14ac:dyDescent="0.5">
      <c r="B732" s="5" t="str">
        <f t="shared" si="836"/>
        <v>SPS1</v>
      </c>
      <c r="C732" s="5" t="str">
        <f t="shared" si="833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40">IFERROR(G719/G727,"-")</f>
        <v>-</v>
      </c>
      <c r="H732" s="16" t="str">
        <f t="shared" si="840"/>
        <v>-</v>
      </c>
      <c r="I732" s="16" t="str">
        <f t="shared" si="840"/>
        <v>-</v>
      </c>
      <c r="J732" s="16" t="str">
        <f t="shared" si="840"/>
        <v>-</v>
      </c>
      <c r="K732" s="16" t="str">
        <f t="shared" si="840"/>
        <v>-</v>
      </c>
      <c r="L732" s="16" t="str">
        <f t="shared" ref="L732:O732" si="841">IFERROR(L719/L727,"-")</f>
        <v>-</v>
      </c>
      <c r="M732" s="16" t="str">
        <f t="shared" si="841"/>
        <v>-</v>
      </c>
      <c r="N732" s="16" t="str">
        <f t="shared" si="841"/>
        <v>-</v>
      </c>
      <c r="O732" s="16" t="str">
        <f t="shared" si="841"/>
        <v>-</v>
      </c>
      <c r="P732" s="16" t="str">
        <f t="shared" si="839"/>
        <v>-</v>
      </c>
      <c r="Q732" s="16" t="str">
        <f t="shared" si="839"/>
        <v>-</v>
      </c>
      <c r="S732" s="3"/>
    </row>
    <row r="733" spans="2:19" x14ac:dyDescent="0.5">
      <c r="B733" s="5" t="str">
        <f t="shared" si="836"/>
        <v>SPS1</v>
      </c>
      <c r="C733" s="5" t="str">
        <f t="shared" si="833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42">IFERROR(G720/G728,"-")</f>
        <v>-</v>
      </c>
      <c r="H733" s="16" t="str">
        <f t="shared" si="842"/>
        <v>-</v>
      </c>
      <c r="I733" s="16" t="str">
        <f t="shared" si="842"/>
        <v>-</v>
      </c>
      <c r="J733" s="16" t="str">
        <f t="shared" si="842"/>
        <v>-</v>
      </c>
      <c r="K733" s="16" t="str">
        <f t="shared" si="842"/>
        <v>-</v>
      </c>
      <c r="L733" s="16" t="str">
        <f t="shared" ref="L733:O733" si="843">IFERROR(L720/L728,"-")</f>
        <v>-</v>
      </c>
      <c r="M733" s="16" t="str">
        <f t="shared" si="843"/>
        <v>-</v>
      </c>
      <c r="N733" s="16" t="str">
        <f t="shared" si="843"/>
        <v>-</v>
      </c>
      <c r="O733" s="16" t="str">
        <f t="shared" si="843"/>
        <v>-</v>
      </c>
      <c r="P733" s="16" t="str">
        <f t="shared" si="839"/>
        <v>-</v>
      </c>
      <c r="Q733" s="16" t="str">
        <f t="shared" si="839"/>
        <v>-</v>
      </c>
      <c r="S733" s="3"/>
    </row>
    <row r="734" spans="2:19" x14ac:dyDescent="0.5">
      <c r="B734" s="5" t="str">
        <f t="shared" si="836"/>
        <v>SPS1</v>
      </c>
      <c r="C734" s="5" t="str">
        <f t="shared" si="833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44">G735</f>
        <v>0</v>
      </c>
      <c r="H734" s="17">
        <f t="shared" ref="H734" si="845">H735</f>
        <v>0</v>
      </c>
      <c r="I734" s="17">
        <f t="shared" ref="I734" si="846">I735</f>
        <v>0</v>
      </c>
      <c r="J734" s="17">
        <f t="shared" ref="J734" si="847">J735</f>
        <v>0</v>
      </c>
      <c r="K734" s="17">
        <f t="shared" ref="K734:O734" si="848">K735</f>
        <v>0</v>
      </c>
      <c r="L734" s="17">
        <f t="shared" si="848"/>
        <v>0</v>
      </c>
      <c r="M734" s="17">
        <f t="shared" si="848"/>
        <v>0</v>
      </c>
      <c r="N734" s="17">
        <f t="shared" si="848"/>
        <v>0</v>
      </c>
      <c r="O734" s="17">
        <f t="shared" si="848"/>
        <v>0</v>
      </c>
      <c r="P734" s="17">
        <f>P735</f>
        <v>0</v>
      </c>
      <c r="Q734" s="17">
        <f>Q735</f>
        <v>0</v>
      </c>
      <c r="S734" s="3"/>
    </row>
    <row r="735" spans="2:19" x14ac:dyDescent="0.5">
      <c r="B735" s="5" t="str">
        <f t="shared" si="836"/>
        <v>SPS1</v>
      </c>
      <c r="C735" s="5" t="str">
        <f t="shared" si="833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49">SUM(G739,G741)</f>
        <v>0</v>
      </c>
      <c r="H735" s="18">
        <f t="shared" ref="H735" si="850">SUM(H739,H741)</f>
        <v>0</v>
      </c>
      <c r="I735" s="18">
        <f t="shared" ref="I735" si="851">SUM(I739,I741)</f>
        <v>0</v>
      </c>
      <c r="J735" s="18">
        <f t="shared" ref="J735" si="852">SUM(J739,J741)</f>
        <v>0</v>
      </c>
      <c r="K735" s="18">
        <f t="shared" ref="K735" si="853">SUM(K739,K741)</f>
        <v>0</v>
      </c>
      <c r="L735" s="18">
        <f t="shared" ref="L735:O735" si="854">SUM(L739,L741)</f>
        <v>0</v>
      </c>
      <c r="M735" s="18">
        <f t="shared" si="854"/>
        <v>0</v>
      </c>
      <c r="N735" s="18">
        <f t="shared" si="854"/>
        <v>0</v>
      </c>
      <c r="O735" s="18">
        <f t="shared" si="854"/>
        <v>0</v>
      </c>
      <c r="P735" s="18">
        <f>SUM(P739,P741)</f>
        <v>0</v>
      </c>
      <c r="Q735" s="18">
        <f>SUM(Q739,Q741)</f>
        <v>0</v>
      </c>
      <c r="S735" s="3"/>
    </row>
    <row r="736" spans="2:19" x14ac:dyDescent="0.5">
      <c r="B736" s="5" t="str">
        <f t="shared" ref="B736:C738" si="855">B735</f>
        <v>SPS1</v>
      </c>
      <c r="C736" s="5" t="str">
        <f t="shared" si="855"/>
        <v>CH</v>
      </c>
      <c r="D736" t="s">
        <v>445</v>
      </c>
      <c r="E736" s="5" t="s">
        <v>442</v>
      </c>
      <c r="F736" s="18" cm="1">
        <f t="array" ref="F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#REF!)/SUMPRODUCT(("Var_fout"=[1]OUT_CO2util!$B$3:$B$1000)*1,("CO2_O"=[1]OUT_CO2util!$A$3:$A$1000)*1,[1]OUT_CO2util!#REF!)*F735,0)</f>
        <v>0</v>
      </c>
      <c r="G736" s="18" cm="1">
        <f t="array" ref="G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A$3:A$1000)/SUMPRODUCT(("Var_fout"=[1]OUT_CO2util!$B$3:$B$1000)*1,("CO2_O"=[1]OUT_CO2util!$A$3:$A$1000)*1,[1]OUT_CO2util!A$3:A$1000)*G735,0)</f>
        <v>0</v>
      </c>
      <c r="H736" s="18" cm="1">
        <f t="array" ref="H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B$3:B$1000)/SUMPRODUCT(("Var_fout"=[1]OUT_CO2util!$B$3:$B$1000)*1,("CO2_O"=[1]OUT_CO2util!$A$3:$A$1000)*1,[1]OUT_CO2util!B$3:B$1000)*H735,0)</f>
        <v>0</v>
      </c>
      <c r="I736" s="18" cm="1">
        <f t="array" ref="I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C$3:C$1000)/SUMPRODUCT(("Var_fout"=[1]OUT_CO2util!$B$3:$B$1000)*1,("CO2_O"=[1]OUT_CO2util!$A$3:$A$1000)*1,[1]OUT_CO2util!C$3:C$1000)*I735,0)</f>
        <v>0</v>
      </c>
      <c r="J736" s="18" cm="1">
        <f t="array" ref="J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D$3:D$1000)/SUMPRODUCT(("Var_fout"=[1]OUT_CO2util!$B$3:$B$1000)*1,("CO2_O"=[1]OUT_CO2util!$A$3:$A$1000)*1,[1]OUT_CO2util!D$3:D$1000)*J735,0)</f>
        <v>0</v>
      </c>
      <c r="K736" s="18" cm="1">
        <f t="array" ref="K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E$3:E$1000)/SUMPRODUCT(("Var_fout"=[1]OUT_CO2util!$B$3:$B$1000)*1,("CO2_O"=[1]OUT_CO2util!$A$3:$A$1000)*1,[1]OUT_CO2util!E$3:E$1000)*K735,0)</f>
        <v>0</v>
      </c>
      <c r="L736" s="18" cm="1">
        <f t="array" ref="L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F$3:F$1000)/SUMPRODUCT(("Var_fout"=[1]OUT_CO2util!$B$3:$B$1000)*1,("CO2_O"=[1]OUT_CO2util!$A$3:$A$1000)*1,[1]OUT_CO2util!F$3:F$1000)*L735,0)</f>
        <v>0</v>
      </c>
      <c r="M736" s="18" cm="1">
        <f t="array" ref="M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G$3:G$1000)/SUMPRODUCT(("Var_fout"=[1]OUT_CO2util!$B$3:$B$1000)*1,("CO2_O"=[1]OUT_CO2util!$A$3:$A$1000)*1,[1]OUT_CO2util!G$3:G$1000)*M735,0)</f>
        <v>0</v>
      </c>
      <c r="N736" s="18" cm="1">
        <f t="array" ref="N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H$3:H$1000)/SUMPRODUCT(("Var_fout"=[1]OUT_CO2util!$B$3:$B$1000)*1,("CO2_O"=[1]OUT_CO2util!$A$3:$A$1000)*1,[1]OUT_CO2util!H$3:H$1000)*N735,0)</f>
        <v>0</v>
      </c>
      <c r="O736" s="18" cm="1">
        <f t="array" ref="O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I$3:I$1000)/SUMPRODUCT(("Var_fout"=[1]OUT_CO2util!$B$3:$B$1000)*1,("CO2_O"=[1]OUT_CO2util!$A$3:$A$1000)*1,[1]OUT_CO2util!I$3:I$1000)*O735,0)</f>
        <v>0</v>
      </c>
      <c r="P736" s="18" cm="1">
        <f t="array" ref="P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J$3:J$1000)/SUMPRODUCT(("Var_fout"=[1]OUT_CO2util!$B$3:$B$1000)*1,("CO2_O"=[1]OUT_CO2util!$A$3:$A$1000)*1,[1]OUT_CO2util!J$3:J$1000)*P735,0)</f>
        <v>0</v>
      </c>
      <c r="Q736" s="18" cm="1">
        <f t="array" ref="Q736">IFERROR(SUMPRODUCT(("CHPWSTCCS"=[1]OUT_CO2util!$C$3:$C$1000)*1+("EWOD-CCS"=[1]OUT_CO2util!$C$3:$C$1000)*1+("SUP_WODH2CCS"=[1]OUT_CO2util!$C$3:$C$1000)*1+("EWSTINCCS"=[1]OUT_CO2util!$C$3:$C$1000)*1+("SUP_WODBIOCCS"=[1]OUT_CO2util!$C$3:$C$1000)*1+("SUP_WSTBIOCCS"=[1]OUT_CO2util!$C$3:$C$1000)*1+("CT_CWODBDSCCS"=[1]OUT_CO2util!$C$3:$C$1000)*1+("CT_CWODETHCCS"=[1]OUT_CO2util!$C$3:$C$1000)*1+("ITOT-CHPWODCCS"=[1]OUT_CO2util!$C$3:$C$1000)*1+("ITOT-SWHPLTCCSBR"=[1]OUT_CO2util!$C$3:$C$1000)*1+("ITOT-SWHWODCCSBR"=[1]OUT_CO2util!$C$3:$C$1000)*1+("SUP_WSTHTGBIOCCS"=[1]OUT_CO2util!$C$3:$C$1000)*1,("Var_fout"=[1]OUT_CO2util!$B$3:$B$1000)*1,("CO2_O"=[1]OUT_CO2util!$A$3:$A$1000)*1,[1]OUT_CO2util!K$3:K$1000)/SUMPRODUCT(("Var_fout"=[1]OUT_CO2util!$B$3:$B$1000)*1,("CO2_O"=[1]OUT_CO2util!$A$3:$A$1000)*1,[1]OUT_CO2util!K$3:K$1000)*Q735,0)</f>
        <v>0</v>
      </c>
      <c r="S736" s="3"/>
    </row>
    <row r="737" spans="2:19" x14ac:dyDescent="0.5">
      <c r="B737" s="5" t="str">
        <f t="shared" si="855"/>
        <v>SPS1</v>
      </c>
      <c r="C737" s="5" t="str">
        <f t="shared" si="85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0</v>
      </c>
      <c r="L737" s="18">
        <f t="shared" ref="L737:O737" si="856">L735-L736-L738</f>
        <v>0</v>
      </c>
      <c r="M737" s="18">
        <f t="shared" si="856"/>
        <v>0</v>
      </c>
      <c r="N737" s="18">
        <f t="shared" si="856"/>
        <v>0</v>
      </c>
      <c r="O737" s="18">
        <f t="shared" si="856"/>
        <v>0</v>
      </c>
      <c r="P737" s="18">
        <f>P735-P736-P738</f>
        <v>0</v>
      </c>
      <c r="Q737" s="18">
        <f>Q735-Q736-Q738</f>
        <v>0</v>
      </c>
      <c r="S737" s="3"/>
    </row>
    <row r="738" spans="2:19" x14ac:dyDescent="0.5">
      <c r="B738" s="5" t="str">
        <f t="shared" si="855"/>
        <v>SPS1</v>
      </c>
      <c r="C738" s="5" t="str">
        <f t="shared" si="85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IF(SUMPRODUCT(("Var_fout"=[1]OUT_CO2util!$B$3:$B$1000)*1,("CO2_O"=[1]OUT_CO2util!$A$3:$A$1000)*1,[1]OUT_CO2util!D$3:D$1000)*J735=0,0,SUMPRODUCT(("SUP_DAC"=[1]OUT_CO2util!$C$3:$C$1000)*1,("Var_fout"=[1]OUT_CO2util!$B$3:$B$1000)*1,("CO2_O"=[1]OUT_CO2util!$A$3:$A$1000)*1,[1]OUT_CO2util!D$3:D$1000)/SUMPRODUCT(("Var_fout"=[1]OUT_CO2util!$B$3:$B$1000)*1,("CO2_O"=[1]OUT_CO2util!$A$3:$A$1000)*1,[1]OUT_CO2util!D$3:D$1000)*J735)</f>
        <v>0</v>
      </c>
      <c r="K738" s="18" cm="1">
        <f t="array" ref="K738">IF(SUMPRODUCT(("Var_fout"=[1]OUT_CO2util!$B$3:$B$1000)*1,("CO2_O"=[1]OUT_CO2util!$A$3:$A$1000)*1,[1]OUT_CO2util!E$3:E$1000)*K735=0,0,SUMPRODUCT(("SUP_DAC"=[1]OUT_CO2util!$C$3:$C$1000)*1,("Var_fout"=[1]OUT_CO2util!$B$3:$B$1000)*1,("CO2_O"=[1]OUT_CO2util!$A$3:$A$1000)*1,[1]OUT_CO2util!E$3:E$1000)/SUMPRODUCT(("Var_fout"=[1]OUT_CO2util!$B$3:$B$1000)*1,("CO2_O"=[1]OUT_CO2util!$A$3:$A$1000)*1,[1]OUT_CO2util!E$3:E$1000)*K735)</f>
        <v>0</v>
      </c>
      <c r="L738" s="18" cm="1">
        <f t="array" ref="L738">IF(SUMPRODUCT(("Var_fout"=[1]OUT_CO2util!$B$3:$B$1000)*1,("CO2_O"=[1]OUT_CO2util!$A$3:$A$1000)*1,[1]OUT_CO2util!F$3:F$1000)*L735=0,0,SUMPRODUCT(("SUP_DAC"=[1]OUT_CO2util!$C$3:$C$1000)*1,("Var_fout"=[1]OUT_CO2util!$B$3:$B$1000)*1,("CO2_O"=[1]OUT_CO2util!$A$3:$A$1000)*1,[1]OUT_CO2util!F$3:F$1000)/SUMPRODUCT(("Var_fout"=[1]OUT_CO2util!$B$3:$B$1000)*1,("CO2_O"=[1]OUT_CO2util!$A$3:$A$1000)*1,[1]OUT_CO2util!F$3:F$1000)*L735)</f>
        <v>0</v>
      </c>
      <c r="M738" s="18" cm="1">
        <f t="array" ref="M738">IF(SUMPRODUCT(("Var_fout"=[1]OUT_CO2util!$B$3:$B$1000)*1,("CO2_O"=[1]OUT_CO2util!$A$3:$A$1000)*1,[1]OUT_CO2util!G$3:G$1000)*M735=0,0,SUMPRODUCT(("SUP_DAC"=[1]OUT_CO2util!$C$3:$C$1000)*1,("Var_fout"=[1]OUT_CO2util!$B$3:$B$1000)*1,("CO2_O"=[1]OUT_CO2util!$A$3:$A$1000)*1,[1]OUT_CO2util!G$3:G$1000)/SUMPRODUCT(("Var_fout"=[1]OUT_CO2util!$B$3:$B$1000)*1,("CO2_O"=[1]OUT_CO2util!$A$3:$A$1000)*1,[1]OUT_CO2util!G$3:G$1000)*M735)</f>
        <v>0</v>
      </c>
      <c r="N738" s="18" cm="1">
        <f t="array" ref="N738">IF(SUMPRODUCT(("Var_fout"=[1]OUT_CO2util!$B$3:$B$1000)*1,("CO2_O"=[1]OUT_CO2util!$A$3:$A$1000)*1,[1]OUT_CO2util!H$3:H$1000)*N735=0,0,SUMPRODUCT(("SUP_DAC"=[1]OUT_CO2util!$C$3:$C$1000)*1,("Var_fout"=[1]OUT_CO2util!$B$3:$B$1000)*1,("CO2_O"=[1]OUT_CO2util!$A$3:$A$1000)*1,[1]OUT_CO2util!H$3:H$1000)/SUMPRODUCT(("Var_fout"=[1]OUT_CO2util!$B$3:$B$1000)*1,("CO2_O"=[1]OUT_CO2util!$A$3:$A$1000)*1,[1]OUT_CO2util!H$3:H$1000)*N735)</f>
        <v>0</v>
      </c>
      <c r="O738" s="18" cm="1">
        <f t="array" ref="O738">IF(SUMPRODUCT(("Var_fout"=[1]OUT_CO2util!$B$3:$B$1000)*1,("CO2_O"=[1]OUT_CO2util!$A$3:$A$1000)*1,[1]OUT_CO2util!I$3:I$1000)*O735=0,0,SUMPRODUCT(("SUP_DAC"=[1]OUT_CO2util!$C$3:$C$1000)*1,("Var_fout"=[1]OUT_CO2util!$B$3:$B$1000)*1,("CO2_O"=[1]OUT_CO2util!$A$3:$A$1000)*1,[1]OUT_CO2util!I$3:I$1000)/SUMPRODUCT(("Var_fout"=[1]OUT_CO2util!$B$3:$B$1000)*1,("CO2_O"=[1]OUT_CO2util!$A$3:$A$1000)*1,[1]OUT_CO2util!I$3:I$1000)*O735)</f>
        <v>0</v>
      </c>
      <c r="P738" s="18" cm="1">
        <f t="array" ref="P738">IF(SUMPRODUCT(("Var_fout"=[1]OUT_CO2util!$B$3:$B$1000)*1,("CO2_O"=[1]OUT_CO2util!$A$3:$A$1000)*1,[1]OUT_CO2util!J$3:J$1000)*P735=0,0,SUMPRODUCT(("SUP_DAC"=[1]OUT_CO2util!$C$3:$C$1000)*1,("Var_fout"=[1]OUT_CO2util!$B$3:$B$1000)*1,("CO2_O"=[1]OUT_CO2util!$A$3:$A$1000)*1,[1]OUT_CO2util!J$3:J$1000)/SUMPRODUCT(("Var_fout"=[1]OUT_CO2util!$B$3:$B$1000)*1,("CO2_O"=[1]OUT_CO2util!$A$3:$A$1000)*1,[1]OUT_CO2util!J$3:J$1000)*P735)</f>
        <v>0</v>
      </c>
      <c r="Q738" s="18" cm="1">
        <f t="array" ref="Q738">IF(SUMPRODUCT(("Var_fout"=[1]OUT_CO2util!$B$3:$B$1000)*1,("CO2_O"=[1]OUT_CO2util!$A$3:$A$1000)*1,[1]OUT_CO2util!K$3:K$1000)*Q735=0,0,SUMPRODUCT(("SUP_DAC"=[1]OUT_CO2util!$C$3:$C$1000)*1,("Var_fout"=[1]OUT_CO2util!$B$3:$B$1000)*1,("CO2_O"=[1]OUT_CO2util!$A$3:$A$1000)*1,[1]OUT_CO2util!K$3:K$1000)/SUMPRODUCT(("Var_fout"=[1]OUT_CO2util!$B$3:$B$1000)*1,("CO2_O"=[1]OUT_CO2util!$A$3:$A$1000)*1,[1]OUT_CO2util!K$3:K$1000)*Q735)</f>
        <v>0</v>
      </c>
      <c r="S738" s="3"/>
    </row>
    <row r="739" spans="2:19" x14ac:dyDescent="0.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57">G740</f>
        <v>0</v>
      </c>
      <c r="H739" s="18">
        <f t="shared" ref="H739" si="858">H740</f>
        <v>0</v>
      </c>
      <c r="I739" s="18">
        <f t="shared" ref="I739" si="859">I740</f>
        <v>0</v>
      </c>
      <c r="J739" s="18">
        <f t="shared" ref="J739" si="860">J740</f>
        <v>0</v>
      </c>
      <c r="K739" s="18">
        <f t="shared" ref="K739:O739" si="861">K740</f>
        <v>0</v>
      </c>
      <c r="L739" s="18">
        <f t="shared" si="861"/>
        <v>0</v>
      </c>
      <c r="M739" s="18">
        <f t="shared" si="861"/>
        <v>0</v>
      </c>
      <c r="N739" s="18">
        <f t="shared" si="861"/>
        <v>0</v>
      </c>
      <c r="O739" s="18">
        <f t="shared" si="861"/>
        <v>0</v>
      </c>
      <c r="P739" s="18">
        <f>P740</f>
        <v>0</v>
      </c>
      <c r="Q739" s="18">
        <f>Q740</f>
        <v>0</v>
      </c>
      <c r="S739" s="3"/>
    </row>
    <row r="740" spans="2:19" x14ac:dyDescent="0.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SUMPRODUCT(("SUP_H2NGA"=[1]OUT_SyntheticFuels!$C$4:$C$1000)*1,("CO2_M"=[1]OUT_SyntheticFuels!$A$4:$A$1000)*1,("Var_Fin"=[1]OUT_SyntheticFuels!$B$4:$B$1000)*1,[1]OUT_SyntheticFuels!I$4:I$1000)/1000</f>
        <v>0</v>
      </c>
      <c r="K740" s="10" cm="1">
        <f t="array" ref="K740">SUMPRODUCT(("SUP_H2NGA"=[1]OUT_SyntheticFuels!$C$4:$C$1000)*1,("CO2_M"=[1]OUT_SyntheticFuels!$A$4:$A$1000)*1,("Var_Fin"=[1]OUT_SyntheticFuels!$B$4:$B$1000)*1,[1]OUT_SyntheticFuels!J$4:J$1000)/1000</f>
        <v>0</v>
      </c>
      <c r="L740" s="10" cm="1">
        <f t="array" ref="L740">SUMPRODUCT(("SUP_H2NGA"=[1]OUT_SyntheticFuels!$C$4:$C$1000)*1,("CO2_M"=[1]OUT_SyntheticFuels!$A$4:$A$1000)*1,("Var_Fin"=[1]OUT_SyntheticFuels!$B$4:$B$1000)*1,[1]OUT_SyntheticFuels!K$4:K$1000)/1000</f>
        <v>0</v>
      </c>
      <c r="M740" s="10" cm="1">
        <f t="array" ref="M740">SUMPRODUCT(("SUP_H2NGA"=[1]OUT_SyntheticFuels!$C$4:$C$1000)*1,("CO2_M"=[1]OUT_SyntheticFuels!$A$4:$A$1000)*1,("Var_Fin"=[1]OUT_SyntheticFuels!$B$4:$B$1000)*1,[1]OUT_SyntheticFuels!L$4:L$1000)/1000</f>
        <v>0</v>
      </c>
      <c r="N740" s="10" cm="1">
        <f t="array" ref="N740">SUMPRODUCT(("SUP_H2NGA"=[1]OUT_SyntheticFuels!$C$4:$C$1000)*1,("CO2_M"=[1]OUT_SyntheticFuels!$A$4:$A$1000)*1,("Var_Fin"=[1]OUT_SyntheticFuels!$B$4:$B$1000)*1,[1]OUT_SyntheticFuels!M$4:M$1000)/1000</f>
        <v>0</v>
      </c>
      <c r="O740" s="10" cm="1">
        <f t="array" ref="O740">SUMPRODUCT(("SUP_H2NGA"=[1]OUT_SyntheticFuels!$C$4:$C$1000)*1,("CO2_M"=[1]OUT_SyntheticFuels!$A$4:$A$1000)*1,("Var_Fin"=[1]OUT_SyntheticFuels!$B$4:$B$1000)*1,[1]OUT_SyntheticFuels!N$4:N$1000)/1000</f>
        <v>0</v>
      </c>
      <c r="P740" s="10" cm="1">
        <f t="array" ref="P740">SUMPRODUCT(("SUP_H2NGA"=[1]OUT_SyntheticFuels!$C$4:$C$1000)*1,("CO2_M"=[1]OUT_SyntheticFuels!$A$4:$A$1000)*1,("Var_Fin"=[1]OUT_SyntheticFuels!$B$4:$B$1000)*1,[1]OUT_SyntheticFuels!O$4:O$1000)/1000</f>
        <v>0</v>
      </c>
      <c r="Q740" s="10" cm="1">
        <f t="array" ref="Q740">SUMPRODUCT(("SUP_H2NGA"=[1]OUT_SyntheticFuels!$C$4:$C$1000)*1,("CO2_M"=[1]OUT_SyntheticFuels!$A$4:$A$1000)*1,("Var_Fin"=[1]OUT_SyntheticFuels!$B$4:$B$1000)*1,[1]OUT_SyntheticFuels!P$4:P$1000)/1000</f>
        <v>0</v>
      </c>
      <c r="S740" s="3"/>
    </row>
    <row r="741" spans="2:19" x14ac:dyDescent="0.5">
      <c r="B741" s="5" t="str">
        <f t="shared" ref="B741:B744" si="862">B740</f>
        <v>SPS1</v>
      </c>
      <c r="C741" s="5" t="str">
        <f t="shared" ref="C741:C744" si="863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64">SUM(G742:G744)</f>
        <v>0</v>
      </c>
      <c r="H741" s="18">
        <f t="shared" ref="H741" si="865">SUM(H742:H744)</f>
        <v>0</v>
      </c>
      <c r="I741" s="18">
        <f t="shared" ref="I741" si="866">SUM(I742:I744)</f>
        <v>0</v>
      </c>
      <c r="J741" s="18">
        <f t="shared" ref="J741" si="867">SUM(J742:J744)</f>
        <v>0</v>
      </c>
      <c r="K741" s="18">
        <f t="shared" ref="K741" si="868">SUM(K742:K744)</f>
        <v>0</v>
      </c>
      <c r="L741" s="18">
        <f t="shared" ref="L741:O741" si="869">SUM(L742:L744)</f>
        <v>0</v>
      </c>
      <c r="M741" s="18">
        <f t="shared" si="869"/>
        <v>0</v>
      </c>
      <c r="N741" s="18">
        <f t="shared" si="869"/>
        <v>0</v>
      </c>
      <c r="O741" s="18">
        <f t="shared" si="869"/>
        <v>0</v>
      </c>
      <c r="P741" s="18">
        <f>SUM(P742:P744)</f>
        <v>0</v>
      </c>
      <c r="Q741" s="18">
        <f>SUM(Q742:Q744)</f>
        <v>0</v>
      </c>
      <c r="S741" s="3"/>
    </row>
    <row r="742" spans="2:19" x14ac:dyDescent="0.5">
      <c r="B742" s="5" t="str">
        <f t="shared" si="862"/>
        <v>SPS1</v>
      </c>
      <c r="C742" s="5" t="str">
        <f t="shared" si="863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SUMPRODUCT(("SUP_H2DSL"=[1]OUT_SyntheticFuels!$C$4:$C$1000)*1,("co2_m"=[1]OUT_SyntheticFuels!$A$4:$A$1000)*1,("Var_Fin"=[1]OUT_SyntheticFuels!$B$4:$B$1000)*1,[1]OUT_SyntheticFuels!I$4:I$1000)*IFERROR(J718/SUM(J718,J720),0)/1000</f>
        <v>0</v>
      </c>
      <c r="K742" s="10" cm="1">
        <f t="array" ref="K742">SUMPRODUCT(("SUP_H2DSL"=[1]OUT_SyntheticFuels!$C$4:$C$1000)*1,("co2_m"=[1]OUT_SyntheticFuels!$A$4:$A$1000)*1,("Var_Fin"=[1]OUT_SyntheticFuels!$B$4:$B$1000)*1,[1]OUT_SyntheticFuels!J$4:J$1000)*IFERROR(K718/SUM(K718,K720),0)/1000</f>
        <v>0</v>
      </c>
      <c r="L742" s="10" cm="1">
        <f t="array" ref="L742">SUMPRODUCT(("SUP_H2DSL"=[1]OUT_SyntheticFuels!$C$4:$C$1000)*1,("co2_m"=[1]OUT_SyntheticFuels!$A$4:$A$1000)*1,("Var_Fin"=[1]OUT_SyntheticFuels!$B$4:$B$1000)*1,[1]OUT_SyntheticFuels!K$4:K$1000)*IFERROR(L718/SUM(L718,L720),0)/1000</f>
        <v>0</v>
      </c>
      <c r="M742" s="10" cm="1">
        <f t="array" ref="M742">SUMPRODUCT(("SUP_H2DSL"=[1]OUT_SyntheticFuels!$C$4:$C$1000)*1,("co2_m"=[1]OUT_SyntheticFuels!$A$4:$A$1000)*1,("Var_Fin"=[1]OUT_SyntheticFuels!$B$4:$B$1000)*1,[1]OUT_SyntheticFuels!L$4:L$1000)*IFERROR(M718/SUM(M718,M720),0)/1000</f>
        <v>0</v>
      </c>
      <c r="N742" s="10" cm="1">
        <f t="array" ref="N742">SUMPRODUCT(("SUP_H2DSL"=[1]OUT_SyntheticFuels!$C$4:$C$1000)*1,("co2_m"=[1]OUT_SyntheticFuels!$A$4:$A$1000)*1,("Var_Fin"=[1]OUT_SyntheticFuels!$B$4:$B$1000)*1,[1]OUT_SyntheticFuels!M$4:M$1000)*IFERROR(N718/SUM(N718,N720),0)/1000</f>
        <v>0</v>
      </c>
      <c r="O742" s="10" cm="1">
        <f t="array" ref="O742">SUMPRODUCT(("SUP_H2DSL"=[1]OUT_SyntheticFuels!$C$4:$C$1000)*1,("co2_m"=[1]OUT_SyntheticFuels!$A$4:$A$1000)*1,("Var_Fin"=[1]OUT_SyntheticFuels!$B$4:$B$1000)*1,[1]OUT_SyntheticFuels!N$4:N$1000)*IFERROR(O718/SUM(O718,O720),0)/1000</f>
        <v>0</v>
      </c>
      <c r="P742" s="10" cm="1">
        <f t="array" ref="P742">SUMPRODUCT(("SUP_H2DSL"=[1]OUT_SyntheticFuels!$C$4:$C$1000)*1,("co2_m"=[1]OUT_SyntheticFuels!$A$4:$A$1000)*1,("Var_Fin"=[1]OUT_SyntheticFuels!$B$4:$B$1000)*1,[1]OUT_SyntheticFuels!O$4:O$1000)*IFERROR(P718/SUM(P718,P720),0)/1000</f>
        <v>0</v>
      </c>
      <c r="Q742" s="10" cm="1">
        <f t="array" ref="Q742">SUMPRODUCT(("SUP_H2DSL"=[1]OUT_SyntheticFuels!$C$4:$C$1000)*1,("co2_m"=[1]OUT_SyntheticFuels!$A$4:$A$1000)*1,("Var_Fin"=[1]OUT_SyntheticFuels!$B$4:$B$1000)*1,[1]OUT_SyntheticFuels!P$4:P$1000)*IFERROR(Q718/SUM(Q718,Q720),0)/1000</f>
        <v>0</v>
      </c>
      <c r="S742" s="3"/>
    </row>
    <row r="743" spans="2:19" x14ac:dyDescent="0.5">
      <c r="B743" s="5" t="str">
        <f t="shared" si="862"/>
        <v>SPS1</v>
      </c>
      <c r="C743" s="5" t="str">
        <f t="shared" si="863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SUMPRODUCT(("SUP_H2GSL"=[1]OUT_SyntheticFuels!$C$4:$C$1000)*1,("co2_m"=[1]OUT_SyntheticFuels!$A$4:$A$1000)*1,("Var_Fin"=[1]OUT_SyntheticFuels!$B$4:$B$1000)*1,[1]OUT_SyntheticFuels!I$4:I$1000)/1000</f>
        <v>0</v>
      </c>
      <c r="K743" s="10" cm="1">
        <f t="array" ref="K743">SUMPRODUCT(("SUP_H2GSL"=[1]OUT_SyntheticFuels!$C$4:$C$1000)*1,("co2_m"=[1]OUT_SyntheticFuels!$A$4:$A$1000)*1,("Var_Fin"=[1]OUT_SyntheticFuels!$B$4:$B$1000)*1,[1]OUT_SyntheticFuels!J$4:J$1000)/1000</f>
        <v>0</v>
      </c>
      <c r="L743" s="10" cm="1">
        <f t="array" ref="L743">SUMPRODUCT(("SUP_H2GSL"=[1]OUT_SyntheticFuels!$C$4:$C$1000)*1,("co2_m"=[1]OUT_SyntheticFuels!$A$4:$A$1000)*1,("Var_Fin"=[1]OUT_SyntheticFuels!$B$4:$B$1000)*1,[1]OUT_SyntheticFuels!K$4:K$1000)/1000</f>
        <v>0</v>
      </c>
      <c r="M743" s="10" cm="1">
        <f t="array" ref="M743">SUMPRODUCT(("SUP_H2GSL"=[1]OUT_SyntheticFuels!$C$4:$C$1000)*1,("co2_m"=[1]OUT_SyntheticFuels!$A$4:$A$1000)*1,("Var_Fin"=[1]OUT_SyntheticFuels!$B$4:$B$1000)*1,[1]OUT_SyntheticFuels!L$4:L$1000)/1000</f>
        <v>0</v>
      </c>
      <c r="N743" s="10" cm="1">
        <f t="array" ref="N743">SUMPRODUCT(("SUP_H2GSL"=[1]OUT_SyntheticFuels!$C$4:$C$1000)*1,("co2_m"=[1]OUT_SyntheticFuels!$A$4:$A$1000)*1,("Var_Fin"=[1]OUT_SyntheticFuels!$B$4:$B$1000)*1,[1]OUT_SyntheticFuels!M$4:M$1000)/1000</f>
        <v>0</v>
      </c>
      <c r="O743" s="10" cm="1">
        <f t="array" ref="O743">SUMPRODUCT(("SUP_H2GSL"=[1]OUT_SyntheticFuels!$C$4:$C$1000)*1,("co2_m"=[1]OUT_SyntheticFuels!$A$4:$A$1000)*1,("Var_Fin"=[1]OUT_SyntheticFuels!$B$4:$B$1000)*1,[1]OUT_SyntheticFuels!N$4:N$1000)/1000</f>
        <v>0</v>
      </c>
      <c r="P743" s="10" cm="1">
        <f t="array" ref="P743">SUMPRODUCT(("SUP_H2GSL"=[1]OUT_SyntheticFuels!$C$4:$C$1000)*1,("co2_m"=[1]OUT_SyntheticFuels!$A$4:$A$1000)*1,("Var_Fin"=[1]OUT_SyntheticFuels!$B$4:$B$1000)*1,[1]OUT_SyntheticFuels!O$4:O$1000)/1000</f>
        <v>0</v>
      </c>
      <c r="Q743" s="10" cm="1">
        <f t="array" ref="Q743">SUMPRODUCT(("SUP_H2GSL"=[1]OUT_SyntheticFuels!$C$4:$C$1000)*1,("co2_m"=[1]OUT_SyntheticFuels!$A$4:$A$1000)*1,("Var_Fin"=[1]OUT_SyntheticFuels!$B$4:$B$1000)*1,[1]OUT_SyntheticFuels!P$4:P$1000)/1000</f>
        <v>0</v>
      </c>
      <c r="S743" s="3"/>
    </row>
    <row r="744" spans="2:19" x14ac:dyDescent="0.5">
      <c r="B744" s="5" t="str">
        <f t="shared" si="862"/>
        <v>SPS1</v>
      </c>
      <c r="C744" s="5" t="str">
        <f t="shared" si="863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SUMPRODUCT(("SUP_H2DSL"=[1]OUT_SyntheticFuels!$C$4:$C$1000)*1,("co2_m"=[1]OUT_SyntheticFuels!$A$4:$A$1000)*1,("Var_Fin"=[1]OUT_SyntheticFuels!$B$4:$B$1000)*1,[1]OUT_SyntheticFuels!I$4:I$1000)/1000-J742</f>
        <v>0</v>
      </c>
      <c r="K744" s="10" cm="1">
        <f t="array" ref="K744">SUMPRODUCT(("SUP_H2DSL"=[1]OUT_SyntheticFuels!$C$4:$C$1000)*1,("co2_m"=[1]OUT_SyntheticFuels!$A$4:$A$1000)*1,("Var_Fin"=[1]OUT_SyntheticFuels!$B$4:$B$1000)*1,[1]OUT_SyntheticFuels!J$4:J$1000)/1000-K742</f>
        <v>0</v>
      </c>
      <c r="L744" s="10" cm="1">
        <f t="array" ref="L744">SUMPRODUCT(("SUP_H2DSL"=[1]OUT_SyntheticFuels!$C$4:$C$1000)*1,("co2_m"=[1]OUT_SyntheticFuels!$A$4:$A$1000)*1,("Var_Fin"=[1]OUT_SyntheticFuels!$B$4:$B$1000)*1,[1]OUT_SyntheticFuels!K$4:K$1000)/1000-L742</f>
        <v>0</v>
      </c>
      <c r="M744" s="10" cm="1">
        <f t="array" ref="M744">SUMPRODUCT(("SUP_H2DSL"=[1]OUT_SyntheticFuels!$C$4:$C$1000)*1,("co2_m"=[1]OUT_SyntheticFuels!$A$4:$A$1000)*1,("Var_Fin"=[1]OUT_SyntheticFuels!$B$4:$B$1000)*1,[1]OUT_SyntheticFuels!L$4:L$1000)/1000-M742</f>
        <v>0</v>
      </c>
      <c r="N744" s="10" cm="1">
        <f t="array" ref="N744">SUMPRODUCT(("SUP_H2DSL"=[1]OUT_SyntheticFuels!$C$4:$C$1000)*1,("co2_m"=[1]OUT_SyntheticFuels!$A$4:$A$1000)*1,("Var_Fin"=[1]OUT_SyntheticFuels!$B$4:$B$1000)*1,[1]OUT_SyntheticFuels!M$4:M$1000)/1000-N742</f>
        <v>0</v>
      </c>
      <c r="O744" s="10" cm="1">
        <f t="array" ref="O744">SUMPRODUCT(("SUP_H2DSL"=[1]OUT_SyntheticFuels!$C$4:$C$1000)*1,("co2_m"=[1]OUT_SyntheticFuels!$A$4:$A$1000)*1,("Var_Fin"=[1]OUT_SyntheticFuels!$B$4:$B$1000)*1,[1]OUT_SyntheticFuels!N$4:N$1000)/1000-O742</f>
        <v>0</v>
      </c>
      <c r="P744" s="10" cm="1">
        <f t="array" ref="P744">SUMPRODUCT(("SUP_H2DSL"=[1]OUT_SyntheticFuels!$C$4:$C$1000)*1,("co2_m"=[1]OUT_SyntheticFuels!$A$4:$A$1000)*1,("Var_Fin"=[1]OUT_SyntheticFuels!$B$4:$B$1000)*1,[1]OUT_SyntheticFuels!O$4:O$1000)/1000-P742</f>
        <v>0</v>
      </c>
      <c r="Q744" s="10" cm="1">
        <f t="array" ref="Q744">SUMPRODUCT(("SUP_H2DSL"=[1]OUT_SyntheticFuels!$C$4:$C$1000)*1,("co2_m"=[1]OUT_SyntheticFuels!$A$4:$A$1000)*1,("Var_Fin"=[1]OUT_SyntheticFuels!$B$4:$B$1000)*1,[1]OUT_SyntheticFuels!P$4:P$1000)/1000-Q742</f>
        <v>0</v>
      </c>
      <c r="S744" s="3"/>
    </row>
    <row r="745" spans="2:19" x14ac:dyDescent="0.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70">IFERROR(G$736/G$735,0)*G739</f>
        <v>0</v>
      </c>
      <c r="H745" s="18">
        <f t="shared" si="870"/>
        <v>0</v>
      </c>
      <c r="I745" s="18">
        <f t="shared" si="870"/>
        <v>0</v>
      </c>
      <c r="J745" s="18">
        <f t="shared" si="870"/>
        <v>0</v>
      </c>
      <c r="K745" s="18">
        <f t="shared" si="870"/>
        <v>0</v>
      </c>
      <c r="L745" s="18">
        <f t="shared" ref="L745:O745" si="871">IFERROR(L$736/L$735,0)*L739</f>
        <v>0</v>
      </c>
      <c r="M745" s="18">
        <f t="shared" si="871"/>
        <v>0</v>
      </c>
      <c r="N745" s="18">
        <f t="shared" si="871"/>
        <v>0</v>
      </c>
      <c r="O745" s="18">
        <f t="shared" si="871"/>
        <v>0</v>
      </c>
      <c r="P745" s="18">
        <f t="shared" ref="P745:Q750" si="872">IFERROR(P$736/P$735,0)*P739</f>
        <v>0</v>
      </c>
      <c r="Q745" s="18">
        <f t="shared" si="872"/>
        <v>0</v>
      </c>
      <c r="S745" s="3"/>
    </row>
    <row r="746" spans="2:19" x14ac:dyDescent="0.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73">IFERROR(F$736/F$735,0)*F740</f>
        <v>0</v>
      </c>
      <c r="G746" s="18">
        <f t="shared" si="873"/>
        <v>0</v>
      </c>
      <c r="H746" s="18">
        <f t="shared" si="873"/>
        <v>0</v>
      </c>
      <c r="I746" s="18">
        <f t="shared" si="873"/>
        <v>0</v>
      </c>
      <c r="J746" s="18">
        <f t="shared" si="873"/>
        <v>0</v>
      </c>
      <c r="K746" s="18">
        <f t="shared" si="873"/>
        <v>0</v>
      </c>
      <c r="L746" s="18">
        <f t="shared" ref="L746:O746" si="874">IFERROR(L$736/L$735,0)*L740</f>
        <v>0</v>
      </c>
      <c r="M746" s="18">
        <f t="shared" si="874"/>
        <v>0</v>
      </c>
      <c r="N746" s="18">
        <f t="shared" si="874"/>
        <v>0</v>
      </c>
      <c r="O746" s="18">
        <f t="shared" si="874"/>
        <v>0</v>
      </c>
      <c r="P746" s="18">
        <f t="shared" si="872"/>
        <v>0</v>
      </c>
      <c r="Q746" s="18">
        <f t="shared" si="872"/>
        <v>0</v>
      </c>
      <c r="S746" s="3"/>
    </row>
    <row r="747" spans="2:19" x14ac:dyDescent="0.5">
      <c r="B747" s="5" t="str">
        <f t="shared" ref="B747:B750" si="875">B746</f>
        <v>SPS1</v>
      </c>
      <c r="C747" s="5" t="str">
        <f t="shared" ref="C747:C750" si="876">C746</f>
        <v>CH</v>
      </c>
      <c r="D747" t="s">
        <v>934</v>
      </c>
      <c r="E747" s="5" t="s">
        <v>442</v>
      </c>
      <c r="F747" s="18">
        <f t="shared" ref="F747:K747" si="877">IFERROR(F$736/F$735,0)*F741</f>
        <v>0</v>
      </c>
      <c r="G747" s="18">
        <f t="shared" si="877"/>
        <v>0</v>
      </c>
      <c r="H747" s="18">
        <f t="shared" si="877"/>
        <v>0</v>
      </c>
      <c r="I747" s="18">
        <f t="shared" si="877"/>
        <v>0</v>
      </c>
      <c r="J747" s="18">
        <f t="shared" si="877"/>
        <v>0</v>
      </c>
      <c r="K747" s="18">
        <f t="shared" si="877"/>
        <v>0</v>
      </c>
      <c r="L747" s="18">
        <f t="shared" ref="L747:O747" si="878">IFERROR(L$736/L$735,0)*L741</f>
        <v>0</v>
      </c>
      <c r="M747" s="18">
        <f t="shared" si="878"/>
        <v>0</v>
      </c>
      <c r="N747" s="18">
        <f t="shared" si="878"/>
        <v>0</v>
      </c>
      <c r="O747" s="18">
        <f t="shared" si="878"/>
        <v>0</v>
      </c>
      <c r="P747" s="18">
        <f t="shared" si="872"/>
        <v>0</v>
      </c>
      <c r="Q747" s="18">
        <f t="shared" si="872"/>
        <v>0</v>
      </c>
      <c r="S747" s="3"/>
    </row>
    <row r="748" spans="2:19" x14ac:dyDescent="0.5">
      <c r="B748" s="5" t="str">
        <f t="shared" si="875"/>
        <v>SPS1</v>
      </c>
      <c r="C748" s="5" t="str">
        <f t="shared" si="876"/>
        <v>CH</v>
      </c>
      <c r="D748" t="s">
        <v>457</v>
      </c>
      <c r="E748" s="5" t="s">
        <v>442</v>
      </c>
      <c r="F748" s="18">
        <f t="shared" ref="F748:K748" si="879">IFERROR(F$736/F$735,0)*F742</f>
        <v>0</v>
      </c>
      <c r="G748" s="18">
        <f t="shared" si="879"/>
        <v>0</v>
      </c>
      <c r="H748" s="18">
        <f t="shared" si="879"/>
        <v>0</v>
      </c>
      <c r="I748" s="18">
        <f t="shared" si="879"/>
        <v>0</v>
      </c>
      <c r="J748" s="18">
        <f t="shared" si="879"/>
        <v>0</v>
      </c>
      <c r="K748" s="18">
        <f t="shared" si="879"/>
        <v>0</v>
      </c>
      <c r="L748" s="18">
        <f t="shared" ref="L748:O748" si="880">IFERROR(L$736/L$735,0)*L742</f>
        <v>0</v>
      </c>
      <c r="M748" s="18">
        <f t="shared" si="880"/>
        <v>0</v>
      </c>
      <c r="N748" s="18">
        <f t="shared" si="880"/>
        <v>0</v>
      </c>
      <c r="O748" s="18">
        <f t="shared" si="880"/>
        <v>0</v>
      </c>
      <c r="P748" s="18">
        <f t="shared" si="872"/>
        <v>0</v>
      </c>
      <c r="Q748" s="18">
        <f t="shared" si="872"/>
        <v>0</v>
      </c>
      <c r="S748" s="3"/>
    </row>
    <row r="749" spans="2:19" x14ac:dyDescent="0.5">
      <c r="B749" s="5" t="str">
        <f t="shared" si="875"/>
        <v>SPS1</v>
      </c>
      <c r="C749" s="5" t="str">
        <f t="shared" si="876"/>
        <v>CH</v>
      </c>
      <c r="D749" t="s">
        <v>458</v>
      </c>
      <c r="E749" s="5" t="s">
        <v>442</v>
      </c>
      <c r="F749" s="18">
        <f t="shared" ref="F749:K749" si="881">IFERROR(F$736/F$735,0)*F743</f>
        <v>0</v>
      </c>
      <c r="G749" s="18">
        <f t="shared" si="881"/>
        <v>0</v>
      </c>
      <c r="H749" s="18">
        <f t="shared" si="881"/>
        <v>0</v>
      </c>
      <c r="I749" s="18">
        <f t="shared" si="881"/>
        <v>0</v>
      </c>
      <c r="J749" s="18">
        <f t="shared" si="881"/>
        <v>0</v>
      </c>
      <c r="K749" s="18">
        <f t="shared" si="881"/>
        <v>0</v>
      </c>
      <c r="L749" s="18">
        <f t="shared" ref="L749:O749" si="882">IFERROR(L$736/L$735,0)*L743</f>
        <v>0</v>
      </c>
      <c r="M749" s="18">
        <f t="shared" si="882"/>
        <v>0</v>
      </c>
      <c r="N749" s="18">
        <f t="shared" si="882"/>
        <v>0</v>
      </c>
      <c r="O749" s="18">
        <f t="shared" si="882"/>
        <v>0</v>
      </c>
      <c r="P749" s="18">
        <f t="shared" si="872"/>
        <v>0</v>
      </c>
      <c r="Q749" s="18">
        <f t="shared" si="872"/>
        <v>0</v>
      </c>
      <c r="S749" s="3"/>
    </row>
    <row r="750" spans="2:19" x14ac:dyDescent="0.5">
      <c r="B750" s="5" t="str">
        <f t="shared" si="875"/>
        <v>SPS1</v>
      </c>
      <c r="C750" s="5" t="str">
        <f t="shared" si="876"/>
        <v>CH</v>
      </c>
      <c r="D750" t="s">
        <v>459</v>
      </c>
      <c r="E750" s="5" t="s">
        <v>442</v>
      </c>
      <c r="F750" s="18">
        <f t="shared" ref="F750:K750" si="883">IFERROR(F$736/F$735,0)*F744</f>
        <v>0</v>
      </c>
      <c r="G750" s="18">
        <f t="shared" si="883"/>
        <v>0</v>
      </c>
      <c r="H750" s="18">
        <f t="shared" si="883"/>
        <v>0</v>
      </c>
      <c r="I750" s="18">
        <f t="shared" si="883"/>
        <v>0</v>
      </c>
      <c r="J750" s="18">
        <f t="shared" si="883"/>
        <v>0</v>
      </c>
      <c r="K750" s="18">
        <f t="shared" si="883"/>
        <v>0</v>
      </c>
      <c r="L750" s="18">
        <f t="shared" ref="L750:O750" si="884">IFERROR(L$736/L$735,0)*L744</f>
        <v>0</v>
      </c>
      <c r="M750" s="18">
        <f t="shared" si="884"/>
        <v>0</v>
      </c>
      <c r="N750" s="18">
        <f t="shared" si="884"/>
        <v>0</v>
      </c>
      <c r="O750" s="18">
        <f t="shared" si="884"/>
        <v>0</v>
      </c>
      <c r="P750" s="18">
        <f t="shared" si="872"/>
        <v>0</v>
      </c>
      <c r="Q750" s="18">
        <f t="shared" si="872"/>
        <v>0</v>
      </c>
      <c r="S750" s="3"/>
    </row>
    <row r="751" spans="2:19" x14ac:dyDescent="0.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85">IFERROR(G$737/G$735,0)*G739</f>
        <v>0</v>
      </c>
      <c r="H751" s="18">
        <f t="shared" si="885"/>
        <v>0</v>
      </c>
      <c r="I751" s="18">
        <f t="shared" si="885"/>
        <v>0</v>
      </c>
      <c r="J751" s="18">
        <f t="shared" si="885"/>
        <v>0</v>
      </c>
      <c r="K751" s="18">
        <f t="shared" si="885"/>
        <v>0</v>
      </c>
      <c r="L751" s="18">
        <f t="shared" ref="L751:O751" si="886">IFERROR(L$737/L$735,0)*L739</f>
        <v>0</v>
      </c>
      <c r="M751" s="18">
        <f t="shared" si="886"/>
        <v>0</v>
      </c>
      <c r="N751" s="18">
        <f t="shared" si="886"/>
        <v>0</v>
      </c>
      <c r="O751" s="18">
        <f t="shared" si="886"/>
        <v>0</v>
      </c>
      <c r="P751" s="18">
        <f t="shared" ref="P751:Q756" si="887">IFERROR(P$737/P$735,0)*P739</f>
        <v>0</v>
      </c>
      <c r="Q751" s="18">
        <f t="shared" si="887"/>
        <v>0</v>
      </c>
      <c r="S751" s="3"/>
    </row>
    <row r="752" spans="2:19" x14ac:dyDescent="0.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88">IFERROR(F$737/F$735,0)*F740</f>
        <v>0</v>
      </c>
      <c r="G752" s="18">
        <f t="shared" si="888"/>
        <v>0</v>
      </c>
      <c r="H752" s="18">
        <f t="shared" si="888"/>
        <v>0</v>
      </c>
      <c r="I752" s="18">
        <f t="shared" si="888"/>
        <v>0</v>
      </c>
      <c r="J752" s="18">
        <f t="shared" si="888"/>
        <v>0</v>
      </c>
      <c r="K752" s="18">
        <f t="shared" si="888"/>
        <v>0</v>
      </c>
      <c r="L752" s="18">
        <f t="shared" ref="L752:O752" si="889">IFERROR(L$737/L$735,0)*L740</f>
        <v>0</v>
      </c>
      <c r="M752" s="18">
        <f t="shared" si="889"/>
        <v>0</v>
      </c>
      <c r="N752" s="18">
        <f t="shared" si="889"/>
        <v>0</v>
      </c>
      <c r="O752" s="18">
        <f t="shared" si="889"/>
        <v>0</v>
      </c>
      <c r="P752" s="18">
        <f t="shared" si="887"/>
        <v>0</v>
      </c>
      <c r="Q752" s="18">
        <f t="shared" si="887"/>
        <v>0</v>
      </c>
      <c r="S752" s="3"/>
    </row>
    <row r="753" spans="2:19" x14ac:dyDescent="0.5">
      <c r="B753" s="5" t="str">
        <f t="shared" ref="B753:B756" si="890">B752</f>
        <v>SPS1</v>
      </c>
      <c r="C753" s="5" t="str">
        <f t="shared" ref="C753:C756" si="891">C752</f>
        <v>CH</v>
      </c>
      <c r="D753" t="s">
        <v>936</v>
      </c>
      <c r="E753" s="5" t="s">
        <v>442</v>
      </c>
      <c r="F753" s="18">
        <f t="shared" ref="F753:K753" si="892">IFERROR(F$737/F$735,0)*F741</f>
        <v>0</v>
      </c>
      <c r="G753" s="18">
        <f t="shared" si="892"/>
        <v>0</v>
      </c>
      <c r="H753" s="18">
        <f t="shared" si="892"/>
        <v>0</v>
      </c>
      <c r="I753" s="18">
        <f t="shared" si="892"/>
        <v>0</v>
      </c>
      <c r="J753" s="18">
        <f t="shared" si="892"/>
        <v>0</v>
      </c>
      <c r="K753" s="18">
        <f t="shared" si="892"/>
        <v>0</v>
      </c>
      <c r="L753" s="18">
        <f t="shared" ref="L753:O753" si="893">IFERROR(L$737/L$735,0)*L741</f>
        <v>0</v>
      </c>
      <c r="M753" s="18">
        <f t="shared" si="893"/>
        <v>0</v>
      </c>
      <c r="N753" s="18">
        <f t="shared" si="893"/>
        <v>0</v>
      </c>
      <c r="O753" s="18">
        <f t="shared" si="893"/>
        <v>0</v>
      </c>
      <c r="P753" s="18">
        <f t="shared" si="887"/>
        <v>0</v>
      </c>
      <c r="Q753" s="18">
        <f t="shared" si="887"/>
        <v>0</v>
      </c>
      <c r="S753" s="3"/>
    </row>
    <row r="754" spans="2:19" x14ac:dyDescent="0.5">
      <c r="B754" s="5" t="str">
        <f t="shared" si="890"/>
        <v>SPS1</v>
      </c>
      <c r="C754" s="5" t="str">
        <f t="shared" si="891"/>
        <v>CH</v>
      </c>
      <c r="D754" t="s">
        <v>461</v>
      </c>
      <c r="E754" s="5" t="s">
        <v>442</v>
      </c>
      <c r="F754" s="18">
        <f t="shared" ref="F754:K754" si="894">IFERROR(F$737/F$735,0)*F742</f>
        <v>0</v>
      </c>
      <c r="G754" s="18">
        <f t="shared" si="894"/>
        <v>0</v>
      </c>
      <c r="H754" s="18">
        <f t="shared" si="894"/>
        <v>0</v>
      </c>
      <c r="I754" s="18">
        <f t="shared" si="894"/>
        <v>0</v>
      </c>
      <c r="J754" s="18">
        <f t="shared" si="894"/>
        <v>0</v>
      </c>
      <c r="K754" s="18">
        <f t="shared" si="894"/>
        <v>0</v>
      </c>
      <c r="L754" s="18">
        <f t="shared" ref="L754:O754" si="895">IFERROR(L$737/L$735,0)*L742</f>
        <v>0</v>
      </c>
      <c r="M754" s="18">
        <f t="shared" si="895"/>
        <v>0</v>
      </c>
      <c r="N754" s="18">
        <f t="shared" si="895"/>
        <v>0</v>
      </c>
      <c r="O754" s="18">
        <f t="shared" si="895"/>
        <v>0</v>
      </c>
      <c r="P754" s="18">
        <f t="shared" si="887"/>
        <v>0</v>
      </c>
      <c r="Q754" s="18">
        <f t="shared" si="887"/>
        <v>0</v>
      </c>
      <c r="S754" s="3"/>
    </row>
    <row r="755" spans="2:19" x14ac:dyDescent="0.5">
      <c r="B755" s="5" t="str">
        <f t="shared" si="890"/>
        <v>SPS1</v>
      </c>
      <c r="C755" s="5" t="str">
        <f t="shared" si="891"/>
        <v>CH</v>
      </c>
      <c r="D755" t="s">
        <v>462</v>
      </c>
      <c r="E755" s="5" t="s">
        <v>442</v>
      </c>
      <c r="F755" s="18">
        <f t="shared" ref="F755:K755" si="896">IFERROR(F$737/F$735,0)*F743</f>
        <v>0</v>
      </c>
      <c r="G755" s="18">
        <f t="shared" si="896"/>
        <v>0</v>
      </c>
      <c r="H755" s="18">
        <f t="shared" si="896"/>
        <v>0</v>
      </c>
      <c r="I755" s="18">
        <f t="shared" si="896"/>
        <v>0</v>
      </c>
      <c r="J755" s="18">
        <f t="shared" si="896"/>
        <v>0</v>
      </c>
      <c r="K755" s="18">
        <f t="shared" si="896"/>
        <v>0</v>
      </c>
      <c r="L755" s="18">
        <f t="shared" ref="L755:O755" si="897">IFERROR(L$737/L$735,0)*L743</f>
        <v>0</v>
      </c>
      <c r="M755" s="18">
        <f t="shared" si="897"/>
        <v>0</v>
      </c>
      <c r="N755" s="18">
        <f t="shared" si="897"/>
        <v>0</v>
      </c>
      <c r="O755" s="18">
        <f t="shared" si="897"/>
        <v>0</v>
      </c>
      <c r="P755" s="18">
        <f t="shared" si="887"/>
        <v>0</v>
      </c>
      <c r="Q755" s="18">
        <f t="shared" si="887"/>
        <v>0</v>
      </c>
      <c r="S755" s="3"/>
    </row>
    <row r="756" spans="2:19" x14ac:dyDescent="0.5">
      <c r="B756" s="5" t="str">
        <f t="shared" si="890"/>
        <v>SPS1</v>
      </c>
      <c r="C756" s="5" t="str">
        <f t="shared" si="891"/>
        <v>CH</v>
      </c>
      <c r="D756" t="s">
        <v>463</v>
      </c>
      <c r="E756" s="5" t="s">
        <v>442</v>
      </c>
      <c r="F756" s="18">
        <f t="shared" ref="F756:K756" si="898">IFERROR(F$737/F$735,0)*F744</f>
        <v>0</v>
      </c>
      <c r="G756" s="18">
        <f t="shared" si="898"/>
        <v>0</v>
      </c>
      <c r="H756" s="18">
        <f t="shared" si="898"/>
        <v>0</v>
      </c>
      <c r="I756" s="18">
        <f t="shared" si="898"/>
        <v>0</v>
      </c>
      <c r="J756" s="18">
        <f t="shared" si="898"/>
        <v>0</v>
      </c>
      <c r="K756" s="18">
        <f t="shared" si="898"/>
        <v>0</v>
      </c>
      <c r="L756" s="18">
        <f t="shared" ref="L756:O756" si="899">IFERROR(L$737/L$735,0)*L744</f>
        <v>0</v>
      </c>
      <c r="M756" s="18">
        <f t="shared" si="899"/>
        <v>0</v>
      </c>
      <c r="N756" s="18">
        <f t="shared" si="899"/>
        <v>0</v>
      </c>
      <c r="O756" s="18">
        <f t="shared" si="899"/>
        <v>0</v>
      </c>
      <c r="P756" s="18">
        <f t="shared" si="887"/>
        <v>0</v>
      </c>
      <c r="Q756" s="18">
        <f t="shared" si="887"/>
        <v>0</v>
      </c>
      <c r="S756" s="3"/>
    </row>
    <row r="757" spans="2:19" x14ac:dyDescent="0.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900">IFERROR(G$738/G$735,0)*G739</f>
        <v>0</v>
      </c>
      <c r="H757" s="18">
        <f t="shared" si="900"/>
        <v>0</v>
      </c>
      <c r="I757" s="18">
        <f t="shared" si="900"/>
        <v>0</v>
      </c>
      <c r="J757" s="18">
        <f t="shared" si="900"/>
        <v>0</v>
      </c>
      <c r="K757" s="18">
        <f t="shared" si="900"/>
        <v>0</v>
      </c>
      <c r="L757" s="18">
        <f t="shared" ref="L757:O757" si="901">IFERROR(L$738/L$735,0)*L739</f>
        <v>0</v>
      </c>
      <c r="M757" s="18">
        <f t="shared" si="901"/>
        <v>0</v>
      </c>
      <c r="N757" s="18">
        <f t="shared" si="901"/>
        <v>0</v>
      </c>
      <c r="O757" s="18">
        <f t="shared" si="901"/>
        <v>0</v>
      </c>
      <c r="P757" s="18">
        <f t="shared" ref="P757:Q762" si="902">IFERROR(P$738/P$735,0)*P739</f>
        <v>0</v>
      </c>
      <c r="Q757" s="18">
        <f t="shared" si="902"/>
        <v>0</v>
      </c>
      <c r="S757" s="3"/>
    </row>
    <row r="758" spans="2:19" x14ac:dyDescent="0.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903">IFERROR(F$738/F$735,0)*F740</f>
        <v>0</v>
      </c>
      <c r="G758" s="18">
        <f t="shared" si="903"/>
        <v>0</v>
      </c>
      <c r="H758" s="18">
        <f t="shared" si="903"/>
        <v>0</v>
      </c>
      <c r="I758" s="18">
        <f t="shared" si="903"/>
        <v>0</v>
      </c>
      <c r="J758" s="18">
        <f t="shared" si="903"/>
        <v>0</v>
      </c>
      <c r="K758" s="18">
        <f t="shared" si="903"/>
        <v>0</v>
      </c>
      <c r="L758" s="18">
        <f t="shared" ref="L758:O758" si="904">IFERROR(L$738/L$735,0)*L740</f>
        <v>0</v>
      </c>
      <c r="M758" s="18">
        <f t="shared" si="904"/>
        <v>0</v>
      </c>
      <c r="N758" s="18">
        <f t="shared" si="904"/>
        <v>0</v>
      </c>
      <c r="O758" s="18">
        <f t="shared" si="904"/>
        <v>0</v>
      </c>
      <c r="P758" s="18">
        <f t="shared" si="902"/>
        <v>0</v>
      </c>
      <c r="Q758" s="18">
        <f t="shared" si="902"/>
        <v>0</v>
      </c>
      <c r="S758" s="3"/>
    </row>
    <row r="759" spans="2:19" x14ac:dyDescent="0.5">
      <c r="B759" s="5" t="str">
        <f t="shared" ref="B759:B762" si="905">B758</f>
        <v>SPS1</v>
      </c>
      <c r="C759" s="5" t="str">
        <f t="shared" ref="C759:C762" si="906">C758</f>
        <v>CH</v>
      </c>
      <c r="D759" t="s">
        <v>938</v>
      </c>
      <c r="E759" s="5" t="s">
        <v>442</v>
      </c>
      <c r="F759" s="18">
        <f t="shared" ref="F759:K759" si="907">IFERROR(F$738/F$735,0)*F741</f>
        <v>0</v>
      </c>
      <c r="G759" s="18">
        <f t="shared" si="907"/>
        <v>0</v>
      </c>
      <c r="H759" s="18">
        <f t="shared" si="907"/>
        <v>0</v>
      </c>
      <c r="I759" s="18">
        <f t="shared" si="907"/>
        <v>0</v>
      </c>
      <c r="J759" s="18">
        <f t="shared" si="907"/>
        <v>0</v>
      </c>
      <c r="K759" s="18">
        <f t="shared" si="907"/>
        <v>0</v>
      </c>
      <c r="L759" s="18">
        <f t="shared" ref="L759:O759" si="908">IFERROR(L$738/L$735,0)*L741</f>
        <v>0</v>
      </c>
      <c r="M759" s="18">
        <f t="shared" si="908"/>
        <v>0</v>
      </c>
      <c r="N759" s="18">
        <f t="shared" si="908"/>
        <v>0</v>
      </c>
      <c r="O759" s="18">
        <f t="shared" si="908"/>
        <v>0</v>
      </c>
      <c r="P759" s="18">
        <f t="shared" si="902"/>
        <v>0</v>
      </c>
      <c r="Q759" s="18">
        <f t="shared" si="902"/>
        <v>0</v>
      </c>
      <c r="S759" s="3"/>
    </row>
    <row r="760" spans="2:19" x14ac:dyDescent="0.5">
      <c r="B760" s="5" t="str">
        <f t="shared" si="905"/>
        <v>SPS1</v>
      </c>
      <c r="C760" s="5" t="str">
        <f t="shared" si="906"/>
        <v>CH</v>
      </c>
      <c r="D760" t="s">
        <v>465</v>
      </c>
      <c r="E760" s="5" t="s">
        <v>442</v>
      </c>
      <c r="F760" s="18">
        <f t="shared" ref="F760:K760" si="909">IFERROR(F$738/F$735,0)*F742</f>
        <v>0</v>
      </c>
      <c r="G760" s="18">
        <f t="shared" si="909"/>
        <v>0</v>
      </c>
      <c r="H760" s="18">
        <f t="shared" si="909"/>
        <v>0</v>
      </c>
      <c r="I760" s="18">
        <f t="shared" si="909"/>
        <v>0</v>
      </c>
      <c r="J760" s="18">
        <f t="shared" si="909"/>
        <v>0</v>
      </c>
      <c r="K760" s="18">
        <f t="shared" si="909"/>
        <v>0</v>
      </c>
      <c r="L760" s="18">
        <f t="shared" ref="L760:O760" si="910">IFERROR(L$738/L$735,0)*L742</f>
        <v>0</v>
      </c>
      <c r="M760" s="18">
        <f t="shared" si="910"/>
        <v>0</v>
      </c>
      <c r="N760" s="18">
        <f t="shared" si="910"/>
        <v>0</v>
      </c>
      <c r="O760" s="18">
        <f t="shared" si="910"/>
        <v>0</v>
      </c>
      <c r="P760" s="18">
        <f t="shared" si="902"/>
        <v>0</v>
      </c>
      <c r="Q760" s="18">
        <f t="shared" si="902"/>
        <v>0</v>
      </c>
      <c r="S760" s="3"/>
    </row>
    <row r="761" spans="2:19" x14ac:dyDescent="0.5">
      <c r="B761" s="5" t="str">
        <f t="shared" si="905"/>
        <v>SPS1</v>
      </c>
      <c r="C761" s="5" t="str">
        <f t="shared" si="906"/>
        <v>CH</v>
      </c>
      <c r="D761" t="s">
        <v>466</v>
      </c>
      <c r="E761" s="5" t="s">
        <v>442</v>
      </c>
      <c r="F761" s="18">
        <f t="shared" ref="F761:K761" si="911">IFERROR(F$738/F$735,0)*F743</f>
        <v>0</v>
      </c>
      <c r="G761" s="18">
        <f t="shared" si="911"/>
        <v>0</v>
      </c>
      <c r="H761" s="18">
        <f t="shared" si="911"/>
        <v>0</v>
      </c>
      <c r="I761" s="18">
        <f t="shared" si="911"/>
        <v>0</v>
      </c>
      <c r="J761" s="18">
        <f t="shared" si="911"/>
        <v>0</v>
      </c>
      <c r="K761" s="18">
        <f t="shared" si="911"/>
        <v>0</v>
      </c>
      <c r="L761" s="18">
        <f t="shared" ref="L761:O761" si="912">IFERROR(L$738/L$735,0)*L743</f>
        <v>0</v>
      </c>
      <c r="M761" s="18">
        <f t="shared" si="912"/>
        <v>0</v>
      </c>
      <c r="N761" s="18">
        <f t="shared" si="912"/>
        <v>0</v>
      </c>
      <c r="O761" s="18">
        <f t="shared" si="912"/>
        <v>0</v>
      </c>
      <c r="P761" s="18">
        <f t="shared" si="902"/>
        <v>0</v>
      </c>
      <c r="Q761" s="18">
        <f t="shared" si="902"/>
        <v>0</v>
      </c>
      <c r="S761" s="3"/>
    </row>
    <row r="762" spans="2:19" x14ac:dyDescent="0.5">
      <c r="B762" s="5" t="str">
        <f t="shared" si="905"/>
        <v>SPS1</v>
      </c>
      <c r="C762" s="5" t="str">
        <f t="shared" si="906"/>
        <v>CH</v>
      </c>
      <c r="D762" t="s">
        <v>467</v>
      </c>
      <c r="E762" s="5" t="s">
        <v>442</v>
      </c>
      <c r="F762" s="18">
        <f t="shared" ref="F762:K762" si="913">IFERROR(F$738/F$735,0)*F744</f>
        <v>0</v>
      </c>
      <c r="G762" s="18">
        <f t="shared" si="913"/>
        <v>0</v>
      </c>
      <c r="H762" s="18">
        <f t="shared" si="913"/>
        <v>0</v>
      </c>
      <c r="I762" s="18">
        <f t="shared" si="913"/>
        <v>0</v>
      </c>
      <c r="J762" s="18">
        <f t="shared" si="913"/>
        <v>0</v>
      </c>
      <c r="K762" s="18">
        <f t="shared" si="913"/>
        <v>0</v>
      </c>
      <c r="L762" s="18">
        <f t="shared" ref="L762:O762" si="914">IFERROR(L$738/L$735,0)*L744</f>
        <v>0</v>
      </c>
      <c r="M762" s="18">
        <f t="shared" si="914"/>
        <v>0</v>
      </c>
      <c r="N762" s="18">
        <f t="shared" si="914"/>
        <v>0</v>
      </c>
      <c r="O762" s="18">
        <f t="shared" si="914"/>
        <v>0</v>
      </c>
      <c r="P762" s="18">
        <f t="shared" si="902"/>
        <v>0</v>
      </c>
      <c r="Q762" s="18">
        <f t="shared" si="902"/>
        <v>0</v>
      </c>
      <c r="S762" s="3"/>
    </row>
    <row r="763" spans="2:19" x14ac:dyDescent="0.5">
      <c r="B763" s="9" t="str">
        <f t="shared" ref="B763" si="915">B762</f>
        <v>SPS1</v>
      </c>
      <c r="C763" s="9" t="str">
        <f t="shared" ref="C763:C777" si="916">C762</f>
        <v>CH</v>
      </c>
      <c r="D763" s="2" t="s">
        <v>496</v>
      </c>
      <c r="E763" s="9" t="s">
        <v>8</v>
      </c>
      <c r="F763" s="17">
        <f t="shared" ref="F763:K763" si="917">F764+F768+F778+F789+F791+F803+F805+F807+F811+F813+F815</f>
        <v>142.21765835207603</v>
      </c>
      <c r="G763" s="17">
        <f t="shared" si="917"/>
        <v>141.13190446309537</v>
      </c>
      <c r="H763" s="17">
        <f t="shared" si="917"/>
        <v>142.8799276618137</v>
      </c>
      <c r="I763" s="17">
        <f t="shared" si="917"/>
        <v>144.14806994374962</v>
      </c>
      <c r="J763" s="17">
        <f t="shared" si="917"/>
        <v>145.42556551381779</v>
      </c>
      <c r="K763" s="17">
        <f t="shared" si="917"/>
        <v>146.34974329231332</v>
      </c>
      <c r="L763" s="17">
        <f t="shared" ref="L763:O763" si="918">L764+L768+L778+L789+L791+L803+L805+L807+L811+L813+L815</f>
        <v>146.55195570010309</v>
      </c>
      <c r="M763" s="17">
        <f t="shared" si="918"/>
        <v>146.97037203289395</v>
      </c>
      <c r="N763" s="17">
        <f t="shared" si="918"/>
        <v>146.69219454958673</v>
      </c>
      <c r="O763" s="17">
        <f t="shared" si="918"/>
        <v>149.7890900612332</v>
      </c>
      <c r="P763" s="17">
        <f>P764+P768+P778+P789+P791+P803+P805+P807+P811+P813+P815</f>
        <v>144.52427260008227</v>
      </c>
      <c r="Q763" s="17">
        <f>Q764+Q768+Q778+Q789+Q791+Q803+Q805+Q807+Q811+Q813+Q815</f>
        <v>144.15904788948274</v>
      </c>
      <c r="S763" s="3"/>
    </row>
    <row r="764" spans="2:19" x14ac:dyDescent="0.5">
      <c r="B764" s="5" t="str">
        <f>B763</f>
        <v>SPS1</v>
      </c>
      <c r="C764" s="5" t="str">
        <f t="shared" si="916"/>
        <v>CH</v>
      </c>
      <c r="D764" t="s">
        <v>939</v>
      </c>
      <c r="E764" t="s">
        <v>8</v>
      </c>
      <c r="F764" s="18">
        <f>[1]Industry!B$11</f>
        <v>60.070074276227196</v>
      </c>
      <c r="G764" s="18">
        <f>[1]Industry!C$11</f>
        <v>62.576420846008901</v>
      </c>
      <c r="H764" s="18">
        <f>[1]Industry!D$11</f>
        <v>64.895184543735809</v>
      </c>
      <c r="I764" s="18">
        <f>[1]Industry!E$11</f>
        <v>67.327756698332266</v>
      </c>
      <c r="J764" s="18">
        <f>[1]Industry!F$11</f>
        <v>69.295248567765483</v>
      </c>
      <c r="K764" s="18">
        <f>[1]Industry!G$11</f>
        <v>70.247233566780835</v>
      </c>
      <c r="L764" s="18">
        <f>[1]Industry!H$11</f>
        <v>71.131364829128088</v>
      </c>
      <c r="M764" s="18">
        <f>[1]Industry!I$11</f>
        <v>72.016723554645694</v>
      </c>
      <c r="N764" s="18">
        <f>[1]Industry!J$11</f>
        <v>72.711711068032926</v>
      </c>
      <c r="O764" s="18">
        <f>[1]Industry!K$11</f>
        <v>74.796554796048738</v>
      </c>
      <c r="P764" s="18">
        <f>[1]Industry!L$11</f>
        <v>73.324064385933582</v>
      </c>
      <c r="Q764" s="18">
        <f>[1]Industry!M$11</f>
        <v>73.442633180013928</v>
      </c>
      <c r="S764" s="3"/>
    </row>
    <row r="765" spans="2:19" x14ac:dyDescent="0.5">
      <c r="B765" s="5" t="str">
        <f t="shared" ref="B765:B777" si="919">B764</f>
        <v>SPS1</v>
      </c>
      <c r="C765" s="5" t="str">
        <f t="shared" si="916"/>
        <v>CH</v>
      </c>
      <c r="D765" t="s">
        <v>758</v>
      </c>
      <c r="E765" t="s">
        <v>8</v>
      </c>
      <c r="F765" s="1">
        <f t="shared" ref="F765:J765" si="920">F764-F766-F767</f>
        <v>11.646973432570562</v>
      </c>
      <c r="G765" s="1">
        <f t="shared" si="920"/>
        <v>12.258981209082208</v>
      </c>
      <c r="H765" s="1">
        <f t="shared" si="920"/>
        <v>12.249298048354746</v>
      </c>
      <c r="I765" s="1">
        <f t="shared" si="920"/>
        <v>12.525570690630332</v>
      </c>
      <c r="J765" s="1">
        <f t="shared" si="920"/>
        <v>12.839912178542932</v>
      </c>
      <c r="K765" s="1">
        <f>K764-K766-K767</f>
        <v>13.105006414976145</v>
      </c>
      <c r="L765" s="1">
        <f t="shared" ref="L765:O765" si="921">L764-L766-L767</f>
        <v>13.345136937453454</v>
      </c>
      <c r="M765" s="1">
        <f t="shared" si="921"/>
        <v>13.585049588886662</v>
      </c>
      <c r="N765" s="1">
        <f t="shared" si="921"/>
        <v>13.5850538692181</v>
      </c>
      <c r="O765" s="1">
        <f t="shared" si="921"/>
        <v>13.818799727923903</v>
      </c>
      <c r="P765" s="1">
        <f>P764-P766-P767</f>
        <v>13.818798589155591</v>
      </c>
      <c r="Q765" s="1">
        <f>Q764-Q766-Q767</f>
        <v>13.818827889496731</v>
      </c>
      <c r="S765" s="3"/>
    </row>
    <row r="766" spans="2:19" x14ac:dyDescent="0.5">
      <c r="B766" s="5" t="str">
        <f t="shared" si="919"/>
        <v>SPS1</v>
      </c>
      <c r="C766" s="5" t="str">
        <f t="shared" si="916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0.35970319148563451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0.45106797121150155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1.1297603535167324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1.8161342166778096</v>
      </c>
      <c r="J766" s="1" cm="1">
        <f t="array" ref="J766">SUMPRODUCT(([1]OUT_FinalEnergyCons!$B$4:$B$10000="Var_Fin")*1, ([1]OUT_FinalEnergyCons!$C$4:$C$10000="ITOT_ELC")*1, (ISNUMBER(SEARCH("ITOT-SWHELCHP",[1]OUT_FinalEnergyCons!$A$4:$A$10000)))*1,[1]OUT_FinalEnergyCons!H$4:H$10000)</f>
        <v>2.5018990126252634</v>
      </c>
      <c r="K766" s="1" cm="1">
        <f t="array" ref="K766">SUMPRODUCT(([1]OUT_FinalEnergyCons!$B$4:$B$10000="Var_Fin")*1, ([1]OUT_FinalEnergyCons!$C$4:$C$10000="ITOT_ELC")*1, (ISNUMBER(SEARCH("ITOT-SWHELCHP",[1]OUT_FinalEnergyCons!$A$4:$A$10000)))*1,[1]OUT_FinalEnergyCons!I$4:I$10000)</f>
        <v>2.6452792093702873</v>
      </c>
      <c r="L766" s="1" cm="1">
        <f t="array" ref="L766">SUMPRODUCT(([1]OUT_FinalEnergyCons!$B$4:$B$10000="Var_Fin")*1, ([1]OUT_FinalEnergyCons!$C$4:$C$10000="ITOT_ELC")*1, (ISNUMBER(SEARCH("ITOT-SWHELCHP",[1]OUT_FinalEnergyCons!$A$4:$A$10000)))*1,[1]OUT_FinalEnergyCons!J$4:J$10000)</f>
        <v>2.5973608318786812</v>
      </c>
      <c r="M766" s="1" cm="1">
        <f t="array" ref="M766">SUMPRODUCT(([1]OUT_FinalEnergyCons!$B$4:$B$10000="Var_Fin")*1, ([1]OUT_FinalEnergyCons!$C$4:$C$10000="ITOT_ELC")*1, (ISNUMBER(SEARCH("ITOT-SWHELCHP",[1]OUT_FinalEnergyCons!$A$4:$A$10000)))*1,[1]OUT_FinalEnergyCons!K$4:K$10000)</f>
        <v>2.5511479086819242</v>
      </c>
      <c r="N766" s="1" cm="1">
        <f t="array" ref="N766">SUMPRODUCT(([1]OUT_FinalEnergyCons!$B$4:$B$10000="Var_Fin")*1, ([1]OUT_FinalEnergyCons!$C$4:$C$10000="ITOT_ELC")*1, (ISNUMBER(SEARCH("ITOT-SWHELCHP",[1]OUT_FinalEnergyCons!$A$4:$A$10000)))*1,[1]OUT_FinalEnergyCons!L$4:L$10000)</f>
        <v>2.5511689015097061</v>
      </c>
      <c r="O766" s="1" cm="1">
        <f t="array" ref="O766">SUMPRODUCT(([1]OUT_FinalEnergyCons!$B$4:$B$10000="Var_Fin")*1, ([1]OUT_FinalEnergyCons!$C$4:$C$10000="ITOT_ELC")*1, (ISNUMBER(SEARCH("ITOT-SWHELCHP",[1]OUT_FinalEnergyCons!$A$4:$A$10000)))*1,[1]OUT_FinalEnergyCons!M$4:M$10000)</f>
        <v>2.8380888168422982</v>
      </c>
      <c r="P766" s="1" cm="1">
        <f t="array" ref="P766">SUMPRODUCT(([1]OUT_FinalEnergyCons!$B$4:$B$10000="Var_Fin")*1, ([1]OUT_FinalEnergyCons!$C$4:$C$10000="ITOT_ELC")*1, (ISNUMBER(SEARCH("ITOT-SWHELCHP",[1]OUT_FinalEnergyCons!$A$4:$A$10000)))*1,[1]OUT_FinalEnergyCons!N$4:N$10000)</f>
        <v>2.838093153832598</v>
      </c>
      <c r="Q766" s="1" cm="1">
        <f t="array" ref="Q766">SUMPRODUCT(([1]OUT_FinalEnergyCons!$B$4:$B$10000="Var_Fin")*1, ([1]OUT_FinalEnergyCons!$C$4:$C$10000="ITOT_ELC")*1, (ISNUMBER(SEARCH("ITOT-SWHELCHP",[1]OUT_FinalEnergyCons!$A$4:$A$10000)))*1,[1]OUT_FinalEnergyCons!O$4:O$10000)</f>
        <v>2.8383374236844121</v>
      </c>
      <c r="S766" s="3"/>
    </row>
    <row r="767" spans="2:19" x14ac:dyDescent="0.5">
      <c r="B767" s="5" t="str">
        <f t="shared" si="919"/>
        <v>SPS1</v>
      </c>
      <c r="C767" s="5" t="str">
        <f t="shared" si="916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49.866371665715192</v>
      </c>
      <c r="H767" s="1">
        <f>[1]Industry!D$11-[1]Industry!D$33</f>
        <v>51.516126141864333</v>
      </c>
      <c r="I767" s="1">
        <f>[1]Industry!E$11-[1]Industry!E$33</f>
        <v>52.986051791024124</v>
      </c>
      <c r="J767" s="1">
        <f>[1]Industry!F$11-[1]Industry!F$33</f>
        <v>53.953437376597293</v>
      </c>
      <c r="K767" s="1">
        <f>[1]Industry!G$11-[1]Industry!G$33</f>
        <v>54.496947942434403</v>
      </c>
      <c r="L767" s="1">
        <f>[1]Industry!H$11-[1]Industry!H$33</f>
        <v>55.18886705979596</v>
      </c>
      <c r="M767" s="1">
        <f>[1]Industry!I$11-[1]Industry!I$33</f>
        <v>55.880526057077105</v>
      </c>
      <c r="N767" s="1">
        <f>[1]Industry!J$11-[1]Industry!J$33</f>
        <v>56.575488297305114</v>
      </c>
      <c r="O767" s="1">
        <f>[1]Industry!K$11-[1]Industry!K$33</f>
        <v>58.139666251282534</v>
      </c>
      <c r="P767" s="1">
        <f>[1]Industry!L$11-[1]Industry!L$33</f>
        <v>56.667172642945388</v>
      </c>
      <c r="Q767" s="1">
        <f>[1]Industry!M$11-[1]Industry!M$33</f>
        <v>56.785467866832789</v>
      </c>
      <c r="S767" s="3"/>
    </row>
    <row r="768" spans="2:19" x14ac:dyDescent="0.5">
      <c r="B768" s="5" t="str">
        <f t="shared" si="919"/>
        <v>SPS1</v>
      </c>
      <c r="C768" s="5" t="str">
        <f t="shared" si="916"/>
        <v>CH</v>
      </c>
      <c r="D768" t="s">
        <v>469</v>
      </c>
      <c r="E768" t="s">
        <v>8</v>
      </c>
      <c r="F768" s="1">
        <f>SUM(F771,F776)</f>
        <v>11.627819634219691</v>
      </c>
      <c r="G768" s="1">
        <f t="shared" ref="G768:K768" si="922">SUM(G771,G776)</f>
        <v>10.373432902504799</v>
      </c>
      <c r="H768" s="1">
        <f t="shared" si="922"/>
        <v>8.0046378209556437</v>
      </c>
      <c r="I768" s="1">
        <f t="shared" si="922"/>
        <v>6.5054965417276458</v>
      </c>
      <c r="J768" s="1">
        <f t="shared" si="922"/>
        <v>4.957266292119141</v>
      </c>
      <c r="K768" s="1">
        <f t="shared" si="922"/>
        <v>3.3865788055330954</v>
      </c>
      <c r="L768" s="1">
        <f t="shared" ref="L768:O768" si="923">SUM(L771,L776)</f>
        <v>1.8167362804594165</v>
      </c>
      <c r="M768" s="1">
        <f t="shared" si="923"/>
        <v>0.25968515852186824</v>
      </c>
      <c r="N768" s="1">
        <f t="shared" si="923"/>
        <v>0.25964566654861265</v>
      </c>
      <c r="O768" s="1">
        <f t="shared" si="923"/>
        <v>0.25963642791791763</v>
      </c>
      <c r="P768" s="1">
        <f>SUM(P771,P776)</f>
        <v>0.25016627105872363</v>
      </c>
      <c r="Q768" s="1">
        <f>SUM(Q771,Q776)</f>
        <v>0.24799115831371302</v>
      </c>
      <c r="S768" s="3"/>
    </row>
    <row r="769" spans="2:19" x14ac:dyDescent="0.5">
      <c r="B769" s="5" t="str">
        <f t="shared" si="919"/>
        <v>SPS1</v>
      </c>
      <c r="C769" s="5" t="str">
        <f t="shared" si="916"/>
        <v>CH</v>
      </c>
      <c r="D769" t="s">
        <v>470</v>
      </c>
      <c r="E769" t="s">
        <v>8</v>
      </c>
      <c r="F769" s="1">
        <f>SUM(F773,F777)</f>
        <v>8.89781541719187</v>
      </c>
      <c r="G769" s="1">
        <f t="shared" ref="G769:K769" si="924">SUM(G773,G777)</f>
        <v>8.1049323673008278</v>
      </c>
      <c r="H769" s="1">
        <f t="shared" si="924"/>
        <v>8.0014554783791532</v>
      </c>
      <c r="I769" s="1">
        <f t="shared" si="924"/>
        <v>6.5045960161285015</v>
      </c>
      <c r="J769" s="1">
        <f t="shared" si="924"/>
        <v>4.9558569286237812</v>
      </c>
      <c r="K769" s="1">
        <f t="shared" si="924"/>
        <v>3.3853068902305461</v>
      </c>
      <c r="L769" s="1">
        <f t="shared" ref="L769:O769" si="925">SUM(L773,L777)</f>
        <v>1.815294164128711</v>
      </c>
      <c r="M769" s="1">
        <f t="shared" si="925"/>
        <v>0.25968515852186824</v>
      </c>
      <c r="N769" s="1">
        <f t="shared" si="925"/>
        <v>0.25964566654861265</v>
      </c>
      <c r="O769" s="1">
        <f t="shared" si="925"/>
        <v>0.25963642791791763</v>
      </c>
      <c r="P769" s="1">
        <f>SUM(P773,P777)</f>
        <v>0.25016627105872363</v>
      </c>
      <c r="Q769" s="1">
        <f>SUM(Q773,Q777)</f>
        <v>0.24799115831371302</v>
      </c>
      <c r="S769" s="3"/>
    </row>
    <row r="770" spans="2:19" x14ac:dyDescent="0.5">
      <c r="B770" s="5" t="str">
        <f t="shared" si="919"/>
        <v>SPS1</v>
      </c>
      <c r="C770" s="5" t="str">
        <f t="shared" si="916"/>
        <v>CH</v>
      </c>
      <c r="D770" t="s">
        <v>471</v>
      </c>
      <c r="E770" t="s">
        <v>8</v>
      </c>
      <c r="F770" s="1">
        <f>F775</f>
        <v>2.7300042170278207</v>
      </c>
      <c r="G770" s="1">
        <f t="shared" ref="G770:K770" si="926">G775</f>
        <v>2.2685005352039722</v>
      </c>
      <c r="H770" s="1">
        <f t="shared" si="926"/>
        <v>3.1823425764904607E-3</v>
      </c>
      <c r="I770" s="1">
        <f t="shared" si="926"/>
        <v>9.0052559914391547E-4</v>
      </c>
      <c r="J770" s="1">
        <f t="shared" si="926"/>
        <v>1.4093634953595583E-3</v>
      </c>
      <c r="K770" s="1">
        <f t="shared" si="926"/>
        <v>1.2719153025492918E-3</v>
      </c>
      <c r="L770" s="1">
        <f t="shared" ref="L770:O770" si="927">L775</f>
        <v>1.4421163307055563E-3</v>
      </c>
      <c r="M770" s="1">
        <f t="shared" si="927"/>
        <v>0</v>
      </c>
      <c r="N770" s="1">
        <f t="shared" si="927"/>
        <v>0</v>
      </c>
      <c r="O770" s="1">
        <f t="shared" si="927"/>
        <v>0</v>
      </c>
      <c r="P770" s="1">
        <f>P775</f>
        <v>0</v>
      </c>
      <c r="Q770" s="1">
        <f>Q775</f>
        <v>0</v>
      </c>
      <c r="S770" s="3"/>
    </row>
    <row r="771" spans="2:19" x14ac:dyDescent="0.5">
      <c r="B771" s="5" t="str">
        <f t="shared" si="919"/>
        <v>SPS1</v>
      </c>
      <c r="C771" s="5" t="str">
        <f t="shared" si="916"/>
        <v>CH</v>
      </c>
      <c r="D771" t="s">
        <v>940</v>
      </c>
      <c r="E771" t="s">
        <v>8</v>
      </c>
      <c r="F771" s="1">
        <f>SUM(F772,F774)</f>
        <v>11.627819634219691</v>
      </c>
      <c r="G771" s="1">
        <f t="shared" ref="G771:K771" si="928">SUM(G772,G774)</f>
        <v>10.373432902504799</v>
      </c>
      <c r="H771" s="1">
        <f t="shared" si="928"/>
        <v>8.0045193527096909</v>
      </c>
      <c r="I771" s="1">
        <f t="shared" si="928"/>
        <v>6.5049544677461473</v>
      </c>
      <c r="J771" s="1">
        <f t="shared" si="928"/>
        <v>4.9567127519321019</v>
      </c>
      <c r="K771" s="1">
        <f t="shared" si="928"/>
        <v>3.3859655462581664</v>
      </c>
      <c r="L771" s="1">
        <f t="shared" ref="L771:O771" si="929">SUM(L772,L774)</f>
        <v>1.8161321874675687</v>
      </c>
      <c r="M771" s="1">
        <f t="shared" si="929"/>
        <v>0.25922676135706235</v>
      </c>
      <c r="N771" s="1">
        <f t="shared" si="929"/>
        <v>0.25919363072493512</v>
      </c>
      <c r="O771" s="1">
        <f t="shared" si="929"/>
        <v>0.25913289227940317</v>
      </c>
      <c r="P771" s="1">
        <f>SUM(P772,P774)</f>
        <v>0.24964924661341278</v>
      </c>
      <c r="Q771" s="1">
        <f>SUM(Q772,Q774)</f>
        <v>0.24683971525511786</v>
      </c>
      <c r="S771" s="3"/>
    </row>
    <row r="772" spans="2:19" x14ac:dyDescent="0.5">
      <c r="B772" s="5" t="str">
        <f t="shared" si="919"/>
        <v>SPS1</v>
      </c>
      <c r="C772" s="5" t="str">
        <f t="shared" si="916"/>
        <v>CH</v>
      </c>
      <c r="D772" t="s">
        <v>525</v>
      </c>
      <c r="E772" t="s">
        <v>8</v>
      </c>
      <c r="F772" s="1">
        <f>[1]Industry!B$34</f>
        <v>8.89781541719187</v>
      </c>
      <c r="G772" s="1">
        <f>[1]Industry!C$34</f>
        <v>8.1049323673008278</v>
      </c>
      <c r="H772" s="1">
        <f>[1]Industry!D$34</f>
        <v>8.0013370101332004</v>
      </c>
      <c r="I772" s="1">
        <f>[1]Industry!E$34</f>
        <v>6.5040539421470029</v>
      </c>
      <c r="J772" s="1">
        <f>[1]Industry!F$34</f>
        <v>4.9553033884367421</v>
      </c>
      <c r="K772" s="1">
        <f>[1]Industry!G$34</f>
        <v>3.384693630955617</v>
      </c>
      <c r="L772" s="1">
        <f>[1]Industry!H$34</f>
        <v>1.8146900711368632</v>
      </c>
      <c r="M772" s="1">
        <f>[1]Industry!I$34</f>
        <v>0.25922676135706235</v>
      </c>
      <c r="N772" s="1">
        <f>[1]Industry!J$34</f>
        <v>0.25919363072493512</v>
      </c>
      <c r="O772" s="1">
        <f>[1]Industry!K$34</f>
        <v>0.25913289227940317</v>
      </c>
      <c r="P772" s="1">
        <f>[1]Industry!L$34</f>
        <v>0.24964924661341278</v>
      </c>
      <c r="Q772" s="1">
        <f>[1]Industry!M$34</f>
        <v>0.24683971525511786</v>
      </c>
      <c r="S772" s="3"/>
    </row>
    <row r="773" spans="2:19" x14ac:dyDescent="0.5">
      <c r="B773" s="5" t="str">
        <f t="shared" si="919"/>
        <v>SPS1</v>
      </c>
      <c r="C773" s="5" t="str">
        <f t="shared" si="916"/>
        <v>CH</v>
      </c>
      <c r="D773" t="s">
        <v>526</v>
      </c>
      <c r="E773" t="s">
        <v>8</v>
      </c>
      <c r="F773" s="1">
        <f>F772</f>
        <v>8.89781541719187</v>
      </c>
      <c r="G773" s="1">
        <f t="shared" ref="G773:K773" si="930">G772</f>
        <v>8.1049323673008278</v>
      </c>
      <c r="H773" s="1">
        <f t="shared" si="930"/>
        <v>8.0013370101332004</v>
      </c>
      <c r="I773" s="1">
        <f t="shared" si="930"/>
        <v>6.5040539421470029</v>
      </c>
      <c r="J773" s="1">
        <f t="shared" si="930"/>
        <v>4.9553033884367421</v>
      </c>
      <c r="K773" s="1">
        <f t="shared" si="930"/>
        <v>3.384693630955617</v>
      </c>
      <c r="L773" s="1">
        <f t="shared" ref="L773:O773" si="931">L772</f>
        <v>1.8146900711368632</v>
      </c>
      <c r="M773" s="1">
        <f t="shared" si="931"/>
        <v>0.25922676135706235</v>
      </c>
      <c r="N773" s="1">
        <f t="shared" si="931"/>
        <v>0.25919363072493512</v>
      </c>
      <c r="O773" s="1">
        <f t="shared" si="931"/>
        <v>0.25913289227940317</v>
      </c>
      <c r="P773" s="1">
        <f>P772</f>
        <v>0.24964924661341278</v>
      </c>
      <c r="Q773" s="1">
        <f>Q772</f>
        <v>0.24683971525511786</v>
      </c>
      <c r="S773" s="3"/>
    </row>
    <row r="774" spans="2:19" x14ac:dyDescent="0.5">
      <c r="B774" s="5" t="str">
        <f t="shared" si="919"/>
        <v>SPS1</v>
      </c>
      <c r="C774" s="5" t="str">
        <f t="shared" si="916"/>
        <v>CH</v>
      </c>
      <c r="D774" t="s">
        <v>527</v>
      </c>
      <c r="E774" t="s">
        <v>8</v>
      </c>
      <c r="F774" s="1">
        <f>[1]Industry!B$35</f>
        <v>2.7300042170278207</v>
      </c>
      <c r="G774" s="1">
        <f>[1]Industry!C$35</f>
        <v>2.2685005352039722</v>
      </c>
      <c r="H774" s="1">
        <f>[1]Industry!D$35</f>
        <v>3.1823425764904607E-3</v>
      </c>
      <c r="I774" s="1">
        <f>[1]Industry!E$35</f>
        <v>9.0052559914391547E-4</v>
      </c>
      <c r="J774" s="1">
        <f>[1]Industry!F$35</f>
        <v>1.4093634953595583E-3</v>
      </c>
      <c r="K774" s="1">
        <f>[1]Industry!G$35</f>
        <v>1.2719153025492918E-3</v>
      </c>
      <c r="L774" s="1">
        <f>[1]Industry!H$35</f>
        <v>1.4421163307055563E-3</v>
      </c>
      <c r="M774" s="1">
        <f>[1]Industry!I$35</f>
        <v>0</v>
      </c>
      <c r="N774" s="1">
        <f>[1]Industry!J$35</f>
        <v>0</v>
      </c>
      <c r="O774" s="1">
        <f>[1]Industry!K$35</f>
        <v>0</v>
      </c>
      <c r="P774" s="1">
        <f>[1]Industry!L$35</f>
        <v>0</v>
      </c>
      <c r="Q774" s="1">
        <f>[1]Industry!M$35</f>
        <v>0</v>
      </c>
      <c r="S774" s="3"/>
    </row>
    <row r="775" spans="2:19" x14ac:dyDescent="0.5">
      <c r="B775" s="5" t="str">
        <f t="shared" si="919"/>
        <v>SPS1</v>
      </c>
      <c r="C775" s="5" t="str">
        <f t="shared" si="916"/>
        <v>CH</v>
      </c>
      <c r="D775" t="s">
        <v>943</v>
      </c>
      <c r="E775" t="s">
        <v>8</v>
      </c>
      <c r="F775" s="1">
        <f>F774</f>
        <v>2.7300042170278207</v>
      </c>
      <c r="G775" s="1">
        <f t="shared" ref="G775:K775" si="932">G774</f>
        <v>2.2685005352039722</v>
      </c>
      <c r="H775" s="1">
        <f t="shared" si="932"/>
        <v>3.1823425764904607E-3</v>
      </c>
      <c r="I775" s="1">
        <f t="shared" si="932"/>
        <v>9.0052559914391547E-4</v>
      </c>
      <c r="J775" s="1">
        <f t="shared" si="932"/>
        <v>1.4093634953595583E-3</v>
      </c>
      <c r="K775" s="1">
        <f t="shared" si="932"/>
        <v>1.2719153025492918E-3</v>
      </c>
      <c r="L775" s="1">
        <f t="shared" ref="L775:O775" si="933">L774</f>
        <v>1.4421163307055563E-3</v>
      </c>
      <c r="M775" s="1">
        <f t="shared" si="933"/>
        <v>0</v>
      </c>
      <c r="N775" s="1">
        <f t="shared" si="933"/>
        <v>0</v>
      </c>
      <c r="O775" s="1">
        <f t="shared" si="933"/>
        <v>0</v>
      </c>
      <c r="P775" s="1">
        <f>P774</f>
        <v>0</v>
      </c>
      <c r="Q775" s="1">
        <f>Q774</f>
        <v>0</v>
      </c>
      <c r="S775" s="3"/>
    </row>
    <row r="776" spans="2:19" x14ac:dyDescent="0.5">
      <c r="B776" s="5" t="str">
        <f t="shared" si="919"/>
        <v>SPS1</v>
      </c>
      <c r="C776" s="5" t="str">
        <f t="shared" si="916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1.1846824595194157E-4</v>
      </c>
      <c r="I776" s="1">
        <f>[1]Industry!E$36</f>
        <v>5.420739814987485E-4</v>
      </c>
      <c r="J776" s="1">
        <f>[1]Industry!F$36</f>
        <v>5.5354018703953744E-4</v>
      </c>
      <c r="K776" s="1">
        <f>[1]Industry!G$36</f>
        <v>6.1325927492884911E-4</v>
      </c>
      <c r="L776" s="1">
        <f>[1]Industry!H$36</f>
        <v>6.0409299184786716E-4</v>
      </c>
      <c r="M776" s="1">
        <f>[1]Industry!I$36</f>
        <v>4.5839716480590241E-4</v>
      </c>
      <c r="N776" s="1">
        <f>[1]Industry!J$36</f>
        <v>4.5203582367754305E-4</v>
      </c>
      <c r="O776" s="1">
        <f>[1]Industry!K$36</f>
        <v>5.0353563851445761E-4</v>
      </c>
      <c r="P776" s="1">
        <f>[1]Industry!L$36</f>
        <v>5.1702444531087394E-4</v>
      </c>
      <c r="Q776" s="1">
        <f>[1]Industry!M$36</f>
        <v>1.1514430585951667E-3</v>
      </c>
      <c r="S776" s="3"/>
    </row>
    <row r="777" spans="2:19" x14ac:dyDescent="0.5">
      <c r="B777" s="5" t="str">
        <f t="shared" si="919"/>
        <v>SPS1</v>
      </c>
      <c r="C777" s="5" t="str">
        <f t="shared" si="916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934">G776</f>
        <v>0</v>
      </c>
      <c r="H777" s="1">
        <f t="shared" si="934"/>
        <v>1.1846824595194157E-4</v>
      </c>
      <c r="I777" s="1">
        <f t="shared" si="934"/>
        <v>5.420739814987485E-4</v>
      </c>
      <c r="J777" s="1">
        <f t="shared" si="934"/>
        <v>5.5354018703953744E-4</v>
      </c>
      <c r="K777" s="1">
        <f t="shared" si="934"/>
        <v>6.1325927492884911E-4</v>
      </c>
      <c r="L777" s="1">
        <f t="shared" ref="L777:O777" si="935">L776</f>
        <v>6.0409299184786716E-4</v>
      </c>
      <c r="M777" s="1">
        <f t="shared" si="935"/>
        <v>4.5839716480590241E-4</v>
      </c>
      <c r="N777" s="1">
        <f t="shared" si="935"/>
        <v>4.5203582367754305E-4</v>
      </c>
      <c r="O777" s="1">
        <f t="shared" si="935"/>
        <v>5.0353563851445761E-4</v>
      </c>
      <c r="P777" s="1">
        <f>P776</f>
        <v>5.1702444531087394E-4</v>
      </c>
      <c r="Q777" s="1">
        <f>Q776</f>
        <v>1.1514430585951667E-3</v>
      </c>
      <c r="S777" s="3"/>
    </row>
    <row r="778" spans="2:19" x14ac:dyDescent="0.5">
      <c r="B778" s="5" t="str">
        <f t="shared" ref="B778:B779" si="936">B777</f>
        <v>SPS1</v>
      </c>
      <c r="C778" s="5" t="str">
        <f t="shared" ref="C778:C779" si="937">C777</f>
        <v>CH</v>
      </c>
      <c r="D778" t="s">
        <v>472</v>
      </c>
      <c r="E778" t="s">
        <v>8</v>
      </c>
      <c r="F778" s="1">
        <f>SUM([1]Industry!B$37:B$39)</f>
        <v>35.989104878459386</v>
      </c>
      <c r="G778" s="1">
        <f>SUM([1]Industry!C$37:C$39)</f>
        <v>30.615888293846652</v>
      </c>
      <c r="H778" s="1">
        <f>SUM([1]Industry!D$37:D$39)</f>
        <v>34.819717323299621</v>
      </c>
      <c r="I778" s="1">
        <f>SUM([1]Industry!E$37:E$39)</f>
        <v>31.247194383800824</v>
      </c>
      <c r="J778" s="1">
        <f>SUM([1]Industry!F$37:F$39)</f>
        <v>30.011998667058947</v>
      </c>
      <c r="K778" s="1">
        <f>SUM([1]Industry!G$37:G$39)</f>
        <v>30.590999822553364</v>
      </c>
      <c r="L778" s="1">
        <f>SUM([1]Industry!H$37:H$39)</f>
        <v>27.898698317456812</v>
      </c>
      <c r="M778" s="1">
        <f>SUM([1]Industry!I$37:I$39)</f>
        <v>25.406179383827006</v>
      </c>
      <c r="N778" s="1">
        <f>SUM([1]Industry!J$37:J$39)</f>
        <v>23.688077117001811</v>
      </c>
      <c r="O778" s="1">
        <f>SUM([1]Industry!K$37:K$39)</f>
        <v>21.498597886623628</v>
      </c>
      <c r="P778" s="1">
        <f>SUM([1]Industry!L$37:L$39)</f>
        <v>20.065446261415104</v>
      </c>
      <c r="Q778" s="1">
        <f>SUM([1]Industry!M$37:M$39)</f>
        <v>18.513540692938861</v>
      </c>
      <c r="S778" s="3"/>
    </row>
    <row r="779" spans="2:19" x14ac:dyDescent="0.5">
      <c r="B779" s="5" t="str">
        <f t="shared" si="936"/>
        <v>SPS1</v>
      </c>
      <c r="C779" s="5" t="str">
        <f t="shared" si="937"/>
        <v>CH</v>
      </c>
      <c r="D779" t="s">
        <v>678</v>
      </c>
      <c r="E779" t="s">
        <v>8</v>
      </c>
      <c r="F779" s="1">
        <f>SUM([1]Industry!B$37:B$38)-F780</f>
        <v>35.449947595412191</v>
      </c>
      <c r="G779" s="1">
        <f>SUM([1]Industry!C$37:C$38)-G780</f>
        <v>29.947115235249857</v>
      </c>
      <c r="H779" s="1">
        <f>SUM([1]Industry!D$37:D$38)-H780</f>
        <v>33.751787196694472</v>
      </c>
      <c r="I779" s="1">
        <f>SUM([1]Industry!E$37:E$38)-I780</f>
        <v>28.91755330913934</v>
      </c>
      <c r="J779" s="1">
        <f>SUM([1]Industry!F$37:F$38)-J780</f>
        <v>26.230899345866931</v>
      </c>
      <c r="K779" s="1">
        <f>SUM([1]Industry!G$37:G$38)-K780</f>
        <v>23.21764101230924</v>
      </c>
      <c r="L779" s="1">
        <f>SUM([1]Industry!H$37:H$38)-L780</f>
        <v>20.461297689120144</v>
      </c>
      <c r="M779" s="1">
        <f>SUM([1]Industry!I$37:I$38)-M780</f>
        <v>17.968749182020307</v>
      </c>
      <c r="N779" s="1">
        <f>SUM([1]Industry!J$37:J$38)-N780</f>
        <v>17.888294082258248</v>
      </c>
      <c r="O779" s="1">
        <f>SUM([1]Industry!K$37:K$38)-O780</f>
        <v>15.382319599356679</v>
      </c>
      <c r="P779" s="1">
        <f>SUM([1]Industry!L$37:L$38)-P780</f>
        <v>13.949106723180213</v>
      </c>
      <c r="Q779" s="1">
        <f>SUM([1]Industry!M$37:M$38)-Q780</f>
        <v>12.393121768406839</v>
      </c>
      <c r="S779" s="3"/>
    </row>
    <row r="780" spans="2:19" x14ac:dyDescent="0.5">
      <c r="B780" s="5" t="str">
        <f t="shared" ref="B780" si="938">B779</f>
        <v>SPS1</v>
      </c>
      <c r="C780" s="5" t="str">
        <f t="shared" ref="C780" si="939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0.10242461275570339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0.11670619966035434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0.11479709206288699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0.11275214247479681</v>
      </c>
      <c r="J780" s="1" cm="1">
        <f t="array" ref="J780">SUMPRODUCT(([1]OUT_FinalEnergyCons!$B$4:$B$10000="Var_Fin")*1,  ([1]OUT_FinalEnergyCons!$C$4:$C$10000="Inga")*1,(ISNUMBER(SEARCH("ITOT-SWHNGAHP",[1]OUT_FinalEnergyCons!$A$4:$A$10000)))*1,[1]OUT_FinalEnergyCons!L$4:L$10000)</f>
        <v>0.11273766027583475</v>
      </c>
      <c r="K780" s="1" cm="1">
        <f t="array" ref="K780">SUMPRODUCT(([1]OUT_FinalEnergyCons!$B$4:$B$10000="Var_Fin")*1,  ([1]OUT_FinalEnergyCons!$C$4:$C$10000="Inga")*1,(ISNUMBER(SEARCH("ITOT-SWHNGAHP",[1]OUT_FinalEnergyCons!$A$4:$A$10000)))*1,[1]OUT_FinalEnergyCons!M$4:M$10000)</f>
        <v>1.6623917309812992</v>
      </c>
      <c r="L780" s="1" cm="1">
        <f t="array" ref="L780">SUMPRODUCT(([1]OUT_FinalEnergyCons!$B$4:$B$10000="Var_Fin")*1,  ([1]OUT_FinalEnergyCons!$C$4:$C$10000="Inga")*1,(ISNUMBER(SEARCH("ITOT-SWHNGAHP",[1]OUT_FinalEnergyCons!$A$4:$A$10000)))*1,[1]OUT_FinalEnergyCons!N$4:N$10000)</f>
        <v>1.6623711212330723</v>
      </c>
      <c r="M780" s="1" cm="1">
        <f t="array" ref="M780">SUMPRODUCT(([1]OUT_FinalEnergyCons!$B$4:$B$10000="Var_Fin")*1,  ([1]OUT_FinalEnergyCons!$C$4:$C$10000="Inga")*1,(ISNUMBER(SEARCH("ITOT-SWHNGAHP",[1]OUT_FinalEnergyCons!$A$4:$A$10000)))*1,[1]OUT_FinalEnergyCons!O$4:O$10000)</f>
        <v>1.6619888018846938</v>
      </c>
      <c r="N780" s="1" cm="1">
        <f t="array" ref="N780">SUMPRODUCT(([1]OUT_FinalEnergyCons!$B$4:$B$10000="Var_Fin")*1,  ([1]OUT_FinalEnergyCons!$C$4:$C$10000="Inga")*1,(ISNUMBER(SEARCH("ITOT-SWHNGAHP",[1]OUT_FinalEnergyCons!$A$4:$A$10000)))*1,[1]OUT_FinalEnergyCons!P$4:P$10000)</f>
        <v>0</v>
      </c>
      <c r="O780" s="1" cm="1">
        <f t="array" ref="O780">SUMPRODUCT(([1]OUT_FinalEnergyCons!$B$4:$B$10000="Var_Fin")*1,  ([1]OUT_FinalEnergyCons!$C$4:$C$10000="Inga")*1,(ISNUMBER(SEARCH("ITOT-SWHNGAHP",[1]OUT_FinalEnergyCons!$A$4:$A$10000)))*1,[1]OUT_FinalEnergyCons!Q$4:Q$10000)</f>
        <v>0</v>
      </c>
      <c r="P780" s="1" cm="1">
        <f t="array" ref="P780">SUMPRODUCT(([1]OUT_FinalEnergyCons!$B$4:$B$10000="Var_Fin")*1,  ([1]OUT_FinalEnergyCons!$C$4:$C$10000="Inga")*1,(ISNUMBER(SEARCH("ITOT-SWHNGAHP",[1]OUT_FinalEnergyCons!$A$4:$A$10000)))*1,[1]OUT_FinalEnergyCons!R$4:R$10000)</f>
        <v>0</v>
      </c>
      <c r="Q780" s="1" cm="1">
        <f t="array" ref="Q780">SUMPRODUCT(([1]OUT_FinalEnergyCons!$B$4:$B$10000="Var_Fin")*1,  ([1]OUT_FinalEnergyCons!$C$4:$C$10000="Inga")*1,(ISNUMBER(SEARCH("ITOT-SWHNGAHP",[1]OUT_FinalEnergyCons!$A$4:$A$10000)))*1,[1]OUT_FinalEnergyCons!S$4:S$10000)</f>
        <v>0</v>
      </c>
      <c r="S780" s="3"/>
    </row>
    <row r="781" spans="2:19" x14ac:dyDescent="0.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940">F778-F779</f>
        <v>0.53915728304719579</v>
      </c>
      <c r="G781" s="1">
        <f t="shared" si="940"/>
        <v>0.66877305859679481</v>
      </c>
      <c r="H781" s="1">
        <f t="shared" si="940"/>
        <v>1.0679301266051482</v>
      </c>
      <c r="I781" s="1">
        <f t="shared" si="940"/>
        <v>2.3296410746614846</v>
      </c>
      <c r="J781" s="1">
        <f t="shared" si="940"/>
        <v>3.7810993211920163</v>
      </c>
      <c r="K781" s="1">
        <f t="shared" si="940"/>
        <v>7.3733588102441239</v>
      </c>
      <c r="L781" s="1">
        <f t="shared" ref="L781:O781" si="941">L778-L779</f>
        <v>7.4374006283366683</v>
      </c>
      <c r="M781" s="1">
        <f t="shared" si="941"/>
        <v>7.4374302018066984</v>
      </c>
      <c r="N781" s="1">
        <f t="shared" si="941"/>
        <v>5.7997830347435624</v>
      </c>
      <c r="O781" s="1">
        <f t="shared" si="941"/>
        <v>6.1162782872669492</v>
      </c>
      <c r="P781" s="1">
        <f>P778-P779</f>
        <v>6.1163395382348913</v>
      </c>
      <c r="Q781" s="1">
        <f>Q778-Q779</f>
        <v>6.1204189245320215</v>
      </c>
      <c r="S781" s="3"/>
    </row>
    <row r="782" spans="2:19" x14ac:dyDescent="0.5">
      <c r="B782" s="5" t="str">
        <f t="shared" ref="B782:B790" si="942">B781</f>
        <v>SPS1</v>
      </c>
      <c r="C782" s="5" t="str">
        <f t="shared" ref="C782:C790" si="943">C781</f>
        <v>CH</v>
      </c>
      <c r="D782" t="s">
        <v>944</v>
      </c>
      <c r="E782" t="s">
        <v>8</v>
      </c>
      <c r="F782" s="1">
        <f>[1]Industry!B$37</f>
        <v>35.242431721858942</v>
      </c>
      <c r="G782" s="1">
        <f>[1]Industry!C$37</f>
        <v>30.063707438519025</v>
      </c>
      <c r="H782" s="1">
        <f>[1]Industry!D$37</f>
        <v>31.13291339696783</v>
      </c>
      <c r="I782" s="1">
        <f>[1]Industry!E$37</f>
        <v>26.445194282426822</v>
      </c>
      <c r="J782" s="1">
        <f>[1]Industry!F$37</f>
        <v>23.772012993027001</v>
      </c>
      <c r="K782" s="1">
        <f>[1]Industry!G$37</f>
        <v>22.184031362316393</v>
      </c>
      <c r="L782" s="1">
        <f>[1]Industry!H$37</f>
        <v>19.414849164303025</v>
      </c>
      <c r="M782" s="1">
        <f>[1]Industry!I$37</f>
        <v>16.92041473837693</v>
      </c>
      <c r="N782" s="1">
        <f>[1]Industry!J$37</f>
        <v>15.169836722021525</v>
      </c>
      <c r="O782" s="1">
        <f>[1]Industry!K$37</f>
        <v>12.68555054556675</v>
      </c>
      <c r="P782" s="1">
        <f>[1]Industry!L$37</f>
        <v>11.270046050269448</v>
      </c>
      <c r="Q782" s="1">
        <f>[1]Industry!M$37</f>
        <v>9.7439021987737124</v>
      </c>
      <c r="S782" s="3"/>
    </row>
    <row r="783" spans="2:19" x14ac:dyDescent="0.5">
      <c r="B783" s="5" t="str">
        <f t="shared" si="942"/>
        <v>SPS1</v>
      </c>
      <c r="C783" s="5" t="str">
        <f t="shared" si="943"/>
        <v>CH</v>
      </c>
      <c r="D783" t="s">
        <v>679</v>
      </c>
      <c r="E783" t="s">
        <v>8</v>
      </c>
      <c r="F783" s="1">
        <f>[1]Industry!B$37*F779/SUM(F779:F780)</f>
        <v>35.140900032199944</v>
      </c>
      <c r="G783" s="1">
        <f>[1]Industry!C$37*G779/SUM(G779:G780)</f>
        <v>29.947001681386766</v>
      </c>
      <c r="H783" s="1">
        <f>[1]Industry!D$37*H779/SUM(H779:H780)</f>
        <v>31.027382591293868</v>
      </c>
      <c r="I783" s="1">
        <f>[1]Industry!E$37*I779/SUM(I779:I780)</f>
        <v>26.34248257246994</v>
      </c>
      <c r="J783" s="1">
        <f>[1]Industry!F$37*J779/SUM(J779:J780)</f>
        <v>23.670280604129612</v>
      </c>
      <c r="K783" s="1">
        <f>[1]Industry!G$37*K779/SUM(K779:K780)</f>
        <v>20.701776468319533</v>
      </c>
      <c r="L783" s="1">
        <f>[1]Industry!H$37*L779/SUM(L779:L780)</f>
        <v>17.956018585591334</v>
      </c>
      <c r="M783" s="1">
        <f>[1]Industry!I$37*M779/SUM(M779:M780)</f>
        <v>15.487888878091715</v>
      </c>
      <c r="N783" s="1">
        <f>[1]Industry!J$37*N779/SUM(N779:N780)</f>
        <v>15.169836722021525</v>
      </c>
      <c r="O783" s="1">
        <f>[1]Industry!K$37*O779/SUM(O779:O780)</f>
        <v>12.68555054556675</v>
      </c>
      <c r="P783" s="1">
        <f>[1]Industry!L$37*P779/SUM(P779:P780)</f>
        <v>11.270046050269448</v>
      </c>
      <c r="Q783" s="1">
        <f>[1]Industry!M$37*Q779/SUM(Q779:Q780)</f>
        <v>9.7439021987737124</v>
      </c>
      <c r="S783" s="3"/>
    </row>
    <row r="784" spans="2:19" x14ac:dyDescent="0.5">
      <c r="B784" s="5" t="str">
        <f t="shared" ref="B784" si="944">B783</f>
        <v>SPS1</v>
      </c>
      <c r="C784" s="5" t="str">
        <f t="shared" ref="C784" si="945">C783</f>
        <v>CH</v>
      </c>
      <c r="D784" t="s">
        <v>723</v>
      </c>
      <c r="E784" t="s">
        <v>8</v>
      </c>
      <c r="F784" s="1">
        <f>F782-F783</f>
        <v>0.10153168965899795</v>
      </c>
      <c r="G784" s="1">
        <f t="shared" ref="G784:K784" si="946">G782-G783</f>
        <v>0.11670575713225873</v>
      </c>
      <c r="H784" s="1">
        <f t="shared" si="946"/>
        <v>0.10553080567396123</v>
      </c>
      <c r="I784" s="1">
        <f t="shared" si="946"/>
        <v>0.10271170995688195</v>
      </c>
      <c r="J784" s="1">
        <f t="shared" si="946"/>
        <v>0.10173238889738911</v>
      </c>
      <c r="K784" s="1">
        <f t="shared" si="946"/>
        <v>1.4822548939968598</v>
      </c>
      <c r="L784" s="1">
        <f t="shared" ref="L784:O784" si="947">L782-L783</f>
        <v>1.4588305787116909</v>
      </c>
      <c r="M784" s="1">
        <f t="shared" si="947"/>
        <v>1.4325258602852156</v>
      </c>
      <c r="N784" s="1">
        <f t="shared" si="947"/>
        <v>0</v>
      </c>
      <c r="O784" s="1">
        <f t="shared" si="947"/>
        <v>0</v>
      </c>
      <c r="P784" s="1">
        <f>P782-P783</f>
        <v>0</v>
      </c>
      <c r="Q784" s="1">
        <f>Q782-Q783</f>
        <v>0</v>
      </c>
      <c r="S784" s="3"/>
    </row>
    <row r="785" spans="2:19" x14ac:dyDescent="0.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0.74667315660044842</v>
      </c>
      <c r="G785" s="1">
        <f t="shared" ref="G785:K785" si="948">SUM(G786:G788)</f>
        <v>0.55218085532762839</v>
      </c>
      <c r="H785" s="1">
        <f t="shared" si="948"/>
        <v>3.6868039263317876</v>
      </c>
      <c r="I785" s="1">
        <f t="shared" si="948"/>
        <v>4.802000101374003</v>
      </c>
      <c r="J785" s="1">
        <f t="shared" si="948"/>
        <v>6.2399856740319475</v>
      </c>
      <c r="K785" s="1">
        <f t="shared" si="948"/>
        <v>8.4069684602369712</v>
      </c>
      <c r="L785" s="1">
        <f t="shared" ref="L785:O785" si="949">SUM(L786:L788)</f>
        <v>8.4838491531537876</v>
      </c>
      <c r="M785" s="1">
        <f t="shared" si="949"/>
        <v>8.4857646454500752</v>
      </c>
      <c r="N785" s="1">
        <f t="shared" si="949"/>
        <v>8.5182403949802836</v>
      </c>
      <c r="O785" s="1">
        <f t="shared" si="949"/>
        <v>8.8130473410568761</v>
      </c>
      <c r="P785" s="1">
        <f>SUM(P786:P788)</f>
        <v>8.7954002111456564</v>
      </c>
      <c r="Q785" s="1">
        <f>SUM(Q786:Q788)</f>
        <v>8.7696384941651466</v>
      </c>
      <c r="S785" s="3"/>
    </row>
    <row r="786" spans="2:19" x14ac:dyDescent="0.5">
      <c r="B786" s="5" t="str">
        <f t="shared" si="942"/>
        <v>SPS1</v>
      </c>
      <c r="C786" s="5" t="str">
        <f t="shared" si="943"/>
        <v>CH</v>
      </c>
      <c r="D786" t="s">
        <v>680</v>
      </c>
      <c r="E786" t="s">
        <v>8</v>
      </c>
      <c r="F786" s="1">
        <f>[1]Industry!B$38*F779/SUM(F779:F780)</f>
        <v>0.30904756321224436</v>
      </c>
      <c r="G786" s="1">
        <f>[1]Industry!C$38*G779/SUM(G779:G780)</f>
        <v>1.1355386309243438E-4</v>
      </c>
      <c r="H786" s="1">
        <f>[1]Industry!D$38*H779/SUM(H779:H780)</f>
        <v>2.7244046054005984</v>
      </c>
      <c r="I786" s="1">
        <f>[1]Industry!E$38*I779/SUM(I779:I780)</f>
        <v>2.575070736669399</v>
      </c>
      <c r="J786" s="1">
        <f>[1]Industry!F$38*J779/SUM(J779:J780)</f>
        <v>2.560618741737319</v>
      </c>
      <c r="K786" s="1">
        <f>[1]Industry!G$38*K779/SUM(K779:K780)</f>
        <v>2.515864543989708</v>
      </c>
      <c r="L786" s="1">
        <f>[1]Industry!H$38*L779/SUM(L779:L780)</f>
        <v>2.5052791035288098</v>
      </c>
      <c r="M786" s="1">
        <f>[1]Industry!I$38*M779/SUM(M779:M780)</f>
        <v>2.4808603039285924</v>
      </c>
      <c r="N786" s="1">
        <f>[1]Industry!J$38*N779/SUM(N779:N780)</f>
        <v>2.7184573602367221</v>
      </c>
      <c r="O786" s="1">
        <f>[1]Industry!K$38*O779/SUM(O779:O780)</f>
        <v>2.6967690537899291</v>
      </c>
      <c r="P786" s="1">
        <f>[1]Industry!L$38*P779/SUM(P779:P780)</f>
        <v>2.6790606729107651</v>
      </c>
      <c r="Q786" s="1">
        <f>[1]Industry!M$38*Q779/SUM(Q779:Q780)</f>
        <v>2.6492195696331273</v>
      </c>
      <c r="S786" s="3"/>
    </row>
    <row r="787" spans="2:19" x14ac:dyDescent="0.5">
      <c r="B787" s="5" t="str">
        <f t="shared" ref="B787" si="950">B786</f>
        <v>SPS1</v>
      </c>
      <c r="C787" s="5" t="str">
        <f t="shared" ref="C787" si="951">C786</f>
        <v>CH</v>
      </c>
      <c r="D787" t="s">
        <v>724</v>
      </c>
      <c r="E787" t="s">
        <v>8</v>
      </c>
      <c r="F787" s="1">
        <f>[1]Industry!B$38-F786</f>
        <v>8.9292309671012982E-4</v>
      </c>
      <c r="G787" s="1">
        <f>[1]Industry!C$38-G786</f>
        <v>4.4252809374677193E-7</v>
      </c>
      <c r="H787" s="1">
        <f>[1]Industry!D$38-H786</f>
        <v>9.2662863889283464E-3</v>
      </c>
      <c r="I787" s="1">
        <f>[1]Industry!E$38-I786</f>
        <v>1.004043251791531E-2</v>
      </c>
      <c r="J787" s="1">
        <f>[1]Industry!F$38-J786</f>
        <v>1.1005271378443648E-2</v>
      </c>
      <c r="K787" s="1">
        <f>[1]Industry!G$38-K786</f>
        <v>0.18013683698443694</v>
      </c>
      <c r="L787" s="1">
        <f>[1]Industry!H$38-L786</f>
        <v>0.20354054252137965</v>
      </c>
      <c r="M787" s="1">
        <f>[1]Industry!I$38-M786</f>
        <v>0.22946294159947689</v>
      </c>
      <c r="N787" s="1">
        <f>[1]Industry!J$38-N786</f>
        <v>0</v>
      </c>
      <c r="O787" s="1">
        <f>[1]Industry!K$38-O786</f>
        <v>0</v>
      </c>
      <c r="P787" s="1">
        <f>[1]Industry!L$38-P786</f>
        <v>0</v>
      </c>
      <c r="Q787" s="1">
        <f>[1]Industry!M$38-Q786</f>
        <v>0</v>
      </c>
      <c r="S787" s="3"/>
    </row>
    <row r="788" spans="2:19" x14ac:dyDescent="0.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0.43673267029149393</v>
      </c>
      <c r="G788" s="1">
        <f>[1]Industry!C$39</f>
        <v>0.55206685893644225</v>
      </c>
      <c r="H788" s="1">
        <f>[1]Industry!D$39</f>
        <v>0.95313303454226073</v>
      </c>
      <c r="I788" s="1">
        <f>[1]Industry!E$39</f>
        <v>2.2168889321866887</v>
      </c>
      <c r="J788" s="1">
        <f>[1]Industry!F$39</f>
        <v>3.6683616609161849</v>
      </c>
      <c r="K788" s="1">
        <f>[1]Industry!G$39</f>
        <v>5.7109670792628267</v>
      </c>
      <c r="L788" s="1">
        <f>[1]Industry!H$39</f>
        <v>5.7750295071035982</v>
      </c>
      <c r="M788" s="1">
        <f>[1]Industry!I$39</f>
        <v>5.7754413999220064</v>
      </c>
      <c r="N788" s="1">
        <f>[1]Industry!J$39</f>
        <v>5.7997830347435615</v>
      </c>
      <c r="O788" s="1">
        <f>[1]Industry!K$39</f>
        <v>6.1162782872669474</v>
      </c>
      <c r="P788" s="1">
        <f>[1]Industry!L$39</f>
        <v>6.1163395382348913</v>
      </c>
      <c r="Q788" s="1">
        <f>[1]Industry!M$39</f>
        <v>6.1204189245320197</v>
      </c>
      <c r="S788" s="3"/>
    </row>
    <row r="789" spans="2:19" x14ac:dyDescent="0.5">
      <c r="B789" s="5" t="str">
        <f t="shared" si="942"/>
        <v>SPS1</v>
      </c>
      <c r="C789" s="5" t="str">
        <f t="shared" si="943"/>
        <v>CH</v>
      </c>
      <c r="D789" t="s">
        <v>946</v>
      </c>
      <c r="E789" t="s">
        <v>8</v>
      </c>
      <c r="F789" s="1">
        <f>[1]Industry!B$18</f>
        <v>3.5600047542263824</v>
      </c>
      <c r="G789" s="1">
        <f>[1]Industry!C$18</f>
        <v>3.4647169635802859</v>
      </c>
      <c r="H789" s="1">
        <f>[1]Industry!D$18</f>
        <v>2.9081085473763579</v>
      </c>
      <c r="I789" s="1">
        <f>[1]Industry!E$18</f>
        <v>1.3322349892724663E-3</v>
      </c>
      <c r="J789" s="1">
        <f>[1]Industry!F$18</f>
        <v>1.5087891758493537E-3</v>
      </c>
      <c r="K789" s="1">
        <f>[1]Industry!G$18</f>
        <v>1.356355616750455E-3</v>
      </c>
      <c r="L789" s="1">
        <f>[1]Industry!H$18</f>
        <v>1.7821310339615763E-3</v>
      </c>
      <c r="M789" s="1">
        <f>[1]Industry!I$18</f>
        <v>4.4958159540471462E-3</v>
      </c>
      <c r="N789" s="1">
        <f>[1]Industry!J$18</f>
        <v>2.6600949992475072E-3</v>
      </c>
      <c r="O789" s="1">
        <f>[1]Industry!K$18</f>
        <v>4.0053278377095072E-3</v>
      </c>
      <c r="P789" s="1">
        <f>[1]Industry!L$18</f>
        <v>2.206658400013735E-3</v>
      </c>
      <c r="Q789" s="1">
        <f>[1]Industry!M$18</f>
        <v>3.8655899619369095E-3</v>
      </c>
      <c r="S789" s="3"/>
    </row>
    <row r="790" spans="2:19" x14ac:dyDescent="0.5">
      <c r="B790" s="5" t="str">
        <f t="shared" si="942"/>
        <v>SPS1</v>
      </c>
      <c r="C790" s="5" t="str">
        <f t="shared" si="943"/>
        <v>CH</v>
      </c>
      <c r="D790" t="s">
        <v>947</v>
      </c>
      <c r="E790" t="s">
        <v>8</v>
      </c>
      <c r="F790" s="1">
        <f>F789</f>
        <v>3.5600047542263824</v>
      </c>
      <c r="G790" s="1">
        <f t="shared" ref="G790:K790" si="952">G789</f>
        <v>3.4647169635802859</v>
      </c>
      <c r="H790" s="1">
        <f t="shared" si="952"/>
        <v>2.9081085473763579</v>
      </c>
      <c r="I790" s="1">
        <f t="shared" si="952"/>
        <v>1.3322349892724663E-3</v>
      </c>
      <c r="J790" s="1">
        <f t="shared" si="952"/>
        <v>1.5087891758493537E-3</v>
      </c>
      <c r="K790" s="1">
        <f t="shared" si="952"/>
        <v>1.356355616750455E-3</v>
      </c>
      <c r="L790" s="1">
        <f t="shared" ref="L790:O790" si="953">L789</f>
        <v>1.7821310339615763E-3</v>
      </c>
      <c r="M790" s="1">
        <f t="shared" si="953"/>
        <v>4.4958159540471462E-3</v>
      </c>
      <c r="N790" s="1">
        <f t="shared" si="953"/>
        <v>2.6600949992475072E-3</v>
      </c>
      <c r="O790" s="1">
        <f t="shared" si="953"/>
        <v>4.0053278377095072E-3</v>
      </c>
      <c r="P790" s="1">
        <f>P789</f>
        <v>2.206658400013735E-3</v>
      </c>
      <c r="Q790" s="1">
        <f>Q789</f>
        <v>3.8655899619369095E-3</v>
      </c>
      <c r="S790" s="3"/>
    </row>
    <row r="791" spans="2:19" x14ac:dyDescent="0.5">
      <c r="B791" s="5" t="str">
        <f t="shared" ref="B791:B792" si="954">B790</f>
        <v>SPS1</v>
      </c>
      <c r="C791" s="5" t="str">
        <f t="shared" ref="C791:C792" si="955">C790</f>
        <v>CH</v>
      </c>
      <c r="D791" t="s">
        <v>948</v>
      </c>
      <c r="E791" t="s">
        <v>8</v>
      </c>
      <c r="F791" s="1">
        <f>[1]Industry!B$19</f>
        <v>12.728690199626094</v>
      </c>
      <c r="G791" s="1">
        <f>[1]Industry!C$19</f>
        <v>13.638451066601295</v>
      </c>
      <c r="H791" s="1">
        <f>[1]Industry!D$19</f>
        <v>13.52312205473574</v>
      </c>
      <c r="I791" s="1">
        <f>[1]Industry!E$19</f>
        <v>17.062328697899513</v>
      </c>
      <c r="J791" s="1">
        <f>[1]Industry!F$19</f>
        <v>16.514013225217028</v>
      </c>
      <c r="K791" s="1">
        <f>[1]Industry!G$19</f>
        <v>15.98263466950848</v>
      </c>
      <c r="L791" s="1">
        <f>[1]Industry!H$19</f>
        <v>18.736469577097232</v>
      </c>
      <c r="M791" s="1">
        <f>[1]Industry!I$19</f>
        <v>21.104917716512194</v>
      </c>
      <c r="N791" s="1">
        <f>[1]Industry!J$19</f>
        <v>21.9504723515434</v>
      </c>
      <c r="O791" s="1">
        <f>[1]Industry!K$19</f>
        <v>22.178699222040642</v>
      </c>
      <c r="P791" s="1">
        <f>[1]Industry!L$19</f>
        <v>21.792560039207405</v>
      </c>
      <c r="Q791" s="1">
        <f>[1]Industry!M$19</f>
        <v>21.853291568310695</v>
      </c>
      <c r="S791" s="3"/>
    </row>
    <row r="792" spans="2:19" x14ac:dyDescent="0.5">
      <c r="B792" s="5" t="str">
        <f t="shared" si="954"/>
        <v>SPS1</v>
      </c>
      <c r="C792" s="5" t="str">
        <f t="shared" si="955"/>
        <v>CH</v>
      </c>
      <c r="D792" t="s">
        <v>949</v>
      </c>
      <c r="E792" t="s">
        <v>8</v>
      </c>
      <c r="F792" s="1">
        <f>SUM(F793:F801)</f>
        <v>4.2952358535168491</v>
      </c>
      <c r="G792" s="1">
        <f t="shared" ref="G792:K792" si="956">SUM(G793:G801)</f>
        <v>5.8497819198191578</v>
      </c>
      <c r="H792" s="1">
        <f t="shared" si="956"/>
        <v>6.0773659221198422</v>
      </c>
      <c r="I792" s="1">
        <f t="shared" si="956"/>
        <v>8.5891868911549842</v>
      </c>
      <c r="J792" s="1">
        <f t="shared" si="956"/>
        <v>9.1934161033533766</v>
      </c>
      <c r="K792" s="1">
        <f t="shared" si="956"/>
        <v>8.2054921644916927</v>
      </c>
      <c r="L792" s="1">
        <f t="shared" ref="L792:O792" si="957">SUM(L793:L801)</f>
        <v>9.8963570514395656</v>
      </c>
      <c r="M792" s="1">
        <f t="shared" si="957"/>
        <v>11.91495509424848</v>
      </c>
      <c r="N792" s="1">
        <f t="shared" si="957"/>
        <v>12.836160670077973</v>
      </c>
      <c r="O792" s="1">
        <f t="shared" si="957"/>
        <v>12.844906296794569</v>
      </c>
      <c r="P792" s="1">
        <f>SUM(P793:P801)</f>
        <v>12.805562192709562</v>
      </c>
      <c r="Q792" s="1">
        <f>SUM(Q793:Q801)</f>
        <v>12.934009206273872</v>
      </c>
      <c r="S792" s="3"/>
    </row>
    <row r="793" spans="2:19" x14ac:dyDescent="0.5">
      <c r="B793" s="5" t="str">
        <f t="shared" ref="B793:B802" si="958">B792</f>
        <v>SPS1</v>
      </c>
      <c r="C793" s="5" t="str">
        <f t="shared" ref="C793:C810" si="959">C792</f>
        <v>CH</v>
      </c>
      <c r="D793" t="s">
        <v>481</v>
      </c>
      <c r="E793" t="s">
        <v>8</v>
      </c>
      <c r="F793" s="1">
        <f>F235</f>
        <v>0.92940928654395227</v>
      </c>
      <c r="G793" s="1">
        <f t="shared" ref="G793:K793" si="960">G235</f>
        <v>2.0722125733391099</v>
      </c>
      <c r="H793" s="1">
        <f t="shared" si="960"/>
        <v>2.8064838508560879E-2</v>
      </c>
      <c r="I793" s="1">
        <f t="shared" si="960"/>
        <v>1.3014136384638137</v>
      </c>
      <c r="J793" s="1">
        <f t="shared" si="960"/>
        <v>0.83437150499334012</v>
      </c>
      <c r="K793" s="1">
        <f t="shared" si="960"/>
        <v>4.1849926533218409E-2</v>
      </c>
      <c r="L793" s="1">
        <f t="shared" ref="L793:O793" si="961">L235</f>
        <v>4.5847201302642318E-2</v>
      </c>
      <c r="M793" s="1">
        <f t="shared" si="961"/>
        <v>5.6703318995080479E-2</v>
      </c>
      <c r="N793" s="1">
        <f t="shared" si="961"/>
        <v>6.0048920780603157E-2</v>
      </c>
      <c r="O793" s="1">
        <f t="shared" si="961"/>
        <v>6.0807560316982721E-2</v>
      </c>
      <c r="P793" s="1">
        <f>P235</f>
        <v>6.0049657490466375E-2</v>
      </c>
      <c r="Q793" s="1">
        <f>Q235</f>
        <v>6.1129158051338998E-2</v>
      </c>
      <c r="S793" s="3"/>
    </row>
    <row r="794" spans="2:19" x14ac:dyDescent="0.5">
      <c r="B794" s="5" t="str">
        <f t="shared" si="958"/>
        <v>SPS1</v>
      </c>
      <c r="C794" s="5" t="str">
        <f t="shared" si="959"/>
        <v>CH</v>
      </c>
      <c r="D794" t="s">
        <v>482</v>
      </c>
      <c r="E794" t="s">
        <v>8</v>
      </c>
      <c r="F794" s="1">
        <f>F241</f>
        <v>0.77106928774522465</v>
      </c>
      <c r="G794" s="1">
        <f t="shared" ref="G794:K794" si="962">G241</f>
        <v>0.10219721324555901</v>
      </c>
      <c r="H794" s="1">
        <f t="shared" si="962"/>
        <v>6.5568486991403357E-2</v>
      </c>
      <c r="I794" s="1">
        <f t="shared" si="962"/>
        <v>0.70832107391015287</v>
      </c>
      <c r="J794" s="1">
        <f t="shared" si="962"/>
        <v>1.0466179760906551</v>
      </c>
      <c r="K794" s="1">
        <f t="shared" si="962"/>
        <v>0.18242625432442611</v>
      </c>
      <c r="L794" s="1">
        <f t="shared" ref="L794:O794" si="963">L241</f>
        <v>0.11554139191213786</v>
      </c>
      <c r="M794" s="1">
        <f t="shared" si="963"/>
        <v>6.8692695316219451E-2</v>
      </c>
      <c r="N794" s="1">
        <f t="shared" si="963"/>
        <v>3.4131067278339255E-2</v>
      </c>
      <c r="O794" s="1">
        <f t="shared" si="963"/>
        <v>3.719728394233203E-2</v>
      </c>
      <c r="P794" s="1">
        <f t="shared" ref="P794:Q796" si="964">P241</f>
        <v>5.4373715668042485E-2</v>
      </c>
      <c r="Q794" s="1">
        <f t="shared" si="964"/>
        <v>9.1953449440533339E-2</v>
      </c>
      <c r="S794" s="3"/>
    </row>
    <row r="795" spans="2:19" x14ac:dyDescent="0.5">
      <c r="B795" s="5" t="str">
        <f t="shared" si="958"/>
        <v>SPS1</v>
      </c>
      <c r="C795" s="5" t="str">
        <f t="shared" si="959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65">G242</f>
        <v>0</v>
      </c>
      <c r="H795" s="1">
        <f t="shared" si="965"/>
        <v>0</v>
      </c>
      <c r="I795" s="1">
        <f t="shared" si="965"/>
        <v>0</v>
      </c>
      <c r="J795" s="1">
        <f t="shared" si="965"/>
        <v>0</v>
      </c>
      <c r="K795" s="1">
        <f t="shared" si="965"/>
        <v>0</v>
      </c>
      <c r="L795" s="1">
        <f t="shared" ref="L795:O795" si="966">L242</f>
        <v>0</v>
      </c>
      <c r="M795" s="1">
        <f t="shared" si="966"/>
        <v>0</v>
      </c>
      <c r="N795" s="1">
        <f t="shared" si="966"/>
        <v>0</v>
      </c>
      <c r="O795" s="1">
        <f t="shared" si="966"/>
        <v>0</v>
      </c>
      <c r="P795" s="1">
        <f t="shared" si="964"/>
        <v>0</v>
      </c>
      <c r="Q795" s="1">
        <f t="shared" si="964"/>
        <v>0</v>
      </c>
      <c r="S795" s="3"/>
    </row>
    <row r="796" spans="2:19" x14ac:dyDescent="0.5">
      <c r="B796" s="5" t="str">
        <f t="shared" si="958"/>
        <v>SPS1</v>
      </c>
      <c r="C796" s="5" t="str">
        <f t="shared" si="959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67">G243</f>
        <v>0</v>
      </c>
      <c r="H796" s="1">
        <f t="shared" si="967"/>
        <v>0</v>
      </c>
      <c r="I796" s="1">
        <f t="shared" si="967"/>
        <v>7.2744521332476894E-4</v>
      </c>
      <c r="J796" s="1">
        <f t="shared" si="967"/>
        <v>9.964774884039494E-4</v>
      </c>
      <c r="K796" s="1">
        <f t="shared" si="967"/>
        <v>1.6504645777945235E-3</v>
      </c>
      <c r="L796" s="1">
        <f t="shared" ref="L796:O796" si="968">L243</f>
        <v>2.0590783795487403E-3</v>
      </c>
      <c r="M796" s="1">
        <f t="shared" si="968"/>
        <v>3.8421209836992185E-3</v>
      </c>
      <c r="N796" s="1">
        <f t="shared" si="968"/>
        <v>3.0941792619638836E-3</v>
      </c>
      <c r="O796" s="1">
        <f t="shared" si="968"/>
        <v>4.6665657270570423E-3</v>
      </c>
      <c r="P796" s="1">
        <f t="shared" si="964"/>
        <v>5.2345884706720674E-3</v>
      </c>
      <c r="Q796" s="1">
        <f t="shared" si="964"/>
        <v>9.4738254308706846E-3</v>
      </c>
      <c r="S796" s="3"/>
    </row>
    <row r="797" spans="2:19" x14ac:dyDescent="0.5">
      <c r="B797" s="5" t="str">
        <f t="shared" si="958"/>
        <v>SPS1</v>
      </c>
      <c r="C797" s="5" t="str">
        <f t="shared" si="959"/>
        <v>CH</v>
      </c>
      <c r="D797" t="s">
        <v>485</v>
      </c>
      <c r="E797" t="s">
        <v>8</v>
      </c>
      <c r="F797" s="1">
        <f>F274</f>
        <v>1.9348736538659803</v>
      </c>
      <c r="G797" s="1">
        <f t="shared" ref="G797:K797" si="969">G274</f>
        <v>1.8587811183256313</v>
      </c>
      <c r="H797" s="1">
        <f t="shared" si="969"/>
        <v>2.5503153117250594</v>
      </c>
      <c r="I797" s="1">
        <f t="shared" si="969"/>
        <v>2.2433372211164957</v>
      </c>
      <c r="J797" s="1">
        <f t="shared" si="969"/>
        <v>1.9426765966661987</v>
      </c>
      <c r="K797" s="1">
        <f t="shared" si="969"/>
        <v>1.6589290504082113</v>
      </c>
      <c r="L797" s="1">
        <f t="shared" ref="L797:O797" si="970">L274</f>
        <v>1.3779617515931764</v>
      </c>
      <c r="M797" s="1">
        <f t="shared" si="970"/>
        <v>1.0997828432070569</v>
      </c>
      <c r="N797" s="1">
        <f t="shared" si="970"/>
        <v>1.0997740431057907</v>
      </c>
      <c r="O797" s="1">
        <f t="shared" si="970"/>
        <v>1.099782216820606</v>
      </c>
      <c r="P797" s="1">
        <f>P274</f>
        <v>1.0997758406667328</v>
      </c>
      <c r="Q797" s="1">
        <f>Q274</f>
        <v>1.0998002814186338</v>
      </c>
      <c r="S797" s="3"/>
    </row>
    <row r="798" spans="2:19" x14ac:dyDescent="0.5">
      <c r="B798" s="5" t="str">
        <f t="shared" si="958"/>
        <v>SPS1</v>
      </c>
      <c r="C798" s="5" t="str">
        <f t="shared" si="959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71">G275</f>
        <v>0</v>
      </c>
      <c r="H798" s="1">
        <f t="shared" si="971"/>
        <v>0</v>
      </c>
      <c r="I798" s="1">
        <f t="shared" si="971"/>
        <v>0</v>
      </c>
      <c r="J798" s="1">
        <f t="shared" si="971"/>
        <v>0</v>
      </c>
      <c r="K798" s="1">
        <f t="shared" si="971"/>
        <v>0</v>
      </c>
      <c r="L798" s="1">
        <f t="shared" ref="L798:O798" si="972">L275</f>
        <v>0</v>
      </c>
      <c r="M798" s="1">
        <f t="shared" si="972"/>
        <v>0</v>
      </c>
      <c r="N798" s="1">
        <f t="shared" si="972"/>
        <v>0</v>
      </c>
      <c r="O798" s="1">
        <f t="shared" si="972"/>
        <v>0</v>
      </c>
      <c r="P798" s="1">
        <f>P275</f>
        <v>0</v>
      </c>
      <c r="Q798" s="1">
        <f>Q275</f>
        <v>0</v>
      </c>
      <c r="S798" s="3"/>
    </row>
    <row r="799" spans="2:19" x14ac:dyDescent="0.5">
      <c r="B799" s="5" t="str">
        <f t="shared" si="958"/>
        <v>SPS1</v>
      </c>
      <c r="C799" s="5" t="str">
        <f t="shared" si="959"/>
        <v>CH</v>
      </c>
      <c r="D799" t="s">
        <v>487</v>
      </c>
      <c r="E799" t="s">
        <v>8</v>
      </c>
      <c r="F799" s="1">
        <f>F283</f>
        <v>0.65988362536169198</v>
      </c>
      <c r="G799" s="1">
        <f t="shared" ref="G799:K799" si="973">G283</f>
        <v>1.8165910149088584</v>
      </c>
      <c r="H799" s="1">
        <f t="shared" si="973"/>
        <v>3.4334172848948183</v>
      </c>
      <c r="I799" s="1">
        <f t="shared" si="973"/>
        <v>4.3340595226111684</v>
      </c>
      <c r="J799" s="1">
        <f t="shared" si="973"/>
        <v>5.3649708129766145</v>
      </c>
      <c r="K799" s="1">
        <f t="shared" si="973"/>
        <v>6.3150029916097248</v>
      </c>
      <c r="L799" s="1">
        <f t="shared" ref="L799:O799" si="974">L283</f>
        <v>8.34982844492799</v>
      </c>
      <c r="M799" s="1">
        <f t="shared" si="974"/>
        <v>10.6718039876924</v>
      </c>
      <c r="N799" s="1">
        <f t="shared" si="974"/>
        <v>11.627270334370458</v>
      </c>
      <c r="O799" s="1">
        <f t="shared" si="974"/>
        <v>11.60727045854185</v>
      </c>
      <c r="P799" s="1">
        <f>P283</f>
        <v>11.549141238348669</v>
      </c>
      <c r="Q799" s="1">
        <f>Q283</f>
        <v>11.627512601713196</v>
      </c>
      <c r="S799" s="3"/>
    </row>
    <row r="800" spans="2:19" x14ac:dyDescent="0.5">
      <c r="B800" s="5" t="str">
        <f t="shared" si="958"/>
        <v>SPS1</v>
      </c>
      <c r="C800" s="5" t="str">
        <f t="shared" si="959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75">G284</f>
        <v>0</v>
      </c>
      <c r="H800" s="1">
        <f t="shared" si="975"/>
        <v>0</v>
      </c>
      <c r="I800" s="1">
        <f t="shared" si="975"/>
        <v>0</v>
      </c>
      <c r="J800" s="1">
        <f t="shared" si="975"/>
        <v>0</v>
      </c>
      <c r="K800" s="1">
        <f t="shared" si="975"/>
        <v>0</v>
      </c>
      <c r="L800" s="1">
        <f t="shared" ref="L800:O800" si="976">L284</f>
        <v>0</v>
      </c>
      <c r="M800" s="1">
        <f t="shared" si="976"/>
        <v>0</v>
      </c>
      <c r="N800" s="1">
        <f t="shared" si="976"/>
        <v>0</v>
      </c>
      <c r="O800" s="1">
        <f t="shared" si="976"/>
        <v>0</v>
      </c>
      <c r="P800" s="1">
        <f>P284</f>
        <v>0</v>
      </c>
      <c r="Q800" s="1">
        <f>Q284</f>
        <v>0</v>
      </c>
      <c r="S800" s="3"/>
    </row>
    <row r="801" spans="2:19" x14ac:dyDescent="0.5">
      <c r="B801" s="5" t="str">
        <f t="shared" si="958"/>
        <v>SPS1</v>
      </c>
      <c r="C801" s="5" t="str">
        <f t="shared" si="959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77">G289</f>
        <v>0</v>
      </c>
      <c r="H801" s="1">
        <f t="shared" si="977"/>
        <v>0</v>
      </c>
      <c r="I801" s="1">
        <f t="shared" si="977"/>
        <v>1.327989840028848E-3</v>
      </c>
      <c r="J801" s="1">
        <f t="shared" si="977"/>
        <v>3.7827351381642042E-3</v>
      </c>
      <c r="K801" s="1">
        <f t="shared" si="977"/>
        <v>5.6334770383172838E-3</v>
      </c>
      <c r="L801" s="1">
        <f t="shared" ref="L801:O801" si="978">L289</f>
        <v>5.1191833240696333E-3</v>
      </c>
      <c r="M801" s="1">
        <f t="shared" si="978"/>
        <v>1.4130128054023808E-2</v>
      </c>
      <c r="N801" s="1">
        <f t="shared" si="978"/>
        <v>1.1842125280817789E-2</v>
      </c>
      <c r="O801" s="1">
        <f t="shared" si="978"/>
        <v>3.5182211445740991E-2</v>
      </c>
      <c r="P801" s="1">
        <f>P289</f>
        <v>3.6987152064979677E-2</v>
      </c>
      <c r="Q801" s="1">
        <f>Q289</f>
        <v>4.4139890219299795E-2</v>
      </c>
      <c r="S801" s="3"/>
    </row>
    <row r="802" spans="2:19" x14ac:dyDescent="0.5">
      <c r="B802" s="5" t="str">
        <f t="shared" si="958"/>
        <v>SPS1</v>
      </c>
      <c r="C802" s="5" t="str">
        <f t="shared" si="959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7.1200255971190005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7.6289170535816035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7.3930204187738093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7.8106274081554652</v>
      </c>
      <c r="J802" s="1" cm="1">
        <f t="array" ref="J802">SUMPRODUCT(([1]OUT_FinalEnergyCons!$B$4:$B$10000="Var_Fin")*1, ([1]OUT_FinalEnergyCons!$C$4:$C$10000="ITOT_LTH_DH")*1, (ISNUMBER(SEARCH("ITOT-SWHLTHDH",[1]OUT_FinalEnergyCons!$A$4:$A$10000)))*1,[1]OUT_FinalEnergyCons!H$4:H$10000)</f>
        <v>7.3347087831452509</v>
      </c>
      <c r="K802" s="1" cm="1">
        <f t="array" ref="K802">SUMPRODUCT(([1]OUT_FinalEnergyCons!$B$4:$B$10000="Var_Fin")*1, ([1]OUT_FinalEnergyCons!$C$4:$C$10000="ITOT_LTH_DH")*1, (ISNUMBER(SEARCH("ITOT-SWHLTHDH",[1]OUT_FinalEnergyCons!$A$4:$A$10000)))*1,[1]OUT_FinalEnergyCons!I$4:I$10000)</f>
        <v>7.8082811720037464</v>
      </c>
      <c r="L802" s="1" cm="1">
        <f t="array" ref="L802">SUMPRODUCT(([1]OUT_FinalEnergyCons!$B$4:$B$10000="Var_Fin")*1, ([1]OUT_FinalEnergyCons!$C$4:$C$10000="ITOT_LTH_DH")*1, (ISNUMBER(SEARCH("ITOT-SWHLTHDH",[1]OUT_FinalEnergyCons!$A$4:$A$10000)))*1,[1]OUT_FinalEnergyCons!J$4:J$10000)</f>
        <v>8.8814866456378443</v>
      </c>
      <c r="M802" s="1" cm="1">
        <f t="array" ref="M802">SUMPRODUCT(([1]OUT_FinalEnergyCons!$B$4:$B$10000="Var_Fin")*1, ([1]OUT_FinalEnergyCons!$C$4:$C$10000="ITOT_LTH_DH")*1, (ISNUMBER(SEARCH("ITOT-SWHLTHDH",[1]OUT_FinalEnergyCons!$A$4:$A$10000)))*1,[1]OUT_FinalEnergyCons!K$4:K$10000)</f>
        <v>9.2266148348845718</v>
      </c>
      <c r="N802" s="1" cm="1">
        <f t="array" ref="N802">SUMPRODUCT(([1]OUT_FinalEnergyCons!$B$4:$B$10000="Var_Fin")*1, ([1]OUT_FinalEnergyCons!$C$4:$C$10000="ITOT_LTH_DH")*1, (ISNUMBER(SEARCH("ITOT-SWHLTHDH",[1]OUT_FinalEnergyCons!$A$4:$A$10000)))*1,[1]OUT_FinalEnergyCons!L$4:L$10000)</f>
        <v>9.1450611029591169</v>
      </c>
      <c r="O802" s="1" cm="1">
        <f t="array" ref="O802">SUMPRODUCT(([1]OUT_FinalEnergyCons!$B$4:$B$10000="Var_Fin")*1, ([1]OUT_FinalEnergyCons!$C$4:$C$10000="ITOT_LTH_DH")*1, (ISNUMBER(SEARCH("ITOT-SWHLTHDH",[1]OUT_FinalEnergyCons!$A$4:$A$10000)))*1,[1]OUT_FinalEnergyCons!M$4:M$10000)</f>
        <v>9.3853704984917599</v>
      </c>
      <c r="P802" s="1" cm="1">
        <f t="array" ref="P802">SUMPRODUCT(([1]OUT_FinalEnergyCons!$B$4:$B$10000="Var_Fin")*1, ([1]OUT_FinalEnergyCons!$C$4:$C$10000="ITOT_LTH_DH")*1, (ISNUMBER(SEARCH("ITOT-SWHLTHDH",[1]OUT_FinalEnergyCons!$A$4:$A$10000)))*1,[1]OUT_FinalEnergyCons!N$4:N$10000)</f>
        <v>9.0428497688784226</v>
      </c>
      <c r="Q802" s="1" cm="1">
        <f t="array" ref="Q802">SUMPRODUCT(([1]OUT_FinalEnergyCons!$B$4:$B$10000="Var_Fin")*1, ([1]OUT_FinalEnergyCons!$C$4:$C$10000="ITOT_LTH_DH")*1, (ISNUMBER(SEARCH("ITOT-SWHLTHDH",[1]OUT_FinalEnergyCons!$A$4:$A$10000)))*1,[1]OUT_FinalEnergyCons!O$4:O$10000)</f>
        <v>8.9637257080306068</v>
      </c>
      <c r="S802" s="3"/>
    </row>
    <row r="803" spans="2:19" x14ac:dyDescent="0.5">
      <c r="B803" s="5" t="str">
        <f>B802</f>
        <v>SPS1</v>
      </c>
      <c r="C803" s="5" t="str">
        <f t="shared" si="959"/>
        <v>CH</v>
      </c>
      <c r="D803" t="s">
        <v>951</v>
      </c>
      <c r="E803" t="s">
        <v>8</v>
      </c>
      <c r="F803" s="1">
        <f>F804</f>
        <v>9.0019053386319818</v>
      </c>
      <c r="G803" s="1">
        <f t="shared" ref="G803:O803" si="979">G804</f>
        <v>10.609941954248734</v>
      </c>
      <c r="H803" s="1">
        <f t="shared" si="979"/>
        <v>9.8540011152907141</v>
      </c>
      <c r="I803" s="1">
        <f t="shared" si="979"/>
        <v>11.555325883656606</v>
      </c>
      <c r="J803" s="1">
        <f t="shared" si="979"/>
        <v>12.56623526539534</v>
      </c>
      <c r="K803" s="1">
        <f t="shared" si="979"/>
        <v>13.579284567872492</v>
      </c>
      <c r="L803" s="1">
        <f t="shared" si="979"/>
        <v>14.385460205156951</v>
      </c>
      <c r="M803" s="1">
        <f t="shared" si="979"/>
        <v>15.481859732685663</v>
      </c>
      <c r="N803" s="1">
        <f t="shared" si="979"/>
        <v>15.349477053942024</v>
      </c>
      <c r="O803" s="1">
        <f t="shared" si="979"/>
        <v>15.776454206450998</v>
      </c>
      <c r="P803" s="1">
        <f>P804</f>
        <v>13.793659633843379</v>
      </c>
      <c r="Q803" s="1">
        <f>Q804</f>
        <v>14.813429445814485</v>
      </c>
      <c r="S803" s="3"/>
    </row>
    <row r="804" spans="2:19" x14ac:dyDescent="0.5">
      <c r="B804" s="5" t="str">
        <f t="shared" ref="B804:B806" si="980">B803</f>
        <v>SPS1</v>
      </c>
      <c r="C804" s="5" t="str">
        <f t="shared" si="959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9.0019053386319818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10.609941954248734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9.8540011152907141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11.555325883656606</v>
      </c>
      <c r="J804" s="1" cm="1">
        <f t="array" ref="J804">SUMPRODUCT(([1]OUT_FinalEnergyCons!$B$4:$B$10000="Var_Fin")*1, ([1]OUT_FinalEnergyCons!$C$4:$C$10000="iWOD")*1, (ISNUMBER(SEARCH("ITOT-SWHWOD*BR",[1]OUT_FinalEnergyCons!$A$4:$A$10000)))*1,[1]OUT_FinalEnergyCons!H$4:H$10000)</f>
        <v>12.56623526539534</v>
      </c>
      <c r="K804" s="1" cm="1">
        <f t="array" ref="K804">SUMPRODUCT(([1]OUT_FinalEnergyCons!$B$4:$B$10000="Var_Fin")*1, ([1]OUT_FinalEnergyCons!$C$4:$C$10000="iWOD")*1, (ISNUMBER(SEARCH("ITOT-SWHWOD*BR",[1]OUT_FinalEnergyCons!$A$4:$A$10000)))*1,[1]OUT_FinalEnergyCons!I$4:I$10000)</f>
        <v>13.579284567872492</v>
      </c>
      <c r="L804" s="1" cm="1">
        <f t="array" ref="L804">SUMPRODUCT(([1]OUT_FinalEnergyCons!$B$4:$B$10000="Var_Fin")*1, ([1]OUT_FinalEnergyCons!$C$4:$C$10000="iWOD")*1, (ISNUMBER(SEARCH("ITOT-SWHWOD*BR",[1]OUT_FinalEnergyCons!$A$4:$A$10000)))*1,[1]OUT_FinalEnergyCons!J$4:J$10000)</f>
        <v>14.385460205156951</v>
      </c>
      <c r="M804" s="1" cm="1">
        <f t="array" ref="M804">SUMPRODUCT(([1]OUT_FinalEnergyCons!$B$4:$B$10000="Var_Fin")*1, ([1]OUT_FinalEnergyCons!$C$4:$C$10000="iWOD")*1, (ISNUMBER(SEARCH("ITOT-SWHWOD*BR",[1]OUT_FinalEnergyCons!$A$4:$A$10000)))*1,[1]OUT_FinalEnergyCons!K$4:K$10000)</f>
        <v>15.481859732685663</v>
      </c>
      <c r="N804" s="1" cm="1">
        <f t="array" ref="N804">SUMPRODUCT(([1]OUT_FinalEnergyCons!$B$4:$B$10000="Var_Fin")*1, ([1]OUT_FinalEnergyCons!$C$4:$C$10000="iWOD")*1, (ISNUMBER(SEARCH("ITOT-SWHWOD*BR",[1]OUT_FinalEnergyCons!$A$4:$A$10000)))*1,[1]OUT_FinalEnergyCons!L$4:L$10000)</f>
        <v>15.349477053942024</v>
      </c>
      <c r="O804" s="1" cm="1">
        <f t="array" ref="O804">SUMPRODUCT(([1]OUT_FinalEnergyCons!$B$4:$B$10000="Var_Fin")*1, ([1]OUT_FinalEnergyCons!$C$4:$C$10000="iWOD")*1, (ISNUMBER(SEARCH("ITOT-SWHWOD*BR",[1]OUT_FinalEnergyCons!$A$4:$A$10000)))*1,[1]OUT_FinalEnergyCons!M$4:M$10000)</f>
        <v>15.776454206450998</v>
      </c>
      <c r="P804" s="1" cm="1">
        <f t="array" ref="P804">SUMPRODUCT(([1]OUT_FinalEnergyCons!$B$4:$B$10000="Var_Fin")*1, ([1]OUT_FinalEnergyCons!$C$4:$C$10000="iWOD")*1, (ISNUMBER(SEARCH("ITOT-SWHWOD*BR",[1]OUT_FinalEnergyCons!$A$4:$A$10000)))*1,[1]OUT_FinalEnergyCons!N$4:N$10000)</f>
        <v>13.793659633843379</v>
      </c>
      <c r="Q804" s="1" cm="1">
        <f t="array" ref="Q804">SUMPRODUCT(([1]OUT_FinalEnergyCons!$B$4:$B$10000="Var_Fin")*1, ([1]OUT_FinalEnergyCons!$C$4:$C$10000="iWOD")*1, (ISNUMBER(SEARCH("ITOT-SWHWOD*BR",[1]OUT_FinalEnergyCons!$A$4:$A$10000)))*1,[1]OUT_FinalEnergyCons!O$4:O$10000)</f>
        <v>14.813429445814485</v>
      </c>
      <c r="S804" s="3"/>
    </row>
    <row r="805" spans="2:19" x14ac:dyDescent="0.5">
      <c r="B805" s="5" t="str">
        <f t="shared" si="980"/>
        <v>SPS1</v>
      </c>
      <c r="C805" s="5" t="str">
        <f t="shared" si="959"/>
        <v>CH</v>
      </c>
      <c r="D805" t="s">
        <v>953</v>
      </c>
      <c r="E805" t="s">
        <v>8</v>
      </c>
      <c r="F805" s="1">
        <f>F806</f>
        <v>0.62579220093437027</v>
      </c>
      <c r="G805" s="1">
        <f t="shared" ref="G805:O805" si="981">G806</f>
        <v>0.73757460611227832</v>
      </c>
      <c r="H805" s="1">
        <f t="shared" si="981"/>
        <v>0.7363302981537585</v>
      </c>
      <c r="I805" s="1">
        <f t="shared" si="981"/>
        <v>0.73426701979102527</v>
      </c>
      <c r="J805" s="1">
        <f t="shared" si="981"/>
        <v>0.73279507468810712</v>
      </c>
      <c r="K805" s="1">
        <f t="shared" si="981"/>
        <v>0.73075736699268234</v>
      </c>
      <c r="L805" s="1">
        <f t="shared" si="981"/>
        <v>0.72873359726873921</v>
      </c>
      <c r="M805" s="1">
        <f t="shared" si="981"/>
        <v>0.72672681630402114</v>
      </c>
      <c r="N805" s="1">
        <f t="shared" si="981"/>
        <v>0.72673543954408537</v>
      </c>
      <c r="O805" s="1">
        <f t="shared" si="981"/>
        <v>0.72677151714905508</v>
      </c>
      <c r="P805" s="1">
        <f>P806</f>
        <v>0.72682301063189581</v>
      </c>
      <c r="Q805" s="1">
        <f>Q806</f>
        <v>0.72702014358480382</v>
      </c>
      <c r="S805" s="3"/>
    </row>
    <row r="806" spans="2:19" x14ac:dyDescent="0.5">
      <c r="B806" s="5" t="str">
        <f t="shared" si="980"/>
        <v>SPS1</v>
      </c>
      <c r="C806" s="5" t="str">
        <f t="shared" si="959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0.62579220093437027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0.73757460611227832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0.7363302981537585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0.73426701979102527</v>
      </c>
      <c r="J806" s="1" cm="1">
        <f t="array" ref="J806">SUMPRODUCT(([1]OUT_FinalEnergyCons!$B$4:$B$10000="Var_Fin")*1, ([1]OUT_FinalEnergyCons!$C$4:$C$10000="IPLT")*1, (ISNUMBER(SEARCH("ITOT-SWHPLT*BR",[1]OUT_FinalEnergyCons!$A$4:$A$10000)))*1,[1]OUT_FinalEnergyCons!H$4:H$10000)</f>
        <v>0.73279507468810712</v>
      </c>
      <c r="K806" s="1" cm="1">
        <f t="array" ref="K806">SUMPRODUCT(([1]OUT_FinalEnergyCons!$B$4:$B$10000="Var_Fin")*1, ([1]OUT_FinalEnergyCons!$C$4:$C$10000="IPLT")*1, (ISNUMBER(SEARCH("ITOT-SWHPLT*BR",[1]OUT_FinalEnergyCons!$A$4:$A$10000)))*1,[1]OUT_FinalEnergyCons!I$4:I$10000)</f>
        <v>0.73075736699268234</v>
      </c>
      <c r="L806" s="1" cm="1">
        <f t="array" ref="L806">SUMPRODUCT(([1]OUT_FinalEnergyCons!$B$4:$B$10000="Var_Fin")*1, ([1]OUT_FinalEnergyCons!$C$4:$C$10000="IPLT")*1, (ISNUMBER(SEARCH("ITOT-SWHPLT*BR",[1]OUT_FinalEnergyCons!$A$4:$A$10000)))*1,[1]OUT_FinalEnergyCons!J$4:J$10000)</f>
        <v>0.72873359726873921</v>
      </c>
      <c r="M806" s="1" cm="1">
        <f t="array" ref="M806">SUMPRODUCT(([1]OUT_FinalEnergyCons!$B$4:$B$10000="Var_Fin")*1, ([1]OUT_FinalEnergyCons!$C$4:$C$10000="IPLT")*1, (ISNUMBER(SEARCH("ITOT-SWHPLT*BR",[1]OUT_FinalEnergyCons!$A$4:$A$10000)))*1,[1]OUT_FinalEnergyCons!K$4:K$10000)</f>
        <v>0.72672681630402114</v>
      </c>
      <c r="N806" s="1" cm="1">
        <f t="array" ref="N806">SUMPRODUCT(([1]OUT_FinalEnergyCons!$B$4:$B$10000="Var_Fin")*1, ([1]OUT_FinalEnergyCons!$C$4:$C$10000="IPLT")*1, (ISNUMBER(SEARCH("ITOT-SWHPLT*BR",[1]OUT_FinalEnergyCons!$A$4:$A$10000)))*1,[1]OUT_FinalEnergyCons!L$4:L$10000)</f>
        <v>0.72673543954408537</v>
      </c>
      <c r="O806" s="1" cm="1">
        <f t="array" ref="O806">SUMPRODUCT(([1]OUT_FinalEnergyCons!$B$4:$B$10000="Var_Fin")*1, ([1]OUT_FinalEnergyCons!$C$4:$C$10000="IPLT")*1, (ISNUMBER(SEARCH("ITOT-SWHPLT*BR",[1]OUT_FinalEnergyCons!$A$4:$A$10000)))*1,[1]OUT_FinalEnergyCons!M$4:M$10000)</f>
        <v>0.72677151714905508</v>
      </c>
      <c r="P806" s="1" cm="1">
        <f t="array" ref="P806">SUMPRODUCT(([1]OUT_FinalEnergyCons!$B$4:$B$10000="Var_Fin")*1, ([1]OUT_FinalEnergyCons!$C$4:$C$10000="IPLT")*1, (ISNUMBER(SEARCH("ITOT-SWHPLT*BR",[1]OUT_FinalEnergyCons!$A$4:$A$10000)))*1,[1]OUT_FinalEnergyCons!N$4:N$10000)</f>
        <v>0.72682301063189581</v>
      </c>
      <c r="Q806" s="1" cm="1">
        <f t="array" ref="Q806">SUMPRODUCT(([1]OUT_FinalEnergyCons!$B$4:$B$10000="Var_Fin")*1, ([1]OUT_FinalEnergyCons!$C$4:$C$10000="IPLT")*1, (ISNUMBER(SEARCH("ITOT-SWHPLT*BR",[1]OUT_FinalEnergyCons!$A$4:$A$10000)))*1,[1]OUT_FinalEnergyCons!O$4:O$10000)</f>
        <v>0.72702014358480382</v>
      </c>
      <c r="S806" s="3"/>
    </row>
    <row r="807" spans="2:19" x14ac:dyDescent="0.5">
      <c r="B807" s="5" t="str">
        <f>B806</f>
        <v>SPS1</v>
      </c>
      <c r="C807" s="5" t="str">
        <f t="shared" si="959"/>
        <v>CH</v>
      </c>
      <c r="D807" t="s">
        <v>492</v>
      </c>
      <c r="E807" t="s">
        <v>8</v>
      </c>
      <c r="F807" s="1">
        <f>[1]Industry!B$21</f>
        <v>7.7980456515855261</v>
      </c>
      <c r="G807" s="1">
        <f>[1]Industry!C$21</f>
        <v>8.0802350718741884</v>
      </c>
      <c r="H807" s="1">
        <f>[1]Industry!D$21</f>
        <v>5.6083626384982797</v>
      </c>
      <c r="I807" s="1">
        <f>[1]Industry!E$21</f>
        <v>5.5456707636366076</v>
      </c>
      <c r="J807" s="1">
        <f>[1]Industry!F$21</f>
        <v>5.4830304357626538</v>
      </c>
      <c r="K807" s="1">
        <f>[1]Industry!G$21</f>
        <v>5.4554047747284153</v>
      </c>
      <c r="L807" s="1">
        <f>[1]Industry!H$21</f>
        <v>5.427727020415551</v>
      </c>
      <c r="M807" s="1">
        <f>[1]Industry!I$21</f>
        <v>5.4000347439442269</v>
      </c>
      <c r="N807" s="1">
        <f>[1]Industry!J$21</f>
        <v>5.4000488993518703</v>
      </c>
      <c r="O807" s="1">
        <f>[1]Industry!K$21</f>
        <v>5.4001314241604863</v>
      </c>
      <c r="P807" s="1">
        <f>[1]Industry!L$21</f>
        <v>5.4000405061426013</v>
      </c>
      <c r="Q807" s="1">
        <f>[1]Industry!M$21</f>
        <v>5.4002860276599813</v>
      </c>
      <c r="S807" s="3"/>
    </row>
    <row r="808" spans="2:19" x14ac:dyDescent="0.5">
      <c r="B808" s="5" t="str">
        <f t="shared" ref="B808:B810" si="982">B807</f>
        <v>SPS1</v>
      </c>
      <c r="C808" s="5" t="str">
        <f t="shared" si="959"/>
        <v>CH</v>
      </c>
      <c r="D808" t="s">
        <v>495</v>
      </c>
      <c r="E808" t="s">
        <v>8</v>
      </c>
      <c r="F808" s="1">
        <f>F807</f>
        <v>7.7980456515855261</v>
      </c>
      <c r="G808" s="1">
        <f t="shared" ref="G808:K808" si="983">G807</f>
        <v>8.0802350718741884</v>
      </c>
      <c r="H808" s="1">
        <f t="shared" si="983"/>
        <v>5.6083626384982797</v>
      </c>
      <c r="I808" s="1">
        <f t="shared" si="983"/>
        <v>5.5456707636366076</v>
      </c>
      <c r="J808" s="1">
        <f t="shared" si="983"/>
        <v>5.4830304357626538</v>
      </c>
      <c r="K808" s="1">
        <f t="shared" si="983"/>
        <v>5.4554047747284153</v>
      </c>
      <c r="L808" s="1">
        <f t="shared" ref="L808:O808" si="984">L807</f>
        <v>5.427727020415551</v>
      </c>
      <c r="M808" s="1">
        <f t="shared" si="984"/>
        <v>5.4000347439442269</v>
      </c>
      <c r="N808" s="1">
        <f t="shared" si="984"/>
        <v>5.4000488993518703</v>
      </c>
      <c r="O808" s="1">
        <f t="shared" si="984"/>
        <v>5.4001314241604863</v>
      </c>
      <c r="P808" s="1">
        <f>P807</f>
        <v>5.4000405061426013</v>
      </c>
      <c r="Q808" s="1">
        <f>Q807</f>
        <v>5.4002860276599813</v>
      </c>
      <c r="S808" s="3"/>
    </row>
    <row r="809" spans="2:19" x14ac:dyDescent="0.5">
      <c r="B809" s="5" t="str">
        <f t="shared" si="982"/>
        <v>SPS1</v>
      </c>
      <c r="C809" s="5" t="str">
        <f t="shared" si="959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S809" s="3"/>
    </row>
    <row r="810" spans="2:19" x14ac:dyDescent="0.5">
      <c r="B810" s="5" t="str">
        <f t="shared" si="982"/>
        <v>SPS1</v>
      </c>
      <c r="C810" s="5" t="str">
        <f t="shared" si="959"/>
        <v>CH</v>
      </c>
      <c r="D810" t="s">
        <v>494</v>
      </c>
      <c r="E810" t="s">
        <v>8</v>
      </c>
      <c r="F810" s="1">
        <f>F808</f>
        <v>7.7980456515855261</v>
      </c>
      <c r="G810" s="1">
        <f t="shared" ref="G810:K810" si="985">G808</f>
        <v>8.0802350718741884</v>
      </c>
      <c r="H810" s="1">
        <f t="shared" si="985"/>
        <v>5.6083626384982797</v>
      </c>
      <c r="I810" s="1">
        <f t="shared" si="985"/>
        <v>5.5456707636366076</v>
      </c>
      <c r="J810" s="1">
        <f t="shared" si="985"/>
        <v>5.4830304357626538</v>
      </c>
      <c r="K810" s="1">
        <f t="shared" si="985"/>
        <v>5.4554047747284153</v>
      </c>
      <c r="L810" s="1">
        <f t="shared" ref="L810:O810" si="986">L808</f>
        <v>5.427727020415551</v>
      </c>
      <c r="M810" s="1">
        <f t="shared" si="986"/>
        <v>5.4000347439442269</v>
      </c>
      <c r="N810" s="1">
        <f t="shared" si="986"/>
        <v>5.4000488993518703</v>
      </c>
      <c r="O810" s="1">
        <f t="shared" si="986"/>
        <v>5.4001314241604863</v>
      </c>
      <c r="P810" s="1">
        <f>P808</f>
        <v>5.4000405061426013</v>
      </c>
      <c r="Q810" s="1">
        <f>Q808</f>
        <v>5.4002860276599813</v>
      </c>
      <c r="S810" s="3"/>
    </row>
    <row r="811" spans="2:19" x14ac:dyDescent="0.5">
      <c r="B811" s="5" t="str">
        <f>B810</f>
        <v>SPS1</v>
      </c>
      <c r="C811" s="5" t="str">
        <f t="shared" ref="C811:C812" si="987">C810</f>
        <v>CH</v>
      </c>
      <c r="D811" t="s">
        <v>955</v>
      </c>
      <c r="E811" t="s">
        <v>8</v>
      </c>
      <c r="F811" s="1">
        <f>[1]Industry!B$22</f>
        <v>6.7686205191224119E-2</v>
      </c>
      <c r="G811" s="1">
        <f>[1]Industry!C$22</f>
        <v>8.5502240074490629E-2</v>
      </c>
      <c r="H811" s="1">
        <f>[1]Industry!D$22</f>
        <v>8.550021815389508E-2</v>
      </c>
      <c r="I811" s="1">
        <f>[1]Industry!E$22</f>
        <v>8.5495210940754976E-2</v>
      </c>
      <c r="J811" s="1">
        <f>[1]Industry!F$22</f>
        <v>8.5494984769606652E-2</v>
      </c>
      <c r="K811" s="1">
        <f>[1]Industry!G$22</f>
        <v>8.549412257390826E-2</v>
      </c>
      <c r="L811" s="1">
        <f>[1]Industry!H$22</f>
        <v>8.5496152181069929E-2</v>
      </c>
      <c r="M811" s="1">
        <f>[1]Industry!I$22</f>
        <v>8.5496849940461889E-2</v>
      </c>
      <c r="N811" s="1">
        <f>[1]Industry!J$22</f>
        <v>8.549490788983817E-2</v>
      </c>
      <c r="O811" s="1">
        <f>[1]Industry!K$22</f>
        <v>8.5512689658765004E-2</v>
      </c>
      <c r="P811" s="1">
        <f>[1]Industry!L$22</f>
        <v>8.551067613974353E-2</v>
      </c>
      <c r="Q811" s="1">
        <f>[1]Industry!M$22</f>
        <v>8.5556776020028841E-2</v>
      </c>
      <c r="S811" s="3"/>
    </row>
    <row r="812" spans="2:19" x14ac:dyDescent="0.5">
      <c r="B812" s="5" t="str">
        <f t="shared" ref="B812" si="988">B811</f>
        <v>SPS1</v>
      </c>
      <c r="C812" s="5" t="str">
        <f t="shared" si="987"/>
        <v>CH</v>
      </c>
      <c r="D812" t="s">
        <v>956</v>
      </c>
      <c r="E812" t="s">
        <v>8</v>
      </c>
      <c r="F812" s="1">
        <f>F811</f>
        <v>6.7686205191224119E-2</v>
      </c>
      <c r="G812" s="1">
        <f t="shared" ref="G812:K812" si="989">G811</f>
        <v>8.5502240074490629E-2</v>
      </c>
      <c r="H812" s="1">
        <f t="shared" si="989"/>
        <v>8.550021815389508E-2</v>
      </c>
      <c r="I812" s="1">
        <f t="shared" si="989"/>
        <v>8.5495210940754976E-2</v>
      </c>
      <c r="J812" s="1">
        <f t="shared" si="989"/>
        <v>8.5494984769606652E-2</v>
      </c>
      <c r="K812" s="1">
        <f t="shared" si="989"/>
        <v>8.549412257390826E-2</v>
      </c>
      <c r="L812" s="1">
        <f t="shared" ref="L812:O812" si="990">L811</f>
        <v>8.5496152181069929E-2</v>
      </c>
      <c r="M812" s="1">
        <f t="shared" si="990"/>
        <v>8.5496849940461889E-2</v>
      </c>
      <c r="N812" s="1">
        <f t="shared" si="990"/>
        <v>8.549490788983817E-2</v>
      </c>
      <c r="O812" s="1">
        <f t="shared" si="990"/>
        <v>8.5512689658765004E-2</v>
      </c>
      <c r="P812" s="1">
        <f>P811</f>
        <v>8.551067613974353E-2</v>
      </c>
      <c r="Q812" s="1">
        <f>Q811</f>
        <v>8.5556776020028841E-2</v>
      </c>
      <c r="S812" s="3"/>
    </row>
    <row r="813" spans="2:19" x14ac:dyDescent="0.5">
      <c r="B813" s="5" t="str">
        <f>B812</f>
        <v>SPS1</v>
      </c>
      <c r="C813" s="5" t="str">
        <f t="shared" ref="C813:C814" si="991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3.2564957865839385E-3</v>
      </c>
      <c r="J813" s="1">
        <f>[1]Industry!F$23</f>
        <v>1.2537874830294842E-2</v>
      </c>
      <c r="K813" s="1">
        <f>[1]Industry!G$23</f>
        <v>1.9385180929314138E-2</v>
      </c>
      <c r="L813" s="1">
        <f>[1]Industry!H$23</f>
        <v>1.8570472576389128E-2</v>
      </c>
      <c r="M813" s="1">
        <f>[1]Industry!I$23</f>
        <v>0.11502452172643202</v>
      </c>
      <c r="N813" s="1">
        <f>[1]Industry!J$23</f>
        <v>0.14860828355055039</v>
      </c>
      <c r="O813" s="1">
        <f>[1]Industry!K$23</f>
        <v>0.33318275312191881</v>
      </c>
      <c r="P813" s="1">
        <f>[1]Industry!L$23</f>
        <v>0.35426276858867484</v>
      </c>
      <c r="Q813" s="1">
        <f>[1]Industry!M$23</f>
        <v>0.34171154853442065</v>
      </c>
      <c r="S813" s="3"/>
    </row>
    <row r="814" spans="2:19" x14ac:dyDescent="0.5">
      <c r="B814" s="5" t="str">
        <f t="shared" ref="B814" si="992">B813</f>
        <v>SPS1</v>
      </c>
      <c r="C814" s="5" t="str">
        <f t="shared" si="991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93">G813</f>
        <v>0</v>
      </c>
      <c r="H814" s="1">
        <f t="shared" si="993"/>
        <v>0</v>
      </c>
      <c r="I814" s="1">
        <f t="shared" si="993"/>
        <v>3.2564957865839385E-3</v>
      </c>
      <c r="J814" s="1">
        <f t="shared" si="993"/>
        <v>1.2537874830294842E-2</v>
      </c>
      <c r="K814" s="1">
        <f t="shared" si="993"/>
        <v>1.9385180929314138E-2</v>
      </c>
      <c r="L814" s="1">
        <f t="shared" ref="L814:O814" si="994">L813</f>
        <v>1.8570472576389128E-2</v>
      </c>
      <c r="M814" s="1">
        <f t="shared" si="994"/>
        <v>0.11502452172643202</v>
      </c>
      <c r="N814" s="1">
        <f t="shared" si="994"/>
        <v>0.14860828355055039</v>
      </c>
      <c r="O814" s="1">
        <f t="shared" si="994"/>
        <v>0.33318275312191881</v>
      </c>
      <c r="P814" s="1">
        <f>P813</f>
        <v>0.35426276858867484</v>
      </c>
      <c r="Q814" s="1">
        <f>Q813</f>
        <v>0.34171154853442065</v>
      </c>
      <c r="S814" s="3"/>
    </row>
    <row r="815" spans="2:19" x14ac:dyDescent="0.5">
      <c r="B815" s="5" t="str">
        <f>B814</f>
        <v>SPS1</v>
      </c>
      <c r="C815" s="5" t="str">
        <f t="shared" ref="C815:C816" si="995">C814</f>
        <v>CH</v>
      </c>
      <c r="D815" t="s">
        <v>959</v>
      </c>
      <c r="E815" t="s">
        <v>8</v>
      </c>
      <c r="F815" s="1">
        <f>[1]Industry!B$24</f>
        <v>0.74853521297415893</v>
      </c>
      <c r="G815" s="1">
        <f>[1]Industry!C$24</f>
        <v>0.94974051824371841</v>
      </c>
      <c r="H815" s="1">
        <f>[1]Industry!D$24</f>
        <v>2.444963101613896</v>
      </c>
      <c r="I815" s="1">
        <f>[1]Industry!E$24</f>
        <v>4.079946013188505</v>
      </c>
      <c r="J815" s="1">
        <f>[1]Industry!F$24</f>
        <v>5.7654363370353403</v>
      </c>
      <c r="K815" s="1">
        <f>[1]Industry!G$24</f>
        <v>6.2706140592239645</v>
      </c>
      <c r="L815" s="1">
        <f>[1]Industry!H$24</f>
        <v>6.3209171173288938</v>
      </c>
      <c r="M815" s="1">
        <f>[1]Industry!I$24</f>
        <v>6.3692277388323433</v>
      </c>
      <c r="N815" s="1">
        <f>[1]Industry!J$24</f>
        <v>6.3692636671824037</v>
      </c>
      <c r="O815" s="1">
        <f>[1]Industry!K$24</f>
        <v>8.7295438102233209</v>
      </c>
      <c r="P815" s="1">
        <f>[1]Industry!L$24</f>
        <v>8.7295323887211467</v>
      </c>
      <c r="Q815" s="1">
        <f>[1]Industry!M$24</f>
        <v>8.7297217583298625</v>
      </c>
      <c r="S815" s="3"/>
    </row>
    <row r="816" spans="2:19" x14ac:dyDescent="0.5">
      <c r="B816" s="5" t="str">
        <f t="shared" ref="B816" si="996">B815</f>
        <v>SPS1</v>
      </c>
      <c r="C816" s="5" t="str">
        <f t="shared" si="995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0.74853521297415893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0.94974051824371841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2.4203685525025422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4.0023360332206277</v>
      </c>
      <c r="J816" s="1" cm="1">
        <f t="array" ref="J816">SUMPRODUCT(([1]OUT_FinalEnergyCons!$B$4:$B$10000="Var_FOut")*1, ([1]OUT_FinalEnergyCons!$C$4:$C$10000="ITOT-SWHAelch")*1, (ISNUMBER(SEARCH("ITOT-SWHELCHP",[1]OUT_FinalEnergyCons!$A$4:$A$10000)))*1,[1]OUT_FinalEnergyCons!H$4:H$10000)-J766</f>
        <v>5.6672013070361187</v>
      </c>
      <c r="K816" s="1" cm="1">
        <f t="array" ref="K816">SUMPRODUCT(([1]OUT_FinalEnergyCons!$B$4:$B$10000="Var_FOut")*1, ([1]OUT_FinalEnergyCons!$C$4:$C$10000="ITOT-SWHAelch")*1, (ISNUMBER(SEARCH("ITOT-SWHELCHP",[1]OUT_FinalEnergyCons!$A$4:$A$10000)))*1,[1]OUT_FinalEnergyCons!I$4:I$10000)-K766</f>
        <v>6.1543826343553931</v>
      </c>
      <c r="L816" s="1" cm="1">
        <f t="array" ref="L816">SUMPRODUCT(([1]OUT_FinalEnergyCons!$B$4:$B$10000="Var_FOut")*1, ([1]OUT_FinalEnergyCons!$C$4:$C$10000="ITOT-SWHAelch")*1, (ISNUMBER(SEARCH("ITOT-SWHELCHP",[1]OUT_FinalEnergyCons!$A$4:$A$10000)))*1,[1]OUT_FinalEnergyCons!J$4:J$10000)-L766</f>
        <v>6.2023583744703465</v>
      </c>
      <c r="M816" s="1" cm="1">
        <f t="array" ref="M816">SUMPRODUCT(([1]OUT_FinalEnergyCons!$B$4:$B$10000="Var_FOut")*1, ([1]OUT_FinalEnergyCons!$C$4:$C$10000="ITOT-SWHAelch")*1, (ISNUMBER(SEARCH("ITOT-SWHELCHP",[1]OUT_FinalEnergyCons!$A$4:$A$10000)))*1,[1]OUT_FinalEnergyCons!K$4:K$10000)-M766</f>
        <v>6.2486276226448005</v>
      </c>
      <c r="N816" s="1" cm="1">
        <f t="array" ref="N816">SUMPRODUCT(([1]OUT_FinalEnergyCons!$B$4:$B$10000="Var_FOut")*1, ([1]OUT_FinalEnergyCons!$C$4:$C$10000="ITOT-SWHAelch")*1, (ISNUMBER(SEARCH("ITOT-SWHELCHP",[1]OUT_FinalEnergyCons!$A$4:$A$10000)))*1,[1]OUT_FinalEnergyCons!L$4:L$10000)-N766</f>
        <v>6.2486790412094084</v>
      </c>
      <c r="O816" s="1" cm="1">
        <f t="array" ref="O816">SUMPRODUCT(([1]OUT_FinalEnergyCons!$B$4:$B$10000="Var_FOut")*1, ([1]OUT_FinalEnergyCons!$C$4:$C$10000="ITOT-SWHAelch")*1, (ISNUMBER(SEARCH("ITOT-SWHELCHP",[1]OUT_FinalEnergyCons!$A$4:$A$10000)))*1,[1]OUT_FinalEnergyCons!M$4:M$10000)-O766</f>
        <v>6.9514433546123211</v>
      </c>
      <c r="P816" s="1" cm="1">
        <f t="array" ref="P816">SUMPRODUCT(([1]OUT_FinalEnergyCons!$B$4:$B$10000="Var_FOut")*1, ([1]OUT_FinalEnergyCons!$C$4:$C$10000="ITOT-SWHAelch")*1, (ISNUMBER(SEARCH("ITOT-SWHELCHP",[1]OUT_FinalEnergyCons!$A$4:$A$10000)))*1,[1]OUT_FinalEnergyCons!N$4:N$10000)-P766</f>
        <v>6.9514539773744568</v>
      </c>
      <c r="Q816" s="1" cm="1">
        <f t="array" ref="Q816">SUMPRODUCT(([1]OUT_FinalEnergyCons!$B$4:$B$10000="Var_FOut")*1, ([1]OUT_FinalEnergyCons!$C$4:$C$10000="ITOT-SWHAelch")*1, (ISNUMBER(SEARCH("ITOT-SWHELCHP",[1]OUT_FinalEnergyCons!$A$4:$A$10000)))*1,[1]OUT_FinalEnergyCons!O$4:O$10000)-Q766</f>
        <v>6.9520522771979207</v>
      </c>
      <c r="S816" s="3"/>
    </row>
    <row r="817" spans="2:19" x14ac:dyDescent="0.5">
      <c r="B817" s="5" t="str">
        <f t="shared" ref="B817:B818" si="997">B816</f>
        <v>SPS1</v>
      </c>
      <c r="C817" s="5" t="str">
        <f t="shared" ref="C817:C825" si="998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99">G815-G816</f>
        <v>0</v>
      </c>
      <c r="H817" s="1">
        <f t="shared" si="999"/>
        <v>2.4594549111353725E-2</v>
      </c>
      <c r="I817" s="1">
        <f t="shared" si="999"/>
        <v>7.7609979967877329E-2</v>
      </c>
      <c r="J817" s="1">
        <f t="shared" si="999"/>
        <v>9.8235029999221624E-2</v>
      </c>
      <c r="K817" s="1">
        <f t="shared" si="999"/>
        <v>0.11623142486857141</v>
      </c>
      <c r="L817" s="1">
        <f t="shared" ref="L817:O817" si="1000">L815-L816</f>
        <v>0.11855874285854728</v>
      </c>
      <c r="M817" s="1">
        <f t="shared" si="1000"/>
        <v>0.12060011618754274</v>
      </c>
      <c r="N817" s="1">
        <f t="shared" si="1000"/>
        <v>0.12058462597299524</v>
      </c>
      <c r="O817" s="1">
        <f t="shared" si="1000"/>
        <v>1.7781004556109998</v>
      </c>
      <c r="P817" s="1">
        <f>P815-P816</f>
        <v>1.7780784113466899</v>
      </c>
      <c r="Q817" s="1">
        <f>Q815-Q816</f>
        <v>1.7776694811319418</v>
      </c>
      <c r="S817" s="3"/>
    </row>
    <row r="818" spans="2:19" x14ac:dyDescent="0.5">
      <c r="B818" s="9" t="str">
        <f t="shared" si="997"/>
        <v>SPS1</v>
      </c>
      <c r="C818" s="9" t="str">
        <f t="shared" si="998"/>
        <v>CH</v>
      </c>
      <c r="D818" s="2" t="s">
        <v>684</v>
      </c>
      <c r="E818" s="9" t="s">
        <v>8</v>
      </c>
      <c r="F818" s="17">
        <f>[1]Industry!B$71</f>
        <v>72.708466866312435</v>
      </c>
      <c r="G818" s="17">
        <f>[1]Industry!C$71</f>
        <v>74.352905710347628</v>
      </c>
      <c r="H818" s="17">
        <f>[1]Industry!D$71</f>
        <v>76.138550245331345</v>
      </c>
      <c r="I818" s="17">
        <f>[1]Industry!E$71</f>
        <v>77.0451671587156</v>
      </c>
      <c r="J818" s="17">
        <f>[1]Industry!F$71</f>
        <v>77.573190858761293</v>
      </c>
      <c r="K818" s="17">
        <f>[1]Industry!G$71</f>
        <v>77.7454512334117</v>
      </c>
      <c r="L818" s="17">
        <f>[1]Industry!H$71</f>
        <v>77.790812974606041</v>
      </c>
      <c r="M818" s="17">
        <f>[1]Industry!I$71</f>
        <v>77.903424427530979</v>
      </c>
      <c r="N818" s="17">
        <f>[1]Industry!J$71</f>
        <v>77.249644801482503</v>
      </c>
      <c r="O818" s="17">
        <f>[1]Industry!K$71</f>
        <v>79.189733449475</v>
      </c>
      <c r="P818" s="17">
        <f>[1]Industry!L$71</f>
        <v>76.47255006997004</v>
      </c>
      <c r="Q818" s="17">
        <f>[1]Industry!M$71</f>
        <v>75.867093839946151</v>
      </c>
      <c r="S818" s="3"/>
    </row>
    <row r="819" spans="2:19" x14ac:dyDescent="0.5">
      <c r="B819" s="5" t="str">
        <f>B818</f>
        <v>SPS1</v>
      </c>
      <c r="C819" s="5" t="str">
        <f t="shared" si="998"/>
        <v>CH</v>
      </c>
      <c r="D819" t="s">
        <v>2031</v>
      </c>
      <c r="E819" t="s">
        <v>8</v>
      </c>
      <c r="F819" s="18">
        <f>SUM(F820:F822)</f>
        <v>58.985555576881346</v>
      </c>
      <c r="G819" s="18">
        <f t="shared" ref="G819:K819" si="1001">SUM(G820:G822)</f>
        <v>61.602264830952009</v>
      </c>
      <c r="H819" s="18">
        <f t="shared" si="1001"/>
        <v>65.401388188665081</v>
      </c>
      <c r="I819" s="18">
        <f t="shared" si="1001"/>
        <v>69.386836071101698</v>
      </c>
      <c r="J819" s="18">
        <f t="shared" si="1001"/>
        <v>72.984880028337756</v>
      </c>
      <c r="K819" s="18">
        <f t="shared" si="1001"/>
        <v>74.397908277483083</v>
      </c>
      <c r="L819" s="18">
        <f t="shared" ref="L819:O819" si="1002">SUM(L820:L822)</f>
        <v>75.308333339985893</v>
      </c>
      <c r="M819" s="18">
        <f t="shared" si="1002"/>
        <v>76.219090896848755</v>
      </c>
      <c r="N819" s="18">
        <f t="shared" si="1002"/>
        <v>76.913976290488591</v>
      </c>
      <c r="O819" s="18">
        <f t="shared" si="1002"/>
        <v>79.666695606555322</v>
      </c>
      <c r="P819" s="18">
        <f>SUM(P820:P822)</f>
        <v>78.194203165160332</v>
      </c>
      <c r="Q819" s="18">
        <f>SUM(Q820:Q822)</f>
        <v>78.314220778007893</v>
      </c>
      <c r="S819" s="3"/>
    </row>
    <row r="820" spans="2:19" x14ac:dyDescent="0.5">
      <c r="B820" s="5" t="str">
        <f t="shared" ref="B820:B825" si="1003">B819</f>
        <v>SPS1</v>
      </c>
      <c r="C820" s="5" t="str">
        <f t="shared" si="998"/>
        <v>CH</v>
      </c>
      <c r="D820" t="s">
        <v>2032</v>
      </c>
      <c r="E820" t="s">
        <v>8</v>
      </c>
      <c r="F820" s="1">
        <f>[1]Industry!B$55</f>
        <v>9.8139195202505558</v>
      </c>
      <c r="G820" s="1">
        <f>[1]Industry!C$55</f>
        <v>10.335085692333859</v>
      </c>
      <c r="H820" s="1">
        <f>[1]Industry!D$55</f>
        <v>10.335134157333735</v>
      </c>
      <c r="I820" s="1">
        <f>[1]Industry!E$55</f>
        <v>10.582229751318476</v>
      </c>
      <c r="J820" s="1">
        <f>[1]Industry!F$55</f>
        <v>10.862147730041317</v>
      </c>
      <c r="K820" s="1">
        <f>[1]Industry!G$55</f>
        <v>11.101051563456695</v>
      </c>
      <c r="L820" s="1">
        <f>[1]Industry!H$55</f>
        <v>11.31937352204775</v>
      </c>
      <c r="M820" s="1">
        <f>[1]Industry!I$55</f>
        <v>11.538047053067823</v>
      </c>
      <c r="N820" s="1">
        <f>[1]Industry!J$55</f>
        <v>11.538050688436646</v>
      </c>
      <c r="O820" s="1">
        <f>[1]Industry!K$55</f>
        <v>11.736575596171493</v>
      </c>
      <c r="P820" s="1">
        <f>[1]Industry!L$55</f>
        <v>11.736574628993402</v>
      </c>
      <c r="Q820" s="1">
        <f>[1]Industry!M$55</f>
        <v>11.736599514343462</v>
      </c>
      <c r="S820" s="3"/>
    </row>
    <row r="821" spans="2:19" x14ac:dyDescent="0.5">
      <c r="B821" s="5" t="str">
        <f t="shared" si="1003"/>
        <v>SPS1</v>
      </c>
      <c r="C821" s="5" t="str">
        <f t="shared" si="998"/>
        <v>CH</v>
      </c>
      <c r="D821" t="s">
        <v>2033</v>
      </c>
      <c r="E821" t="s">
        <v>8</v>
      </c>
      <c r="F821" s="1">
        <f>[1]Industry!B$56</f>
        <v>1.1082384044597935</v>
      </c>
      <c r="G821" s="1">
        <f>[1]Industry!C$56</f>
        <v>1.40080848945522</v>
      </c>
      <c r="H821" s="1">
        <f>[1]Industry!D$56</f>
        <v>3.5501289060192747</v>
      </c>
      <c r="I821" s="1">
        <f>[1]Industry!E$56</f>
        <v>5.8184702498984375</v>
      </c>
      <c r="J821" s="1">
        <f>[1]Industry!F$56</f>
        <v>8.1691003196613821</v>
      </c>
      <c r="K821" s="1">
        <f>[1]Industry!G$56</f>
        <v>8.7996618437256799</v>
      </c>
      <c r="L821" s="1">
        <f>[1]Industry!H$56</f>
        <v>8.7997192063490282</v>
      </c>
      <c r="M821" s="1">
        <f>[1]Industry!I$56</f>
        <v>8.7997755313267252</v>
      </c>
      <c r="N821" s="1">
        <f>[1]Industry!J$56</f>
        <v>8.799847942719115</v>
      </c>
      <c r="O821" s="1">
        <f>[1]Industry!K$56</f>
        <v>9.7895321714546188</v>
      </c>
      <c r="P821" s="1">
        <f>[1]Industry!L$56</f>
        <v>9.7895471312070548</v>
      </c>
      <c r="Q821" s="1">
        <f>[1]Industry!M$56</f>
        <v>9.7903897008823328</v>
      </c>
      <c r="S821" s="3"/>
    </row>
    <row r="822" spans="2:19" x14ac:dyDescent="0.5">
      <c r="B822" s="5" t="str">
        <f t="shared" si="1003"/>
        <v>SPS1</v>
      </c>
      <c r="C822" s="5" t="str">
        <f t="shared" si="998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49.866370649162931</v>
      </c>
      <c r="H822" s="1">
        <f>[1]Industry!D$3-([1]Industry!D$6-[1]Industry!D$70)</f>
        <v>51.516125125312065</v>
      </c>
      <c r="I822" s="1">
        <f>[1]Industry!E$3-([1]Industry!E$6-[1]Industry!E$70)</f>
        <v>52.986136069884779</v>
      </c>
      <c r="J822" s="1">
        <f>[1]Industry!F$3-([1]Industry!F$6-[1]Industry!F$70)</f>
        <v>53.953631978635059</v>
      </c>
      <c r="K822" s="1">
        <f>[1]Industry!G$3-([1]Industry!G$6-[1]Industry!G$70)</f>
        <v>54.49719487030071</v>
      </c>
      <c r="L822" s="1">
        <f>[1]Industry!H$3-([1]Industry!H$6-[1]Industry!H$70)</f>
        <v>55.189240611589121</v>
      </c>
      <c r="M822" s="1">
        <f>[1]Industry!I$3-([1]Industry!I$6-[1]Industry!I$70)</f>
        <v>55.88126831245421</v>
      </c>
      <c r="N822" s="1">
        <f>[1]Industry!J$3-([1]Industry!J$6-[1]Industry!J$70)</f>
        <v>56.576077659332839</v>
      </c>
      <c r="O822" s="1">
        <f>[1]Industry!K$3-([1]Industry!K$6-[1]Industry!K$70)</f>
        <v>58.140587838929214</v>
      </c>
      <c r="P822" s="1">
        <f>[1]Industry!L$3-([1]Industry!L$6-[1]Industry!L$70)</f>
        <v>56.668081404959871</v>
      </c>
      <c r="Q822" s="1">
        <f>[1]Industry!M$3-([1]Industry!M$6-[1]Industry!M$70)</f>
        <v>56.787231562782097</v>
      </c>
      <c r="S822" s="3"/>
    </row>
    <row r="823" spans="2:19" x14ac:dyDescent="0.5">
      <c r="B823" s="5" t="str">
        <f t="shared" si="1003"/>
        <v>SPS1</v>
      </c>
      <c r="C823" s="5" t="str">
        <f t="shared" si="998"/>
        <v>CH</v>
      </c>
      <c r="D823" t="s">
        <v>2035</v>
      </c>
      <c r="E823" t="s">
        <v>8</v>
      </c>
      <c r="F823" s="1">
        <f>SUM(F824:F825)</f>
        <v>8.7635386477982227</v>
      </c>
      <c r="G823" s="1">
        <f t="shared" ref="G823:K823" si="1004">SUM(G824:G825)</f>
        <v>7.8518972946902581</v>
      </c>
      <c r="H823" s="1">
        <f t="shared" si="1004"/>
        <v>6.24816321422378</v>
      </c>
      <c r="I823" s="1">
        <f t="shared" si="1004"/>
        <v>5.0986050150998929</v>
      </c>
      <c r="J823" s="1">
        <f t="shared" si="1004"/>
        <v>3.9007242631028207</v>
      </c>
      <c r="K823" s="1">
        <f t="shared" si="1004"/>
        <v>2.6754239031391234</v>
      </c>
      <c r="L823" s="1">
        <f t="shared" ref="L823:O823" si="1005">SUM(L824:L825)</f>
        <v>1.4408901549911142</v>
      </c>
      <c r="M823" s="1">
        <f t="shared" si="1005"/>
        <v>0.20679467544450236</v>
      </c>
      <c r="N823" s="1">
        <f t="shared" si="1005"/>
        <v>0.20676322686331072</v>
      </c>
      <c r="O823" s="1">
        <f t="shared" si="1005"/>
        <v>0.20675586987900302</v>
      </c>
      <c r="P823" s="1">
        <f>SUM(P824:P825)</f>
        <v>0.19921451470394158</v>
      </c>
      <c r="Q823" s="1">
        <f>SUM(Q824:Q825)</f>
        <v>0.19748241057939336</v>
      </c>
      <c r="S823" s="3"/>
    </row>
    <row r="824" spans="2:19" x14ac:dyDescent="0.5">
      <c r="B824" s="5" t="str">
        <f t="shared" si="1003"/>
        <v>SPS1</v>
      </c>
      <c r="C824" s="5" t="str">
        <f t="shared" si="998"/>
        <v>CH</v>
      </c>
      <c r="D824" t="s">
        <v>2036</v>
      </c>
      <c r="E824" t="s">
        <v>8</v>
      </c>
      <c r="F824" s="1">
        <f>[1]Industry!B$57</f>
        <v>6.9177145465602878</v>
      </c>
      <c r="G824" s="1">
        <f>[1]Industry!C$57</f>
        <v>6.3114720062600016</v>
      </c>
      <c r="H824" s="1">
        <f>[1]Industry!D$57</f>
        <v>6.2459882819691597</v>
      </c>
      <c r="I824" s="1">
        <f>[1]Industry!E$57</f>
        <v>5.0979829770422844</v>
      </c>
      <c r="J824" s="1">
        <f>[1]Industry!F$57</f>
        <v>3.8997404392978412</v>
      </c>
      <c r="K824" s="1">
        <f>[1]Industry!G$57</f>
        <v>2.6745267258825876</v>
      </c>
      <c r="L824" s="1">
        <f>[1]Industry!H$57</f>
        <v>1.4398623767086745</v>
      </c>
      <c r="M824" s="1">
        <f>[1]Industry!I$57</f>
        <v>0.20679467544450236</v>
      </c>
      <c r="N824" s="1">
        <f>[1]Industry!J$57</f>
        <v>0.20676322686331072</v>
      </c>
      <c r="O824" s="1">
        <f>[1]Industry!K$57</f>
        <v>0.20675586987900302</v>
      </c>
      <c r="P824" s="1">
        <f>[1]Industry!L$57</f>
        <v>0.19921451470394158</v>
      </c>
      <c r="Q824" s="1">
        <f>[1]Industry!M$57</f>
        <v>0.19748241057939336</v>
      </c>
      <c r="S824" s="3"/>
    </row>
    <row r="825" spans="2:19" x14ac:dyDescent="0.5">
      <c r="B825" s="5" t="str">
        <f t="shared" si="1003"/>
        <v>SPS1</v>
      </c>
      <c r="C825" s="5" t="str">
        <f t="shared" si="998"/>
        <v>CH</v>
      </c>
      <c r="D825" t="s">
        <v>2037</v>
      </c>
      <c r="E825" t="s">
        <v>8</v>
      </c>
      <c r="F825" s="1">
        <f>[1]Industry!B$58</f>
        <v>1.8458241012379351</v>
      </c>
      <c r="G825" s="1">
        <f>[1]Industry!C$58</f>
        <v>1.5404252884302567</v>
      </c>
      <c r="H825" s="1">
        <f>[1]Industry!D$58</f>
        <v>2.1749322546201987E-3</v>
      </c>
      <c r="I825" s="1">
        <f>[1]Industry!E$58</f>
        <v>6.2203805760865959E-4</v>
      </c>
      <c r="J825" s="1">
        <f>[1]Industry!F$58</f>
        <v>9.8382380497943076E-4</v>
      </c>
      <c r="K825" s="1">
        <f>[1]Industry!G$58</f>
        <v>8.9717725653570704E-4</v>
      </c>
      <c r="L825" s="1">
        <f>[1]Industry!H$58</f>
        <v>1.0277782824397173E-3</v>
      </c>
      <c r="M825" s="1">
        <f>[1]Industry!I$58</f>
        <v>0</v>
      </c>
      <c r="N825" s="1">
        <f>[1]Industry!J$58</f>
        <v>0</v>
      </c>
      <c r="O825" s="1">
        <f>[1]Industry!K$58</f>
        <v>0</v>
      </c>
      <c r="P825" s="1">
        <f>[1]Industry!L$58</f>
        <v>0</v>
      </c>
      <c r="Q825" s="1">
        <f>[1]Industry!M$58</f>
        <v>0</v>
      </c>
      <c r="S825" s="3"/>
    </row>
    <row r="826" spans="2:19" x14ac:dyDescent="0.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28.930294984471068</v>
      </c>
      <c r="G826" s="1">
        <f t="shared" ref="G826:K826" si="1006">SUM(G827:G829)</f>
        <v>24.61517962115709</v>
      </c>
      <c r="H826" s="1">
        <f t="shared" si="1006"/>
        <v>28.030010823639458</v>
      </c>
      <c r="I826" s="1">
        <f t="shared" si="1006"/>
        <v>25.143794847296604</v>
      </c>
      <c r="J826" s="1">
        <f t="shared" si="1006"/>
        <v>24.07881919132366</v>
      </c>
      <c r="K826" s="1">
        <f t="shared" si="1006"/>
        <v>24.41417035438479</v>
      </c>
      <c r="L826" s="1">
        <f t="shared" ref="L826:O826" si="1007">SUM(L827:L829)</f>
        <v>22.2874765922679</v>
      </c>
      <c r="M826" s="1">
        <f t="shared" si="1007"/>
        <v>20.36989419972474</v>
      </c>
      <c r="N826" s="1">
        <f t="shared" si="1007"/>
        <v>18.977519264217701</v>
      </c>
      <c r="O826" s="1">
        <f t="shared" si="1007"/>
        <v>19.172526587454254</v>
      </c>
      <c r="P826" s="1">
        <f>SUM(P827:P829)</f>
        <v>18.020903583933102</v>
      </c>
      <c r="Q826" s="1">
        <f>SUM(Q827:Q829)</f>
        <v>16.743468238777911</v>
      </c>
      <c r="S826" s="3"/>
    </row>
    <row r="827" spans="2:19" x14ac:dyDescent="0.5">
      <c r="B827" s="5" t="str">
        <f t="shared" ref="B827:B856" si="1008">B826</f>
        <v>SPS1</v>
      </c>
      <c r="C827" s="5" t="str">
        <f t="shared" ref="C827:C856" si="1009">C826</f>
        <v>CH</v>
      </c>
      <c r="D827" t="s">
        <v>2039</v>
      </c>
      <c r="E827" t="s">
        <v>8</v>
      </c>
      <c r="F827" s="1">
        <f>[1]Industry!B$59</f>
        <v>28.619778055893814</v>
      </c>
      <c r="G827" s="1">
        <f>[1]Industry!C$59</f>
        <v>24.222660084453278</v>
      </c>
      <c r="H827" s="1">
        <f>[1]Industry!D$59</f>
        <v>27.299961545548623</v>
      </c>
      <c r="I827" s="1">
        <f>[1]Industry!E$59</f>
        <v>23.405824883294375</v>
      </c>
      <c r="J827" s="1">
        <f>[1]Industry!F$59</f>
        <v>21.269954407657327</v>
      </c>
      <c r="K827" s="1">
        <f>[1]Industry!G$59</f>
        <v>20.120735136499999</v>
      </c>
      <c r="L827" s="1">
        <f>[1]Industry!H$59</f>
        <v>17.922087145013844</v>
      </c>
      <c r="M827" s="1">
        <f>[1]Industry!I$59</f>
        <v>15.978224133118557</v>
      </c>
      <c r="N827" s="1">
        <f>[1]Industry!J$59</f>
        <v>14.568353192953506</v>
      </c>
      <c r="O827" s="1">
        <f>[1]Industry!K$59</f>
        <v>11.32831403402975</v>
      </c>
      <c r="P827" s="1">
        <f>[1]Industry!L$59</f>
        <v>10.176689583824219</v>
      </c>
      <c r="Q827" s="1">
        <f>[1]Industry!M$59</f>
        <v>8.8971083300982254</v>
      </c>
      <c r="S827" s="3"/>
    </row>
    <row r="828" spans="2:19" x14ac:dyDescent="0.5">
      <c r="B828" s="5" t="str">
        <f t="shared" si="1008"/>
        <v>SPS1</v>
      </c>
      <c r="C828" s="5" t="str">
        <f t="shared" si="1009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5.2371690531288331E-2</v>
      </c>
      <c r="I828" s="1">
        <f>[1]Industry!E$60</f>
        <v>0.16176193321749383</v>
      </c>
      <c r="J828" s="1">
        <f>[1]Industry!F$60</f>
        <v>0.20065964275492496</v>
      </c>
      <c r="K828" s="1">
        <f>[1]Industry!G$60</f>
        <v>0.23293762452892594</v>
      </c>
      <c r="L828" s="1">
        <f>[1]Industry!H$60</f>
        <v>0.23335583492143427</v>
      </c>
      <c r="M828" s="1">
        <f>[1]Industry!I$60</f>
        <v>0.23335225866233869</v>
      </c>
      <c r="N828" s="1">
        <f>[1]Industry!J$60</f>
        <v>0.23332228624882986</v>
      </c>
      <c r="O828" s="1">
        <f>[1]Industry!K$60</f>
        <v>3.4404921865923006</v>
      </c>
      <c r="P828" s="1">
        <f>[1]Industry!L$60</f>
        <v>3.4404495325797608</v>
      </c>
      <c r="Q828" s="1">
        <f>[1]Industry!M$60</f>
        <v>3.4396582830166347</v>
      </c>
      <c r="S828" s="3"/>
    </row>
    <row r="829" spans="2:19" x14ac:dyDescent="0.5">
      <c r="B829" s="5" t="str">
        <f t="shared" si="1008"/>
        <v>SPS1</v>
      </c>
      <c r="C829" s="5" t="str">
        <f t="shared" si="1009"/>
        <v>CH</v>
      </c>
      <c r="D829" t="s">
        <v>2041</v>
      </c>
      <c r="E829" t="s">
        <v>8</v>
      </c>
      <c r="F829" s="1">
        <f>[1]Industry!B$68</f>
        <v>0.31051692857725255</v>
      </c>
      <c r="G829" s="1">
        <f>[1]Industry!C$68</f>
        <v>0.39251953670381068</v>
      </c>
      <c r="H829" s="1">
        <f>[1]Industry!D$68</f>
        <v>0.67767758755954677</v>
      </c>
      <c r="I829" s="1">
        <f>[1]Industry!E$68</f>
        <v>1.5762080307847337</v>
      </c>
      <c r="J829" s="1">
        <f>[1]Industry!F$68</f>
        <v>2.6082051409114073</v>
      </c>
      <c r="K829" s="1">
        <f>[1]Industry!G$68</f>
        <v>4.0604975933558656</v>
      </c>
      <c r="L829" s="1">
        <f>[1]Industry!H$68</f>
        <v>4.1320336123326253</v>
      </c>
      <c r="M829" s="1">
        <f>[1]Industry!I$68</f>
        <v>4.1583178079438445</v>
      </c>
      <c r="N829" s="1">
        <f>[1]Industry!J$68</f>
        <v>4.1758437850153651</v>
      </c>
      <c r="O829" s="1">
        <f>[1]Industry!K$68</f>
        <v>4.4037203668322036</v>
      </c>
      <c r="P829" s="1">
        <f>[1]Industry!L$68</f>
        <v>4.4037644675291219</v>
      </c>
      <c r="Q829" s="1">
        <f>[1]Industry!M$68</f>
        <v>4.4067016256630493</v>
      </c>
      <c r="S829" s="3"/>
    </row>
    <row r="830" spans="2:19" x14ac:dyDescent="0.5">
      <c r="B830" s="5" t="str">
        <f t="shared" si="1008"/>
        <v>SPS1</v>
      </c>
      <c r="C830" s="5" t="str">
        <f t="shared" si="1009"/>
        <v>CH</v>
      </c>
      <c r="D830" t="s">
        <v>2042</v>
      </c>
      <c r="E830" t="s">
        <v>8</v>
      </c>
      <c r="F830" s="1">
        <f>F831</f>
        <v>2.3674031615605471</v>
      </c>
      <c r="G830" s="1">
        <f t="shared" ref="G830:O830" si="1010">G831</f>
        <v>2.3075014977444708</v>
      </c>
      <c r="H830" s="1">
        <f t="shared" si="1010"/>
        <v>1.9411624553737183</v>
      </c>
      <c r="I830" s="1">
        <f t="shared" si="1010"/>
        <v>8.9259744281255352E-4</v>
      </c>
      <c r="J830" s="1">
        <f t="shared" si="1010"/>
        <v>1.0146607207586918E-3</v>
      </c>
      <c r="K830" s="1">
        <f t="shared" si="1010"/>
        <v>9.1554004130655709E-4</v>
      </c>
      <c r="L830" s="1">
        <f t="shared" si="1010"/>
        <v>1.2073937755089673E-3</v>
      </c>
      <c r="M830" s="1">
        <f t="shared" si="1010"/>
        <v>3.0571548487520576E-3</v>
      </c>
      <c r="N830" s="1">
        <f t="shared" si="1010"/>
        <v>1.8088645994883072E-3</v>
      </c>
      <c r="O830" s="1">
        <f t="shared" si="1010"/>
        <v>2.7236229296424656E-3</v>
      </c>
      <c r="P830" s="1">
        <f>P831</f>
        <v>1.500527712009341E-3</v>
      </c>
      <c r="Q830" s="1">
        <f>Q831</f>
        <v>2.6286011741171013E-3</v>
      </c>
      <c r="S830" s="3"/>
    </row>
    <row r="831" spans="2:19" x14ac:dyDescent="0.5">
      <c r="B831" s="5" t="str">
        <f t="shared" si="1008"/>
        <v>SPS1</v>
      </c>
      <c r="C831" s="5" t="str">
        <f t="shared" si="1009"/>
        <v>CH</v>
      </c>
      <c r="D831" t="s">
        <v>2043</v>
      </c>
      <c r="E831" t="s">
        <v>8</v>
      </c>
      <c r="F831" s="1">
        <f>[1]Industry!B$61</f>
        <v>2.3674031615605471</v>
      </c>
      <c r="G831" s="1">
        <f>[1]Industry!C$61</f>
        <v>2.3075014977444708</v>
      </c>
      <c r="H831" s="1">
        <f>[1]Industry!D$61</f>
        <v>1.9411624553737183</v>
      </c>
      <c r="I831" s="1">
        <f>[1]Industry!E$61</f>
        <v>8.9259744281255352E-4</v>
      </c>
      <c r="J831" s="1">
        <f>[1]Industry!F$61</f>
        <v>1.0146607207586918E-3</v>
      </c>
      <c r="K831" s="1">
        <f>[1]Industry!G$61</f>
        <v>9.1554004130655709E-4</v>
      </c>
      <c r="L831" s="1">
        <f>[1]Industry!H$61</f>
        <v>1.2073937755089673E-3</v>
      </c>
      <c r="M831" s="1">
        <f>[1]Industry!I$61</f>
        <v>3.0571548487520576E-3</v>
      </c>
      <c r="N831" s="1">
        <f>[1]Industry!J$61</f>
        <v>1.8088645994883072E-3</v>
      </c>
      <c r="O831" s="1">
        <f>[1]Industry!K$61</f>
        <v>2.7236229296424656E-3</v>
      </c>
      <c r="P831" s="1">
        <f>[1]Industry!L$61</f>
        <v>1.500527712009341E-3</v>
      </c>
      <c r="Q831" s="1">
        <f>[1]Industry!M$61</f>
        <v>2.6286011741171013E-3</v>
      </c>
      <c r="S831" s="3"/>
    </row>
    <row r="832" spans="2:19" x14ac:dyDescent="0.5">
      <c r="B832" s="5" t="str">
        <f t="shared" si="1008"/>
        <v>SPS1</v>
      </c>
      <c r="C832" s="5" t="str">
        <f t="shared" si="1009"/>
        <v>CH</v>
      </c>
      <c r="D832" t="s">
        <v>2044</v>
      </c>
      <c r="E832" t="s">
        <v>8</v>
      </c>
      <c r="F832" s="1">
        <f>F833+F843</f>
        <v>11.767371940561894</v>
      </c>
      <c r="G832" s="1">
        <f t="shared" ref="G832:K832" si="1011">G833+G843</f>
        <v>12.635429787504791</v>
      </c>
      <c r="H832" s="1">
        <f t="shared" si="1011"/>
        <v>12.568748227216382</v>
      </c>
      <c r="I832" s="1">
        <f t="shared" si="1011"/>
        <v>15.942643597527194</v>
      </c>
      <c r="J832" s="1">
        <f t="shared" si="1011"/>
        <v>15.512058923308892</v>
      </c>
      <c r="K832" s="1">
        <f t="shared" si="1011"/>
        <v>15.093036963904085</v>
      </c>
      <c r="L832" s="1">
        <f t="shared" ref="L832:O832" si="1012">L833+L843</f>
        <v>17.747051272771365</v>
      </c>
      <c r="M832" s="1">
        <f t="shared" si="1012"/>
        <v>20.050631528962285</v>
      </c>
      <c r="N832" s="1">
        <f t="shared" si="1012"/>
        <v>20.85390190747475</v>
      </c>
      <c r="O832" s="1">
        <f t="shared" si="1012"/>
        <v>21.070780709534695</v>
      </c>
      <c r="P832" s="1">
        <f>P833+P843</f>
        <v>20.703892607282924</v>
      </c>
      <c r="Q832" s="1">
        <f>Q833+Q843</f>
        <v>20.762266962859208</v>
      </c>
      <c r="S832" s="3"/>
    </row>
    <row r="833" spans="2:19" x14ac:dyDescent="0.5">
      <c r="B833" s="5" t="str">
        <f t="shared" si="1008"/>
        <v>SPS1</v>
      </c>
      <c r="C833" s="5" t="str">
        <f t="shared" si="1009"/>
        <v>CH</v>
      </c>
      <c r="D833" t="s">
        <v>2045</v>
      </c>
      <c r="E833" t="s">
        <v>8</v>
      </c>
      <c r="F833" s="1">
        <f>[1]Industry!B$62</f>
        <v>5.1850772885888405</v>
      </c>
      <c r="G833" s="1">
        <f>[1]Industry!C$62</f>
        <v>5.5675710318074074</v>
      </c>
      <c r="H833" s="1">
        <f>[1]Industry!D$62</f>
        <v>5.6974790109707651</v>
      </c>
      <c r="I833" s="1">
        <f>[1]Industry!E$62</f>
        <v>8.6445747790176988</v>
      </c>
      <c r="J833" s="1">
        <f>[1]Industry!F$62</f>
        <v>8.6223687385073671</v>
      </c>
      <c r="K833" s="1">
        <f>[1]Industry!G$62</f>
        <v>7.7198544573997241</v>
      </c>
      <c r="L833" s="1">
        <f>[1]Industry!H$62</f>
        <v>9.3350520900838934</v>
      </c>
      <c r="M833" s="1">
        <f>[1]Industry!I$62</f>
        <v>11.285347435821935</v>
      </c>
      <c r="N833" s="1">
        <f>[1]Industry!J$62</f>
        <v>12.166093859663588</v>
      </c>
      <c r="O833" s="1">
        <f>[1]Industry!K$62</f>
        <v>12.154678735967526</v>
      </c>
      <c r="P833" s="1">
        <f>[1]Industry!L$62</f>
        <v>12.113185326848424</v>
      </c>
      <c r="Q833" s="1">
        <f>[1]Industry!M$62</f>
        <v>12.246727540230138</v>
      </c>
      <c r="S833" s="3"/>
    </row>
    <row r="834" spans="2:19" x14ac:dyDescent="0.5">
      <c r="B834" s="5" t="str">
        <f t="shared" si="1008"/>
        <v>SPS1</v>
      </c>
      <c r="C834" s="5" t="str">
        <f t="shared" si="1009"/>
        <v>CH</v>
      </c>
      <c r="D834" t="s">
        <v>2046</v>
      </c>
      <c r="E834" t="s">
        <v>8</v>
      </c>
      <c r="F834" s="1">
        <f>IFERROR(F793/F$792,0)*F$833</f>
        <v>1.1219544508869892</v>
      </c>
      <c r="G834" s="1">
        <f t="shared" ref="G834:K834" si="1013">IFERROR(G793/G$792,0)*G$833</f>
        <v>1.9722428721627585</v>
      </c>
      <c r="H834" s="1">
        <f t="shared" si="1013"/>
        <v>2.6310548089070053E-2</v>
      </c>
      <c r="I834" s="1">
        <f t="shared" si="1013"/>
        <v>1.3098058825241299</v>
      </c>
      <c r="J834" s="1">
        <f t="shared" si="1013"/>
        <v>0.78254467110781079</v>
      </c>
      <c r="K834" s="1">
        <f t="shared" si="1013"/>
        <v>3.9373060800348803E-2</v>
      </c>
      <c r="L834" s="1">
        <f t="shared" ref="L834:O834" si="1014">IFERROR(L793/L$792,0)*L$833</f>
        <v>4.3246824070729287E-2</v>
      </c>
      <c r="M834" s="1">
        <f t="shared" si="1014"/>
        <v>5.3707013627992746E-2</v>
      </c>
      <c r="N834" s="1">
        <f t="shared" si="1014"/>
        <v>5.691427718658211E-2</v>
      </c>
      <c r="O834" s="1">
        <f t="shared" si="1014"/>
        <v>5.754003519319819E-2</v>
      </c>
      <c r="P834" s="1">
        <f t="shared" ref="P834:Q842" si="1015">IFERROR(P793/P$792,0)*P$833</f>
        <v>5.6802865742974454E-2</v>
      </c>
      <c r="Q834" s="1">
        <f t="shared" si="1015"/>
        <v>5.7880903861988658E-2</v>
      </c>
      <c r="S834" s="3"/>
    </row>
    <row r="835" spans="2:19" x14ac:dyDescent="0.5">
      <c r="B835" s="5" t="str">
        <f t="shared" si="1008"/>
        <v>SPS1</v>
      </c>
      <c r="C835" s="5" t="str">
        <f t="shared" si="1009"/>
        <v>CH</v>
      </c>
      <c r="D835" t="s">
        <v>2047</v>
      </c>
      <c r="E835" t="s">
        <v>8</v>
      </c>
      <c r="F835" s="1">
        <f t="shared" ref="F835:K842" si="1016">IFERROR(F794/F$792,0)*F$833</f>
        <v>0.9308112495248928</v>
      </c>
      <c r="G835" s="1">
        <f t="shared" si="1016"/>
        <v>9.7266915552812361E-2</v>
      </c>
      <c r="H835" s="1">
        <f t="shared" si="1016"/>
        <v>6.1469900480227102E-2</v>
      </c>
      <c r="I835" s="1">
        <f t="shared" si="1016"/>
        <v>0.71288872492411959</v>
      </c>
      <c r="J835" s="1">
        <f t="shared" si="1016"/>
        <v>0.98160749135592984</v>
      </c>
      <c r="K835" s="1">
        <f t="shared" si="1016"/>
        <v>0.17162945309818561</v>
      </c>
      <c r="L835" s="1">
        <f t="shared" ref="L835:O835" si="1017">IFERROR(L794/L$792,0)*L$833</f>
        <v>0.10898807575901975</v>
      </c>
      <c r="M835" s="1">
        <f t="shared" si="1017"/>
        <v>6.5062849739215958E-2</v>
      </c>
      <c r="N835" s="1">
        <f t="shared" si="1017"/>
        <v>3.2349374451718017E-2</v>
      </c>
      <c r="O835" s="1">
        <f t="shared" si="1017"/>
        <v>3.5198469005759563E-2</v>
      </c>
      <c r="P835" s="1">
        <f t="shared" si="1015"/>
        <v>5.1433813282429373E-2</v>
      </c>
      <c r="Q835" s="1">
        <f t="shared" si="1015"/>
        <v>8.7067267675694116E-2</v>
      </c>
      <c r="S835" s="3"/>
    </row>
    <row r="836" spans="2:19" x14ac:dyDescent="0.5">
      <c r="B836" s="5" t="str">
        <f t="shared" si="1008"/>
        <v>SPS1</v>
      </c>
      <c r="C836" s="5" t="str">
        <f t="shared" si="1009"/>
        <v>CH</v>
      </c>
      <c r="D836" t="s">
        <v>2048</v>
      </c>
      <c r="E836" t="s">
        <v>8</v>
      </c>
      <c r="F836" s="1">
        <f t="shared" si="1016"/>
        <v>0</v>
      </c>
      <c r="G836" s="1">
        <f t="shared" si="1016"/>
        <v>0</v>
      </c>
      <c r="H836" s="1">
        <f t="shared" si="1016"/>
        <v>0</v>
      </c>
      <c r="I836" s="1">
        <f t="shared" si="1016"/>
        <v>0</v>
      </c>
      <c r="J836" s="1">
        <f t="shared" si="1016"/>
        <v>0</v>
      </c>
      <c r="K836" s="1">
        <f t="shared" si="1016"/>
        <v>0</v>
      </c>
      <c r="L836" s="1">
        <f t="shared" ref="L836:O836" si="1018">IFERROR(L795/L$792,0)*L$833</f>
        <v>0</v>
      </c>
      <c r="M836" s="1">
        <f t="shared" si="1018"/>
        <v>0</v>
      </c>
      <c r="N836" s="1">
        <f t="shared" si="1018"/>
        <v>0</v>
      </c>
      <c r="O836" s="1">
        <f t="shared" si="1018"/>
        <v>0</v>
      </c>
      <c r="P836" s="1">
        <f t="shared" si="1015"/>
        <v>0</v>
      </c>
      <c r="Q836" s="1">
        <f t="shared" si="1015"/>
        <v>0</v>
      </c>
      <c r="S836" s="3"/>
    </row>
    <row r="837" spans="2:19" x14ac:dyDescent="0.5">
      <c r="B837" s="5" t="str">
        <f t="shared" si="1008"/>
        <v>SPS1</v>
      </c>
      <c r="C837" s="5" t="str">
        <f t="shared" si="1009"/>
        <v>CH</v>
      </c>
      <c r="D837" t="s">
        <v>2049</v>
      </c>
      <c r="E837" t="s">
        <v>8</v>
      </c>
      <c r="F837" s="1">
        <f t="shared" si="1016"/>
        <v>0</v>
      </c>
      <c r="G837" s="1">
        <f t="shared" si="1016"/>
        <v>0</v>
      </c>
      <c r="H837" s="1">
        <f t="shared" si="1016"/>
        <v>0</v>
      </c>
      <c r="I837" s="1">
        <f t="shared" si="1016"/>
        <v>7.3213618750107802E-4</v>
      </c>
      <c r="J837" s="1">
        <f t="shared" si="1016"/>
        <v>9.3458147091879666E-4</v>
      </c>
      <c r="K837" s="1">
        <f t="shared" si="1016"/>
        <v>1.5527827060519408E-3</v>
      </c>
      <c r="L837" s="1">
        <f t="shared" ref="L837:O837" si="1019">IFERROR(L796/L$792,0)*L$833</f>
        <v>1.9422908683207798E-3</v>
      </c>
      <c r="M837" s="1">
        <f t="shared" si="1019"/>
        <v>3.6390964001566366E-3</v>
      </c>
      <c r="N837" s="1">
        <f t="shared" si="1019"/>
        <v>2.9326584706460012E-3</v>
      </c>
      <c r="O837" s="1">
        <f t="shared" si="1019"/>
        <v>4.4158054486399508E-3</v>
      </c>
      <c r="P837" s="1">
        <f t="shared" si="1015"/>
        <v>4.9515623992778604E-3</v>
      </c>
      <c r="Q837" s="1">
        <f t="shared" si="1015"/>
        <v>8.9704094813306198E-3</v>
      </c>
      <c r="S837" s="3"/>
    </row>
    <row r="838" spans="2:19" x14ac:dyDescent="0.5">
      <c r="B838" s="5" t="str">
        <f t="shared" si="1008"/>
        <v>SPS1</v>
      </c>
      <c r="C838" s="5" t="str">
        <f t="shared" si="1009"/>
        <v>CH</v>
      </c>
      <c r="D838" t="s">
        <v>2050</v>
      </c>
      <c r="E838" t="s">
        <v>8</v>
      </c>
      <c r="F838" s="1">
        <f t="shared" si="1016"/>
        <v>2.335720268011598</v>
      </c>
      <c r="G838" s="1">
        <f t="shared" si="1016"/>
        <v>1.7691079856837282</v>
      </c>
      <c r="H838" s="1">
        <f t="shared" si="1016"/>
        <v>2.390898975989677</v>
      </c>
      <c r="I838" s="1">
        <f t="shared" si="1016"/>
        <v>2.2578035160075065</v>
      </c>
      <c r="J838" s="1">
        <f t="shared" si="1016"/>
        <v>1.8220075941101632</v>
      </c>
      <c r="K838" s="1">
        <f t="shared" si="1016"/>
        <v>1.5607462133378394</v>
      </c>
      <c r="L838" s="1">
        <f t="shared" ref="L838:O838" si="1020">IFERROR(L797/L$792,0)*L$833</f>
        <v>1.2998060460434162</v>
      </c>
      <c r="M838" s="1">
        <f t="shared" si="1020"/>
        <v>1.0416683396095126</v>
      </c>
      <c r="N838" s="1">
        <f t="shared" si="1020"/>
        <v>1.0423641910338819</v>
      </c>
      <c r="O838" s="1">
        <f t="shared" si="1020"/>
        <v>1.0406848610737229</v>
      </c>
      <c r="P838" s="1">
        <f t="shared" si="1015"/>
        <v>1.0403126684723762</v>
      </c>
      <c r="Q838" s="1">
        <f t="shared" si="1015"/>
        <v>1.041359580034092</v>
      </c>
      <c r="S838" s="3"/>
    </row>
    <row r="839" spans="2:19" x14ac:dyDescent="0.5">
      <c r="B839" s="5" t="str">
        <f t="shared" si="1008"/>
        <v>SPS1</v>
      </c>
      <c r="C839" s="5" t="str">
        <f t="shared" si="1009"/>
        <v>CH</v>
      </c>
      <c r="D839" t="s">
        <v>2051</v>
      </c>
      <c r="E839" t="s">
        <v>8</v>
      </c>
      <c r="F839" s="1">
        <f t="shared" si="1016"/>
        <v>0</v>
      </c>
      <c r="G839" s="1">
        <f t="shared" si="1016"/>
        <v>0</v>
      </c>
      <c r="H839" s="1">
        <f t="shared" si="1016"/>
        <v>0</v>
      </c>
      <c r="I839" s="1">
        <f t="shared" si="1016"/>
        <v>0</v>
      </c>
      <c r="J839" s="1">
        <f t="shared" si="1016"/>
        <v>0</v>
      </c>
      <c r="K839" s="1">
        <f t="shared" si="1016"/>
        <v>0</v>
      </c>
      <c r="L839" s="1">
        <f t="shared" ref="L839:O839" si="1021">IFERROR(L798/L$792,0)*L$833</f>
        <v>0</v>
      </c>
      <c r="M839" s="1">
        <f t="shared" si="1021"/>
        <v>0</v>
      </c>
      <c r="N839" s="1">
        <f t="shared" si="1021"/>
        <v>0</v>
      </c>
      <c r="O839" s="1">
        <f t="shared" si="1021"/>
        <v>0</v>
      </c>
      <c r="P839" s="1">
        <f t="shared" si="1015"/>
        <v>0</v>
      </c>
      <c r="Q839" s="1">
        <f t="shared" si="1015"/>
        <v>0</v>
      </c>
      <c r="S839" s="3"/>
    </row>
    <row r="840" spans="2:19" x14ac:dyDescent="0.5">
      <c r="B840" s="5" t="str">
        <f t="shared" si="1008"/>
        <v>SPS1</v>
      </c>
      <c r="C840" s="5" t="str">
        <f t="shared" si="1009"/>
        <v>CH</v>
      </c>
      <c r="D840" t="s">
        <v>2052</v>
      </c>
      <c r="E840" t="s">
        <v>8</v>
      </c>
      <c r="F840" s="1">
        <f t="shared" si="1016"/>
        <v>0.79659132016536049</v>
      </c>
      <c r="G840" s="1">
        <f t="shared" si="1016"/>
        <v>1.7289532584081091</v>
      </c>
      <c r="H840" s="1">
        <f t="shared" si="1016"/>
        <v>3.2187995864117904</v>
      </c>
      <c r="I840" s="1">
        <f t="shared" si="1016"/>
        <v>4.3620079659121194</v>
      </c>
      <c r="J840" s="1">
        <f t="shared" si="1016"/>
        <v>5.0317266292277081</v>
      </c>
      <c r="K840" s="1">
        <f t="shared" si="1016"/>
        <v>5.9412528847732942</v>
      </c>
      <c r="L840" s="1">
        <f t="shared" ref="L840:O840" si="1022">IFERROR(L799/L$792,0)*L$833</f>
        <v>7.8762400216076092</v>
      </c>
      <c r="M840" s="1">
        <f t="shared" si="1022"/>
        <v>10.107886669773052</v>
      </c>
      <c r="N840" s="1">
        <f t="shared" si="1022"/>
        <v>11.020309409914368</v>
      </c>
      <c r="O840" s="1">
        <f t="shared" si="1022"/>
        <v>10.98354788779344</v>
      </c>
      <c r="P840" s="1">
        <f t="shared" si="1015"/>
        <v>10.924697102772337</v>
      </c>
      <c r="Q840" s="1">
        <f t="shared" si="1015"/>
        <v>11.009654974940084</v>
      </c>
      <c r="S840" s="3"/>
    </row>
    <row r="841" spans="2:19" x14ac:dyDescent="0.5">
      <c r="B841" s="5" t="str">
        <f t="shared" si="1008"/>
        <v>SPS1</v>
      </c>
      <c r="C841" s="5" t="str">
        <f t="shared" si="1009"/>
        <v>CH</v>
      </c>
      <c r="D841" t="s">
        <v>2053</v>
      </c>
      <c r="E841" t="s">
        <v>8</v>
      </c>
      <c r="F841" s="1">
        <f t="shared" si="1016"/>
        <v>0</v>
      </c>
      <c r="G841" s="1">
        <f t="shared" si="1016"/>
        <v>0</v>
      </c>
      <c r="H841" s="1">
        <f t="shared" si="1016"/>
        <v>0</v>
      </c>
      <c r="I841" s="1">
        <f t="shared" si="1016"/>
        <v>0</v>
      </c>
      <c r="J841" s="1">
        <f t="shared" si="1016"/>
        <v>0</v>
      </c>
      <c r="K841" s="1">
        <f t="shared" si="1016"/>
        <v>0</v>
      </c>
      <c r="L841" s="1">
        <f t="shared" ref="L841:O841" si="1023">IFERROR(L800/L$792,0)*L$833</f>
        <v>0</v>
      </c>
      <c r="M841" s="1">
        <f t="shared" si="1023"/>
        <v>0</v>
      </c>
      <c r="N841" s="1">
        <f t="shared" si="1023"/>
        <v>0</v>
      </c>
      <c r="O841" s="1">
        <f t="shared" si="1023"/>
        <v>0</v>
      </c>
      <c r="P841" s="1">
        <f t="shared" si="1015"/>
        <v>0</v>
      </c>
      <c r="Q841" s="1">
        <f t="shared" si="1015"/>
        <v>0</v>
      </c>
      <c r="S841" s="3"/>
    </row>
    <row r="842" spans="2:19" x14ac:dyDescent="0.5">
      <c r="B842" s="5" t="str">
        <f t="shared" si="1008"/>
        <v>SPS1</v>
      </c>
      <c r="C842" s="5" t="str">
        <f t="shared" si="1009"/>
        <v>CH</v>
      </c>
      <c r="D842" t="s">
        <v>2054</v>
      </c>
      <c r="E842" t="s">
        <v>8</v>
      </c>
      <c r="F842" s="1">
        <f t="shared" si="1016"/>
        <v>0</v>
      </c>
      <c r="G842" s="1">
        <f t="shared" si="1016"/>
        <v>0</v>
      </c>
      <c r="H842" s="1">
        <f t="shared" si="1016"/>
        <v>0</v>
      </c>
      <c r="I842" s="1">
        <f t="shared" si="1016"/>
        <v>1.3365534623221394E-3</v>
      </c>
      <c r="J842" s="1">
        <f t="shared" si="1016"/>
        <v>3.5477712348365659E-3</v>
      </c>
      <c r="K842" s="1">
        <f t="shared" si="1016"/>
        <v>5.3000626840043709E-3</v>
      </c>
      <c r="L842" s="1">
        <f t="shared" ref="L842:O842" si="1024">IFERROR(L801/L$792,0)*L$833</f>
        <v>4.8288317347975462E-3</v>
      </c>
      <c r="M842" s="1">
        <f t="shared" si="1024"/>
        <v>1.3383466672005205E-2</v>
      </c>
      <c r="N842" s="1">
        <f t="shared" si="1024"/>
        <v>1.1223948606390349E-2</v>
      </c>
      <c r="O842" s="1">
        <f t="shared" si="1024"/>
        <v>3.3291677452763936E-2</v>
      </c>
      <c r="P842" s="1">
        <f t="shared" si="1015"/>
        <v>3.4987314179028867E-2</v>
      </c>
      <c r="Q842" s="1">
        <f t="shared" si="1015"/>
        <v>4.179440423694928E-2</v>
      </c>
      <c r="S842" s="3"/>
    </row>
    <row r="843" spans="2:19" x14ac:dyDescent="0.5">
      <c r="B843" s="5" t="str">
        <f t="shared" si="1008"/>
        <v>SPS1</v>
      </c>
      <c r="C843" s="5" t="str">
        <f t="shared" si="1009"/>
        <v>CH</v>
      </c>
      <c r="D843" t="s">
        <v>2055</v>
      </c>
      <c r="E843" t="s">
        <v>8</v>
      </c>
      <c r="F843" s="1">
        <f>[1]Industry!B$63</f>
        <v>6.5822946519730525</v>
      </c>
      <c r="G843" s="1">
        <f>[1]Industry!C$63</f>
        <v>7.0678587556973822</v>
      </c>
      <c r="H843" s="1">
        <f>[1]Industry!D$63</f>
        <v>6.8712692162456168</v>
      </c>
      <c r="I843" s="1">
        <f>[1]Industry!E$63</f>
        <v>7.2980688185094946</v>
      </c>
      <c r="J843" s="1">
        <f>[1]Industry!F$63</f>
        <v>6.8896901848015242</v>
      </c>
      <c r="K843" s="1">
        <f>[1]Industry!G$63</f>
        <v>7.373182506504361</v>
      </c>
      <c r="L843" s="1">
        <f>[1]Industry!H$63</f>
        <v>8.411999182687472</v>
      </c>
      <c r="M843" s="1">
        <f>[1]Industry!I$63</f>
        <v>8.7652840931403482</v>
      </c>
      <c r="N843" s="1">
        <f>[1]Industry!J$63</f>
        <v>8.6878080478111617</v>
      </c>
      <c r="O843" s="1">
        <f>[1]Industry!K$63</f>
        <v>8.9161019735671676</v>
      </c>
      <c r="P843" s="1">
        <f>[1]Industry!L$63</f>
        <v>8.5907072804345024</v>
      </c>
      <c r="Q843" s="1">
        <f>[1]Industry!M$63</f>
        <v>8.5155394226290699</v>
      </c>
      <c r="S843" s="3"/>
    </row>
    <row r="844" spans="2:19" x14ac:dyDescent="0.5">
      <c r="B844" s="5" t="str">
        <f t="shared" si="1008"/>
        <v>SPS1</v>
      </c>
      <c r="C844" s="5" t="str">
        <f t="shared" si="1009"/>
        <v>CH</v>
      </c>
      <c r="D844" t="s">
        <v>2056</v>
      </c>
      <c r="E844" t="s">
        <v>8</v>
      </c>
      <c r="F844" s="1">
        <f>F845</f>
        <v>5.3111241497928692</v>
      </c>
      <c r="G844" s="1">
        <f t="shared" ref="G844:O844" si="1025">G845</f>
        <v>6.2669390476429179</v>
      </c>
      <c r="H844" s="1">
        <f t="shared" si="1025"/>
        <v>5.8302839932136807</v>
      </c>
      <c r="I844" s="1">
        <f t="shared" si="1025"/>
        <v>6.8561600243029135</v>
      </c>
      <c r="J844" s="1">
        <f t="shared" si="1025"/>
        <v>7.4769099829102208</v>
      </c>
      <c r="K844" s="1">
        <f t="shared" si="1025"/>
        <v>8.1023064588305971</v>
      </c>
      <c r="L844" s="1">
        <f t="shared" si="1025"/>
        <v>8.6073003560855739</v>
      </c>
      <c r="M844" s="1">
        <f t="shared" si="1025"/>
        <v>9.2891158396113873</v>
      </c>
      <c r="N844" s="1">
        <f t="shared" si="1025"/>
        <v>9.2096862323652253</v>
      </c>
      <c r="O844" s="1">
        <f t="shared" si="1025"/>
        <v>9.4658725238705941</v>
      </c>
      <c r="P844" s="1">
        <f>P845</f>
        <v>8.2761957803060238</v>
      </c>
      <c r="Q844" s="1">
        <f>Q845</f>
        <v>8.8880576674886882</v>
      </c>
      <c r="S844" s="3"/>
    </row>
    <row r="845" spans="2:19" x14ac:dyDescent="0.5">
      <c r="B845" s="5" t="str">
        <f t="shared" si="1008"/>
        <v>SPS1</v>
      </c>
      <c r="C845" s="5" t="str">
        <f t="shared" si="1009"/>
        <v>CH</v>
      </c>
      <c r="D845" t="s">
        <v>2057</v>
      </c>
      <c r="E845" t="s">
        <v>8</v>
      </c>
      <c r="F845" s="1">
        <f>[1]Industry!B$64</f>
        <v>5.3111241497928692</v>
      </c>
      <c r="G845" s="1">
        <f>[1]Industry!C$64</f>
        <v>6.2669390476429179</v>
      </c>
      <c r="H845" s="1">
        <f>[1]Industry!D$64</f>
        <v>5.8302839932136807</v>
      </c>
      <c r="I845" s="1">
        <f>[1]Industry!E$64</f>
        <v>6.8561600243029135</v>
      </c>
      <c r="J845" s="1">
        <f>[1]Industry!F$64</f>
        <v>7.4769099829102208</v>
      </c>
      <c r="K845" s="1">
        <f>[1]Industry!G$64</f>
        <v>8.1023064588305971</v>
      </c>
      <c r="L845" s="1">
        <f>[1]Industry!H$64</f>
        <v>8.6073003560855739</v>
      </c>
      <c r="M845" s="1">
        <f>[1]Industry!I$64</f>
        <v>9.2891158396113873</v>
      </c>
      <c r="N845" s="1">
        <f>[1]Industry!J$64</f>
        <v>9.2096862323652253</v>
      </c>
      <c r="O845" s="1">
        <f>[1]Industry!K$64</f>
        <v>9.4658725238705941</v>
      </c>
      <c r="P845" s="1">
        <f>[1]Industry!L$64</f>
        <v>8.2761957803060238</v>
      </c>
      <c r="Q845" s="1">
        <f>[1]Industry!M$64</f>
        <v>8.8880576674886882</v>
      </c>
      <c r="S845" s="3"/>
    </row>
    <row r="846" spans="2:19" x14ac:dyDescent="0.5">
      <c r="B846" s="5" t="str">
        <f t="shared" si="1008"/>
        <v>SPS1</v>
      </c>
      <c r="C846" s="5" t="str">
        <f t="shared" si="1009"/>
        <v>CH</v>
      </c>
      <c r="D846" t="s">
        <v>2058</v>
      </c>
      <c r="E846" t="s">
        <v>8</v>
      </c>
      <c r="F846" s="1">
        <f>F847</f>
        <v>0.4615217481890983</v>
      </c>
      <c r="G846" s="1">
        <f t="shared" ref="G846:O846" si="1026">G847</f>
        <v>0.54457591751289969</v>
      </c>
      <c r="H846" s="1">
        <f t="shared" si="1026"/>
        <v>0.54457761634288437</v>
      </c>
      <c r="I846" s="1">
        <f t="shared" si="1026"/>
        <v>0.54458137301167697</v>
      </c>
      <c r="J846" s="1">
        <f t="shared" si="1026"/>
        <v>0.54501633679927985</v>
      </c>
      <c r="K846" s="1">
        <f t="shared" si="1026"/>
        <v>0.54502320288204176</v>
      </c>
      <c r="L846" s="1">
        <f t="shared" si="1026"/>
        <v>0.54503200295724463</v>
      </c>
      <c r="M846" s="1">
        <f t="shared" si="1026"/>
        <v>0.54504511222801577</v>
      </c>
      <c r="N846" s="1">
        <f t="shared" si="1026"/>
        <v>0.54505157965806394</v>
      </c>
      <c r="O846" s="1">
        <f t="shared" si="1026"/>
        <v>0.54507863786179145</v>
      </c>
      <c r="P846" s="1">
        <f>P847</f>
        <v>0.54511725797392219</v>
      </c>
      <c r="Q846" s="1">
        <f>Q847</f>
        <v>0.54526510768860315</v>
      </c>
      <c r="S846" s="3"/>
    </row>
    <row r="847" spans="2:19" x14ac:dyDescent="0.5">
      <c r="B847" s="5" t="str">
        <f t="shared" si="1008"/>
        <v>SPS1</v>
      </c>
      <c r="C847" s="5" t="str">
        <f t="shared" si="1009"/>
        <v>CH</v>
      </c>
      <c r="D847" t="s">
        <v>2059</v>
      </c>
      <c r="E847" t="s">
        <v>8</v>
      </c>
      <c r="F847" s="1">
        <f>[1]Industry!B$65</f>
        <v>0.4615217481890983</v>
      </c>
      <c r="G847" s="1">
        <f>[1]Industry!C$65</f>
        <v>0.54457591751289969</v>
      </c>
      <c r="H847" s="1">
        <f>[1]Industry!D$65</f>
        <v>0.54457761634288437</v>
      </c>
      <c r="I847" s="1">
        <f>[1]Industry!E$65</f>
        <v>0.54458137301167697</v>
      </c>
      <c r="J847" s="1">
        <f>[1]Industry!F$65</f>
        <v>0.54501633679927985</v>
      </c>
      <c r="K847" s="1">
        <f>[1]Industry!G$65</f>
        <v>0.54502320288204176</v>
      </c>
      <c r="L847" s="1">
        <f>[1]Industry!H$65</f>
        <v>0.54503200295724463</v>
      </c>
      <c r="M847" s="1">
        <f>[1]Industry!I$65</f>
        <v>0.54504511222801577</v>
      </c>
      <c r="N847" s="1">
        <f>[1]Industry!J$65</f>
        <v>0.54505157965806394</v>
      </c>
      <c r="O847" s="1">
        <f>[1]Industry!K$65</f>
        <v>0.54507863786179145</v>
      </c>
      <c r="P847" s="1">
        <f>[1]Industry!L$65</f>
        <v>0.54511725797392219</v>
      </c>
      <c r="Q847" s="1">
        <f>[1]Industry!M$65</f>
        <v>0.54526510768860315</v>
      </c>
      <c r="S847" s="3"/>
    </row>
    <row r="848" spans="2:19" x14ac:dyDescent="0.5">
      <c r="B848" s="5" t="str">
        <f t="shared" si="1008"/>
        <v>SPS1</v>
      </c>
      <c r="C848" s="5" t="str">
        <f t="shared" si="1009"/>
        <v>CH</v>
      </c>
      <c r="D848" t="s">
        <v>2060</v>
      </c>
      <c r="E848" t="s">
        <v>8</v>
      </c>
      <c r="F848" s="1">
        <f>F849</f>
        <v>4.117368104037161</v>
      </c>
      <c r="G848" s="1">
        <f t="shared" ref="G848:O848" si="1027">G849</f>
        <v>4.2663641179495722</v>
      </c>
      <c r="H848" s="1">
        <f t="shared" si="1027"/>
        <v>2.9612154731270897</v>
      </c>
      <c r="I848" s="1">
        <f t="shared" si="1027"/>
        <v>2.9281141632001311</v>
      </c>
      <c r="J848" s="1">
        <f t="shared" si="1027"/>
        <v>2.8950400700826813</v>
      </c>
      <c r="K848" s="1">
        <f t="shared" si="1027"/>
        <v>2.880453721056599</v>
      </c>
      <c r="L848" s="1">
        <f t="shared" si="1027"/>
        <v>2.9092616829427369</v>
      </c>
      <c r="M848" s="1">
        <f t="shared" si="1027"/>
        <v>2.937618900705659</v>
      </c>
      <c r="N848" s="1">
        <f t="shared" si="1027"/>
        <v>2.9376266012474175</v>
      </c>
      <c r="O848" s="1">
        <f t="shared" si="1027"/>
        <v>2.9376714947433054</v>
      </c>
      <c r="P848" s="1">
        <f>P849</f>
        <v>2.9376220353415752</v>
      </c>
      <c r="Q848" s="1">
        <f>Q849</f>
        <v>2.9377555990470263</v>
      </c>
      <c r="S848" s="3"/>
    </row>
    <row r="849" spans="2:19" x14ac:dyDescent="0.5">
      <c r="B849" s="5" t="str">
        <f t="shared" si="1008"/>
        <v>SPS1</v>
      </c>
      <c r="C849" s="5" t="str">
        <f t="shared" si="1009"/>
        <v>CH</v>
      </c>
      <c r="D849" t="s">
        <v>2061</v>
      </c>
      <c r="E849" t="s">
        <v>8</v>
      </c>
      <c r="F849" s="1">
        <f>[1]Industry!B$66</f>
        <v>4.117368104037161</v>
      </c>
      <c r="G849" s="1">
        <f>[1]Industry!C$66</f>
        <v>4.2663641179495722</v>
      </c>
      <c r="H849" s="1">
        <f>[1]Industry!D$66</f>
        <v>2.9612154731270897</v>
      </c>
      <c r="I849" s="1">
        <f>[1]Industry!E$66</f>
        <v>2.9281141632001311</v>
      </c>
      <c r="J849" s="1">
        <f>[1]Industry!F$66</f>
        <v>2.8950400700826813</v>
      </c>
      <c r="K849" s="1">
        <f>[1]Industry!G$66</f>
        <v>2.880453721056599</v>
      </c>
      <c r="L849" s="1">
        <f>[1]Industry!H$66</f>
        <v>2.9092616829427369</v>
      </c>
      <c r="M849" s="1">
        <f>[1]Industry!I$66</f>
        <v>2.937618900705659</v>
      </c>
      <c r="N849" s="1">
        <f>[1]Industry!J$66</f>
        <v>2.9376266012474175</v>
      </c>
      <c r="O849" s="1">
        <f>[1]Industry!K$66</f>
        <v>2.9376714947433054</v>
      </c>
      <c r="P849" s="1">
        <f>[1]Industry!L$66</f>
        <v>2.9376220353415752</v>
      </c>
      <c r="Q849" s="1">
        <f>[1]Industry!M$66</f>
        <v>2.9377555990470263</v>
      </c>
      <c r="S849" s="3"/>
    </row>
    <row r="850" spans="2:19" x14ac:dyDescent="0.5">
      <c r="B850" s="5" t="str">
        <f t="shared" si="1008"/>
        <v>SPS1</v>
      </c>
      <c r="C850" s="5" t="str">
        <f t="shared" si="1009"/>
        <v>CH</v>
      </c>
      <c r="D850" t="s">
        <v>2062</v>
      </c>
      <c r="E850" t="s">
        <v>8</v>
      </c>
      <c r="F850" s="1">
        <f>F851</f>
        <v>6.7686205191224119E-2</v>
      </c>
      <c r="G850" s="1">
        <f t="shared" ref="G850:O850" si="1028">G851</f>
        <v>8.5502240074490629E-2</v>
      </c>
      <c r="H850" s="1">
        <f t="shared" si="1028"/>
        <v>8.550021815389508E-2</v>
      </c>
      <c r="I850" s="1">
        <f t="shared" si="1028"/>
        <v>8.5495210940754976E-2</v>
      </c>
      <c r="J850" s="1">
        <f t="shared" si="1028"/>
        <v>8.5494984769606652E-2</v>
      </c>
      <c r="K850" s="1">
        <f t="shared" si="1028"/>
        <v>8.549412257390826E-2</v>
      </c>
      <c r="L850" s="1">
        <f t="shared" si="1028"/>
        <v>8.5496152181069929E-2</v>
      </c>
      <c r="M850" s="1">
        <f t="shared" si="1028"/>
        <v>8.5496849940461889E-2</v>
      </c>
      <c r="N850" s="1">
        <f t="shared" si="1028"/>
        <v>8.549490788983817E-2</v>
      </c>
      <c r="O850" s="1">
        <f t="shared" si="1028"/>
        <v>8.5512689658765004E-2</v>
      </c>
      <c r="P850" s="1">
        <f>P851</f>
        <v>8.551067613974353E-2</v>
      </c>
      <c r="Q850" s="1">
        <f>Q851</f>
        <v>8.5556776020028841E-2</v>
      </c>
      <c r="S850" s="3"/>
    </row>
    <row r="851" spans="2:19" x14ac:dyDescent="0.5">
      <c r="B851" s="5" t="str">
        <f t="shared" si="1008"/>
        <v>SPS1</v>
      </c>
      <c r="C851" s="5" t="str">
        <f t="shared" si="1009"/>
        <v>CH</v>
      </c>
      <c r="D851" t="s">
        <v>2063</v>
      </c>
      <c r="E851" t="s">
        <v>8</v>
      </c>
      <c r="F851" s="1">
        <f>[1]Industry!B$67</f>
        <v>6.7686205191224119E-2</v>
      </c>
      <c r="G851" s="1">
        <f>[1]Industry!C$67</f>
        <v>8.5502240074490629E-2</v>
      </c>
      <c r="H851" s="1">
        <f>[1]Industry!D$67</f>
        <v>8.550021815389508E-2</v>
      </c>
      <c r="I851" s="1">
        <f>[1]Industry!E$67</f>
        <v>8.5495210940754976E-2</v>
      </c>
      <c r="J851" s="1">
        <f>[1]Industry!F$67</f>
        <v>8.5494984769606652E-2</v>
      </c>
      <c r="K851" s="1">
        <f>[1]Industry!G$67</f>
        <v>8.549412257390826E-2</v>
      </c>
      <c r="L851" s="1">
        <f>[1]Industry!H$67</f>
        <v>8.5496152181069929E-2</v>
      </c>
      <c r="M851" s="1">
        <f>[1]Industry!I$67</f>
        <v>8.5496849940461889E-2</v>
      </c>
      <c r="N851" s="1">
        <f>[1]Industry!J$67</f>
        <v>8.549490788983817E-2</v>
      </c>
      <c r="O851" s="1">
        <f>[1]Industry!K$67</f>
        <v>8.5512689658765004E-2</v>
      </c>
      <c r="P851" s="1">
        <f>[1]Industry!L$67</f>
        <v>8.551067613974353E-2</v>
      </c>
      <c r="Q851" s="1">
        <f>[1]Industry!M$67</f>
        <v>8.5556776020028841E-2</v>
      </c>
      <c r="S851" s="3"/>
    </row>
    <row r="852" spans="2:19" x14ac:dyDescent="0.5">
      <c r="B852" s="5" t="str">
        <f t="shared" si="1008"/>
        <v>SPS1</v>
      </c>
      <c r="C852" s="5" t="str">
        <f t="shared" si="1009"/>
        <v>CH</v>
      </c>
      <c r="D852" t="s">
        <v>2064</v>
      </c>
      <c r="E852" t="s">
        <v>8</v>
      </c>
      <c r="F852" s="1">
        <f>F853</f>
        <v>0</v>
      </c>
      <c r="G852" s="1">
        <f t="shared" ref="G852:O852" si="1029">G853</f>
        <v>0</v>
      </c>
      <c r="H852" s="1">
        <f t="shared" si="1029"/>
        <v>0</v>
      </c>
      <c r="I852" s="1">
        <f t="shared" si="1029"/>
        <v>5.3646286453350677E-4</v>
      </c>
      <c r="J852" s="1">
        <f t="shared" si="1029"/>
        <v>3.1309674988002178E-3</v>
      </c>
      <c r="K852" s="1">
        <f t="shared" si="1029"/>
        <v>4.0376450161458601E-3</v>
      </c>
      <c r="L852" s="1">
        <f t="shared" si="1029"/>
        <v>4.0727344880198474E-3</v>
      </c>
      <c r="M852" s="1">
        <f t="shared" si="1029"/>
        <v>3.3776361824299904E-2</v>
      </c>
      <c r="N852" s="1">
        <f t="shared" si="1029"/>
        <v>4.9911192571369591E-2</v>
      </c>
      <c r="O852" s="1">
        <f t="shared" si="1029"/>
        <v>0.13255947629813289</v>
      </c>
      <c r="P852" s="1">
        <f>P853</f>
        <v>0.132561372513048</v>
      </c>
      <c r="Q852" s="1">
        <f>Q853</f>
        <v>0.13325495570214604</v>
      </c>
      <c r="S852" s="3"/>
    </row>
    <row r="853" spans="2:19" x14ac:dyDescent="0.5">
      <c r="B853" s="5" t="str">
        <f t="shared" si="1008"/>
        <v>SPS1</v>
      </c>
      <c r="C853" s="5" t="str">
        <f t="shared" si="1009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5.3646286453350677E-4</v>
      </c>
      <c r="J853" s="1">
        <f>[1]Industry!F$69</f>
        <v>3.1309674988002178E-3</v>
      </c>
      <c r="K853" s="1">
        <f>[1]Industry!G$69</f>
        <v>4.0376450161458601E-3</v>
      </c>
      <c r="L853" s="1">
        <f>[1]Industry!H$69</f>
        <v>4.0727344880198474E-3</v>
      </c>
      <c r="M853" s="1">
        <f>[1]Industry!I$69</f>
        <v>3.3776361824299904E-2</v>
      </c>
      <c r="N853" s="1">
        <f>[1]Industry!J$69</f>
        <v>4.9911192571369591E-2</v>
      </c>
      <c r="O853" s="1">
        <f>[1]Industry!K$69</f>
        <v>0.13255947629813289</v>
      </c>
      <c r="P853" s="1">
        <f>[1]Industry!L$69</f>
        <v>0.132561372513048</v>
      </c>
      <c r="Q853" s="1">
        <f>[1]Industry!M$69</f>
        <v>0.13325495570214604</v>
      </c>
      <c r="S853" s="3"/>
    </row>
    <row r="854" spans="2:19" x14ac:dyDescent="0.5">
      <c r="B854" s="5" t="str">
        <f t="shared" si="1008"/>
        <v>SPS1</v>
      </c>
      <c r="C854" s="5" t="str">
        <f t="shared" si="1009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1030">SUM(G855:G856)</f>
        <v>4.8942213029962556</v>
      </c>
      <c r="H854" s="1">
        <f t="shared" si="1030"/>
        <v>4.8942251233698011</v>
      </c>
      <c r="I854" s="1">
        <f t="shared" si="1030"/>
        <v>4.8944003573222412</v>
      </c>
      <c r="J854" s="1">
        <f t="shared" si="1030"/>
        <v>4.8951450206080791</v>
      </c>
      <c r="K854" s="1">
        <f t="shared" si="1030"/>
        <v>4.8955777732361589</v>
      </c>
      <c r="L854" s="1">
        <f t="shared" ref="L854:O854" si="1031">SUM(L855:L856)</f>
        <v>4.8956452919346107</v>
      </c>
      <c r="M854" s="1">
        <f t="shared" si="1031"/>
        <v>4.8959510361988761</v>
      </c>
      <c r="N854" s="1">
        <f t="shared" si="1031"/>
        <v>4.8957754304501808</v>
      </c>
      <c r="O854" s="1">
        <f t="shared" si="1031"/>
        <v>4.8961857024287099</v>
      </c>
      <c r="P854" s="1">
        <f>SUM(P855:P856)</f>
        <v>4.8960253484156917</v>
      </c>
      <c r="Q854" s="1">
        <f>SUM(Q855:Q856)</f>
        <v>4.8977710033156772</v>
      </c>
      <c r="S854" s="3"/>
    </row>
    <row r="855" spans="2:19" x14ac:dyDescent="0.5">
      <c r="B855" s="5" t="str">
        <f t="shared" si="1008"/>
        <v>SPS1</v>
      </c>
      <c r="C855" s="5" t="str">
        <f t="shared" si="1009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0.85059929871419726</v>
      </c>
      <c r="H855" s="1">
        <f>[1]Industry!D$6-H856</f>
        <v>0.85059996268234617</v>
      </c>
      <c r="I855" s="1">
        <f>[1]Industry!E$6-I856</f>
        <v>0.85075649151005095</v>
      </c>
      <c r="J855" s="1">
        <f>[1]Industry!F$6-J856</f>
        <v>0.85141159206620465</v>
      </c>
      <c r="K855" s="1">
        <f>[1]Industry!G$6-K856</f>
        <v>0.85170185883540395</v>
      </c>
      <c r="L855" s="1">
        <f>[1]Industry!H$6-L856</f>
        <v>0.85171338818588538</v>
      </c>
      <c r="M855" s="1">
        <f>[1]Industry!I$6-M856</f>
        <v>0.85177981635252209</v>
      </c>
      <c r="N855" s="1">
        <f>[1]Industry!J$6-N856</f>
        <v>0.85179303701060061</v>
      </c>
      <c r="O855" s="1">
        <f>[1]Industry!K$6-O856</f>
        <v>0.85204163280999179</v>
      </c>
      <c r="P855" s="1">
        <f>[1]Industry!L$6-P856</f>
        <v>0.85211539455241514</v>
      </c>
      <c r="Q855" s="1">
        <f>[1]Industry!M$6-Q856</f>
        <v>0.85340269793243095</v>
      </c>
      <c r="S855" s="3"/>
    </row>
    <row r="856" spans="2:19" x14ac:dyDescent="0.5">
      <c r="B856" s="5" t="str">
        <f t="shared" si="1008"/>
        <v>SPS1</v>
      </c>
      <c r="C856" s="5" t="str">
        <f t="shared" si="1009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4.0436220042820583</v>
      </c>
      <c r="H856" s="1">
        <f>[1]Industry!D$70</f>
        <v>4.0436251606874549</v>
      </c>
      <c r="I856" s="1">
        <f>[1]Industry!E$70</f>
        <v>4.0436438658121903</v>
      </c>
      <c r="J856" s="1">
        <f>[1]Industry!F$70</f>
        <v>4.0437334285418745</v>
      </c>
      <c r="K856" s="1">
        <f>[1]Industry!G$70</f>
        <v>4.043875914400755</v>
      </c>
      <c r="L856" s="1">
        <f>[1]Industry!H$70</f>
        <v>4.0439319037487254</v>
      </c>
      <c r="M856" s="1">
        <f>[1]Industry!I$70</f>
        <v>4.044171219846354</v>
      </c>
      <c r="N856" s="1">
        <f>[1]Industry!J$70</f>
        <v>4.0439823934395802</v>
      </c>
      <c r="O856" s="1">
        <f>[1]Industry!K$70</f>
        <v>4.0441440696187181</v>
      </c>
      <c r="P856" s="1">
        <f>[1]Industry!L$70</f>
        <v>4.0439099538632766</v>
      </c>
      <c r="Q856" s="1">
        <f>[1]Industry!M$70</f>
        <v>4.0443683053832462</v>
      </c>
      <c r="S856" s="3"/>
    </row>
    <row r="857" spans="2:19" x14ac:dyDescent="0.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M857" s="1" t="s">
        <v>292</v>
      </c>
      <c r="N857" s="1" t="s">
        <v>292</v>
      </c>
      <c r="O857" s="1" t="s">
        <v>292</v>
      </c>
      <c r="P857" s="1" t="s">
        <v>292</v>
      </c>
      <c r="Q857" s="1" t="s">
        <v>292</v>
      </c>
      <c r="S857" s="3"/>
    </row>
    <row r="858" spans="2:19" x14ac:dyDescent="0.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0.84261542941328416</v>
      </c>
      <c r="G858" s="4">
        <f t="shared" ref="G858:K858" si="1032">IFERROR(G820/G765,"-")</f>
        <v>0.84306236513985289</v>
      </c>
      <c r="H858" s="4">
        <f t="shared" si="1032"/>
        <v>0.84373276872970615</v>
      </c>
      <c r="I858" s="4">
        <f t="shared" si="1032"/>
        <v>0.84485010804613003</v>
      </c>
      <c r="J858" s="4">
        <f t="shared" si="1032"/>
        <v>0.84596744736255269</v>
      </c>
      <c r="K858" s="4">
        <f t="shared" si="1032"/>
        <v>0.84708478667897713</v>
      </c>
      <c r="L858" s="4">
        <f t="shared" ref="L858:O858" si="1033">IFERROR(L820/L765,"-")</f>
        <v>0.84820212599539913</v>
      </c>
      <c r="M858" s="4">
        <f t="shared" si="1033"/>
        <v>0.84931946531182312</v>
      </c>
      <c r="N858" s="4">
        <f t="shared" si="1033"/>
        <v>0.84931946531182423</v>
      </c>
      <c r="O858" s="4">
        <f t="shared" si="1033"/>
        <v>0.8493194653118229</v>
      </c>
      <c r="P858" s="4">
        <f t="shared" ref="P858:Q860" si="1034">IFERROR(P820/P765,"-")</f>
        <v>0.84931946531182312</v>
      </c>
      <c r="Q858" s="4">
        <f t="shared" si="1034"/>
        <v>0.84931946531182234</v>
      </c>
      <c r="S858" s="3"/>
    </row>
    <row r="859" spans="2:19" x14ac:dyDescent="0.5">
      <c r="B859" s="5" t="str">
        <f t="shared" ref="B859:B881" si="1035">B858</f>
        <v>SPS1</v>
      </c>
      <c r="C859" s="5" t="str">
        <f t="shared" ref="C859:C881" si="1036">C858</f>
        <v>CH</v>
      </c>
      <c r="D859" t="s">
        <v>2070</v>
      </c>
      <c r="E859" t="s">
        <v>240</v>
      </c>
      <c r="F859" s="4">
        <f t="shared" ref="F859:K859" si="1037">IFERROR(F821/F766,"-")</f>
        <v>3.080980182251325</v>
      </c>
      <c r="G859" s="4">
        <f t="shared" si="1037"/>
        <v>3.1055374774069118</v>
      </c>
      <c r="H859" s="4">
        <f t="shared" si="1037"/>
        <v>3.1423734201402875</v>
      </c>
      <c r="I859" s="4">
        <f t="shared" si="1037"/>
        <v>3.203766658029251</v>
      </c>
      <c r="J859" s="4">
        <f t="shared" si="1037"/>
        <v>3.2651598959182118</v>
      </c>
      <c r="K859" s="4">
        <f t="shared" si="1037"/>
        <v>3.326553133807169</v>
      </c>
      <c r="L859" s="4">
        <f t="shared" ref="L859:O859" si="1038">IFERROR(L821/L766,"-")</f>
        <v>3.3879463716961333</v>
      </c>
      <c r="M859" s="4">
        <f t="shared" si="1038"/>
        <v>3.4493396095850892</v>
      </c>
      <c r="N859" s="4">
        <f t="shared" si="1038"/>
        <v>3.449339609585091</v>
      </c>
      <c r="O859" s="4">
        <f t="shared" si="1038"/>
        <v>3.4493396095850888</v>
      </c>
      <c r="P859" s="4">
        <f t="shared" si="1034"/>
        <v>3.4493396095850914</v>
      </c>
      <c r="Q859" s="4">
        <f t="shared" si="1034"/>
        <v>3.4493396095850875</v>
      </c>
      <c r="S859" s="3"/>
    </row>
    <row r="860" spans="2:19" x14ac:dyDescent="0.5">
      <c r="B860" s="5" t="str">
        <f t="shared" si="1035"/>
        <v>SPS1</v>
      </c>
      <c r="C860" s="5" t="str">
        <f t="shared" si="1036"/>
        <v>CH</v>
      </c>
      <c r="D860" t="s">
        <v>2071</v>
      </c>
      <c r="E860" t="s">
        <v>240</v>
      </c>
      <c r="F860" s="4">
        <f t="shared" ref="F860:K860" si="1039">IFERROR(F822/F767,"-")</f>
        <v>1</v>
      </c>
      <c r="G860" s="4">
        <f t="shared" si="1039"/>
        <v>0.99999997961447307</v>
      </c>
      <c r="H860" s="4">
        <f t="shared" si="1039"/>
        <v>0.99999998026729986</v>
      </c>
      <c r="I860" s="4">
        <f t="shared" si="1039"/>
        <v>1.0000015905857826</v>
      </c>
      <c r="J860" s="4">
        <f t="shared" si="1039"/>
        <v>1.0000036068515228</v>
      </c>
      <c r="K860" s="4">
        <f t="shared" si="1039"/>
        <v>1.0000045310402808</v>
      </c>
      <c r="L860" s="4">
        <f t="shared" ref="L860:O860" si="1040">IFERROR(L822/L767,"-")</f>
        <v>1.0000067686077476</v>
      </c>
      <c r="M860" s="4">
        <f t="shared" si="1040"/>
        <v>1.0000132828988824</v>
      </c>
      <c r="N860" s="4">
        <f t="shared" si="1040"/>
        <v>1.0000104172680691</v>
      </c>
      <c r="O860" s="4">
        <f t="shared" si="1040"/>
        <v>1.0000158512717066</v>
      </c>
      <c r="P860" s="4">
        <f t="shared" si="1034"/>
        <v>1.0000160368335334</v>
      </c>
      <c r="Q860" s="4">
        <f t="shared" si="1034"/>
        <v>1.0000310589313703</v>
      </c>
      <c r="S860" s="3"/>
    </row>
    <row r="861" spans="2:19" x14ac:dyDescent="0.5">
      <c r="B861" s="5" t="str">
        <f t="shared" si="1035"/>
        <v>SPS1</v>
      </c>
      <c r="C861" s="5" t="str">
        <f t="shared" si="1036"/>
        <v>CH</v>
      </c>
      <c r="D861" t="s">
        <v>2072</v>
      </c>
      <c r="E861" t="s">
        <v>240</v>
      </c>
      <c r="F861" s="4">
        <f>IFERROR(F824/F769,"-")</f>
        <v>0.77746213224363592</v>
      </c>
      <c r="G861" s="4">
        <f t="shared" ref="G861:K862" si="1041">IFERROR(G824/G769,"-")</f>
        <v>0.77871988564932348</v>
      </c>
      <c r="H861" s="4">
        <f t="shared" si="1041"/>
        <v>0.780606515757856</v>
      </c>
      <c r="I861" s="4">
        <f t="shared" si="1041"/>
        <v>0.78375089927207731</v>
      </c>
      <c r="J861" s="4">
        <f t="shared" si="1041"/>
        <v>0.78689528278629728</v>
      </c>
      <c r="K861" s="4">
        <f t="shared" si="1041"/>
        <v>0.79003966630051881</v>
      </c>
      <c r="L861" s="4">
        <f t="shared" ref="L861:O861" si="1042">IFERROR(L824/L769,"-")</f>
        <v>0.79318404981474011</v>
      </c>
      <c r="M861" s="4">
        <f t="shared" si="1042"/>
        <v>0.79632843332896153</v>
      </c>
      <c r="N861" s="4">
        <f t="shared" si="1042"/>
        <v>0.79632843332896175</v>
      </c>
      <c r="O861" s="4">
        <f t="shared" si="1042"/>
        <v>0.79632843332896086</v>
      </c>
      <c r="P861" s="4">
        <f>IFERROR(P824/P769,"-")</f>
        <v>0.79632843332896097</v>
      </c>
      <c r="Q861" s="4">
        <f>IFERROR(Q824/Q769,"-")</f>
        <v>0.79632843332896075</v>
      </c>
      <c r="S861" s="3"/>
    </row>
    <row r="862" spans="2:19" x14ac:dyDescent="0.5">
      <c r="B862" s="5" t="str">
        <f t="shared" si="1035"/>
        <v>SPS1</v>
      </c>
      <c r="C862" s="5" t="str">
        <f t="shared" si="1036"/>
        <v>CH</v>
      </c>
      <c r="D862" t="s">
        <v>2073</v>
      </c>
      <c r="E862" t="s">
        <v>240</v>
      </c>
      <c r="F862" s="4">
        <f>IFERROR(F825/F770,"-")</f>
        <v>0.67612499999999998</v>
      </c>
      <c r="G862" s="4">
        <f t="shared" si="1041"/>
        <v>0.67904999999999971</v>
      </c>
      <c r="H862" s="4">
        <f t="shared" si="1041"/>
        <v>0.68343749999999981</v>
      </c>
      <c r="I862" s="4">
        <f t="shared" si="1041"/>
        <v>0.69074999999999998</v>
      </c>
      <c r="J862" s="4">
        <f t="shared" si="1041"/>
        <v>0.69806249999999936</v>
      </c>
      <c r="K862" s="4">
        <f t="shared" si="1041"/>
        <v>0.70537500000000031</v>
      </c>
      <c r="L862" s="4">
        <f t="shared" ref="L862:O862" si="1043">IFERROR(L825/L770,"-")</f>
        <v>0.71268750000000081</v>
      </c>
      <c r="M862" s="4" t="str">
        <f t="shared" si="1043"/>
        <v>-</v>
      </c>
      <c r="N862" s="4" t="str">
        <f t="shared" si="1043"/>
        <v>-</v>
      </c>
      <c r="O862" s="4" t="str">
        <f t="shared" si="1043"/>
        <v>-</v>
      </c>
      <c r="P862" s="4" t="str">
        <f>IFERROR(P825/P770,"-")</f>
        <v>-</v>
      </c>
      <c r="Q862" s="4" t="str">
        <f>IFERROR(Q825/Q770,"-")</f>
        <v>-</v>
      </c>
      <c r="S862" s="3"/>
    </row>
    <row r="863" spans="2:19" x14ac:dyDescent="0.5">
      <c r="B863" s="5" t="str">
        <f t="shared" si="1035"/>
        <v>SPS1</v>
      </c>
      <c r="C863" s="5" t="str">
        <f t="shared" si="1036"/>
        <v>CH</v>
      </c>
      <c r="D863" t="s">
        <v>2074</v>
      </c>
      <c r="E863" t="s">
        <v>240</v>
      </c>
      <c r="F863" s="4">
        <f>IFERROR(F827/F779,"-")</f>
        <v>0.80732920630883209</v>
      </c>
      <c r="G863" s="4">
        <f t="shared" ref="G863:K865" si="1044">IFERROR(G827/G779,"-")</f>
        <v>0.80884786044238099</v>
      </c>
      <c r="H863" s="4">
        <f t="shared" si="1044"/>
        <v>0.8088449179432573</v>
      </c>
      <c r="I863" s="4">
        <f t="shared" si="1044"/>
        <v>0.80939852113619193</v>
      </c>
      <c r="J863" s="4">
        <f t="shared" si="1044"/>
        <v>0.81087400501228812</v>
      </c>
      <c r="K863" s="4">
        <f t="shared" si="1044"/>
        <v>0.86661410286396612</v>
      </c>
      <c r="L863" s="4">
        <f t="shared" ref="L863:O863" si="1045">IFERROR(L827/L779,"-")</f>
        <v>0.87590178381225203</v>
      </c>
      <c r="M863" s="4">
        <f t="shared" si="1045"/>
        <v>0.88922294875741892</v>
      </c>
      <c r="N863" s="4">
        <f t="shared" si="1045"/>
        <v>0.81440707123674327</v>
      </c>
      <c r="O863" s="4">
        <f t="shared" si="1045"/>
        <v>0.73645030977665582</v>
      </c>
      <c r="P863" s="4">
        <f t="shared" ref="P863:Q865" si="1046">IFERROR(P827/P779,"-")</f>
        <v>0.72955851480531708</v>
      </c>
      <c r="Q863" s="4">
        <f t="shared" si="1046"/>
        <v>0.71790695648445702</v>
      </c>
      <c r="S863" s="3"/>
    </row>
    <row r="864" spans="2:19" x14ac:dyDescent="0.5">
      <c r="B864" s="5" t="str">
        <f t="shared" si="1035"/>
        <v>SPS1</v>
      </c>
      <c r="C864" s="5" t="str">
        <f t="shared" si="1036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1044"/>
        <v>0</v>
      </c>
      <c r="H864" s="4">
        <f t="shared" si="1044"/>
        <v>0.45621095090630515</v>
      </c>
      <c r="I864" s="4">
        <f t="shared" si="1044"/>
        <v>1.434668376733081</v>
      </c>
      <c r="J864" s="4">
        <f t="shared" si="1044"/>
        <v>1.7798812061911864</v>
      </c>
      <c r="K864" s="4">
        <f t="shared" si="1044"/>
        <v>0.1401219821945483</v>
      </c>
      <c r="L864" s="4">
        <f t="shared" ref="L864:O864" si="1047">IFERROR(L828/L780,"-")</f>
        <v>0.1403752940248032</v>
      </c>
      <c r="M864" s="4">
        <f t="shared" si="1047"/>
        <v>0.14040543377772308</v>
      </c>
      <c r="N864" s="4" t="str">
        <f t="shared" si="1047"/>
        <v>-</v>
      </c>
      <c r="O864" s="4" t="str">
        <f t="shared" si="1047"/>
        <v>-</v>
      </c>
      <c r="P864" s="4" t="str">
        <f t="shared" si="1046"/>
        <v>-</v>
      </c>
      <c r="Q864" s="4" t="str">
        <f t="shared" si="1046"/>
        <v>-</v>
      </c>
      <c r="S864" s="3"/>
    </row>
    <row r="865" spans="2:19" x14ac:dyDescent="0.5">
      <c r="B865" s="5" t="str">
        <f t="shared" si="1035"/>
        <v>SPS1</v>
      </c>
      <c r="C865" s="5" t="str">
        <f t="shared" si="1036"/>
        <v>CH</v>
      </c>
      <c r="D865" t="s">
        <v>2076</v>
      </c>
      <c r="E865" t="s">
        <v>240</v>
      </c>
      <c r="F865" s="4">
        <f>IFERROR(F829/F781,"-")</f>
        <v>0.57593013827482897</v>
      </c>
      <c r="G865" s="4">
        <f t="shared" si="1044"/>
        <v>0.58692486435890034</v>
      </c>
      <c r="H865" s="4">
        <f t="shared" si="1044"/>
        <v>0.63457109288022573</v>
      </c>
      <c r="I865" s="4">
        <f t="shared" si="1044"/>
        <v>0.67658835857955901</v>
      </c>
      <c r="J865" s="4">
        <f t="shared" si="1044"/>
        <v>0.68980074823560933</v>
      </c>
      <c r="K865" s="4">
        <f t="shared" si="1044"/>
        <v>0.55069849411294647</v>
      </c>
      <c r="L865" s="4">
        <f t="shared" ref="L865:O865" si="1048">IFERROR(L829/L781,"-")</f>
        <v>0.55557496749462199</v>
      </c>
      <c r="M865" s="4">
        <f t="shared" si="1048"/>
        <v>0.55910680102029153</v>
      </c>
      <c r="N865" s="4">
        <f t="shared" si="1048"/>
        <v>0.72000000000000008</v>
      </c>
      <c r="O865" s="4">
        <f t="shared" si="1048"/>
        <v>0.72</v>
      </c>
      <c r="P865" s="4">
        <f t="shared" si="1046"/>
        <v>0.72</v>
      </c>
      <c r="Q865" s="4">
        <f t="shared" si="1046"/>
        <v>0.71999999999999897</v>
      </c>
      <c r="S865" s="3"/>
    </row>
    <row r="866" spans="2:19" x14ac:dyDescent="0.5">
      <c r="B866" s="5" t="str">
        <f t="shared" si="1035"/>
        <v>SPS1</v>
      </c>
      <c r="C866" s="5" t="str">
        <f t="shared" si="1036"/>
        <v>CH</v>
      </c>
      <c r="D866" t="s">
        <v>2077</v>
      </c>
      <c r="E866" t="s">
        <v>240</v>
      </c>
      <c r="F866" s="4">
        <f>IFERROR(F831/F790,"-")</f>
        <v>0.66500000000000081</v>
      </c>
      <c r="G866" s="4">
        <f t="shared" ref="G866:K866" si="1049">IFERROR(G831/G790,"-")</f>
        <v>0.66600000000000015</v>
      </c>
      <c r="H866" s="4">
        <f t="shared" si="1049"/>
        <v>0.66749999999999976</v>
      </c>
      <c r="I866" s="4">
        <f t="shared" si="1049"/>
        <v>0.67000000000000082</v>
      </c>
      <c r="J866" s="4">
        <f t="shared" si="1049"/>
        <v>0.67250000000000099</v>
      </c>
      <c r="K866" s="4">
        <f t="shared" si="1049"/>
        <v>0.67499999999999993</v>
      </c>
      <c r="L866" s="4">
        <f t="shared" ref="L866:O866" si="1050">IFERROR(L831/L790,"-")</f>
        <v>0.67749999999999966</v>
      </c>
      <c r="M866" s="4">
        <f t="shared" si="1050"/>
        <v>0.6799999999999996</v>
      </c>
      <c r="N866" s="4">
        <f t="shared" si="1050"/>
        <v>0.68000000000000083</v>
      </c>
      <c r="O866" s="4">
        <f t="shared" si="1050"/>
        <v>0.68000000000000016</v>
      </c>
      <c r="P866" s="4">
        <f>IFERROR(P831/P790,"-")</f>
        <v>0.68000000000000049</v>
      </c>
      <c r="Q866" s="4">
        <f>IFERROR(Q831/Q790,"-")</f>
        <v>0.68000000000000071</v>
      </c>
      <c r="S866" s="3"/>
    </row>
    <row r="867" spans="2:19" x14ac:dyDescent="0.5">
      <c r="B867" s="5" t="str">
        <f t="shared" si="1035"/>
        <v>SPS1</v>
      </c>
      <c r="C867" s="5" t="str">
        <f t="shared" si="1036"/>
        <v>CH</v>
      </c>
      <c r="D867" t="s">
        <v>2078</v>
      </c>
      <c r="E867" t="s">
        <v>240</v>
      </c>
      <c r="F867" s="4">
        <f>IFERROR(F834/F793,"-")</f>
        <v>1.2071694001025364</v>
      </c>
      <c r="G867" s="4">
        <f t="shared" ref="G867:K867" si="1051">IFERROR(G834/G793,"-")</f>
        <v>0.95175702412843544</v>
      </c>
      <c r="H867" s="4">
        <f t="shared" si="1051"/>
        <v>0.93749151918491536</v>
      </c>
      <c r="I867" s="4">
        <f t="shared" si="1051"/>
        <v>1.00644856009825</v>
      </c>
      <c r="J867" s="4">
        <f t="shared" si="1051"/>
        <v>0.93788518234938645</v>
      </c>
      <c r="K867" s="4">
        <f t="shared" si="1051"/>
        <v>0.94081552972611326</v>
      </c>
      <c r="L867" s="4">
        <f t="shared" ref="L867:O867" si="1052">IFERROR(L834/L793,"-")</f>
        <v>0.94328165824675625</v>
      </c>
      <c r="M867" s="4">
        <f t="shared" si="1052"/>
        <v>0.94715820131538175</v>
      </c>
      <c r="N867" s="4">
        <f t="shared" si="1052"/>
        <v>0.94779850239983676</v>
      </c>
      <c r="O867" s="4">
        <f t="shared" si="1052"/>
        <v>0.94626449233037302</v>
      </c>
      <c r="P867" s="4">
        <f t="shared" ref="P867:Q876" si="1053">IFERROR(P834/P793,"-")</f>
        <v>0.94593155259865735</v>
      </c>
      <c r="Q867" s="4">
        <f t="shared" si="1053"/>
        <v>0.94686244187066493</v>
      </c>
      <c r="S867" s="3"/>
    </row>
    <row r="868" spans="2:19" x14ac:dyDescent="0.5">
      <c r="B868" s="5" t="str">
        <f t="shared" si="1035"/>
        <v>SPS1</v>
      </c>
      <c r="C868" s="5" t="str">
        <f t="shared" si="1036"/>
        <v>CH</v>
      </c>
      <c r="D868" t="s">
        <v>2079</v>
      </c>
      <c r="E868" t="s">
        <v>240</v>
      </c>
      <c r="F868" s="4">
        <f t="shared" ref="F868:K876" si="1054">IFERROR(F835/F794,"-")</f>
        <v>1.2071694001025364</v>
      </c>
      <c r="G868" s="4">
        <f t="shared" si="1054"/>
        <v>0.95175702412843532</v>
      </c>
      <c r="H868" s="4">
        <f t="shared" si="1054"/>
        <v>0.93749151918491547</v>
      </c>
      <c r="I868" s="4">
        <f t="shared" si="1054"/>
        <v>1.0064485600982502</v>
      </c>
      <c r="J868" s="4">
        <f t="shared" si="1054"/>
        <v>0.93788518234938645</v>
      </c>
      <c r="K868" s="4">
        <f t="shared" si="1054"/>
        <v>0.94081552972611326</v>
      </c>
      <c r="L868" s="4">
        <f t="shared" ref="L868:O868" si="1055">IFERROR(L835/L794,"-")</f>
        <v>0.94328165824675625</v>
      </c>
      <c r="M868" s="4">
        <f t="shared" si="1055"/>
        <v>0.94715820131538164</v>
      </c>
      <c r="N868" s="4">
        <f t="shared" si="1055"/>
        <v>0.94779850239983676</v>
      </c>
      <c r="O868" s="4">
        <f t="shared" si="1055"/>
        <v>0.94626449233037324</v>
      </c>
      <c r="P868" s="4">
        <f t="shared" si="1053"/>
        <v>0.94593155259865747</v>
      </c>
      <c r="Q868" s="4">
        <f t="shared" si="1053"/>
        <v>0.94686244187066482</v>
      </c>
      <c r="S868" s="3"/>
    </row>
    <row r="869" spans="2:19" x14ac:dyDescent="0.5">
      <c r="B869" s="5" t="str">
        <f t="shared" si="1035"/>
        <v>SPS1</v>
      </c>
      <c r="C869" s="5" t="str">
        <f t="shared" si="1036"/>
        <v>CH</v>
      </c>
      <c r="D869" t="s">
        <v>2080</v>
      </c>
      <c r="E869" t="s">
        <v>240</v>
      </c>
      <c r="F869" s="4" t="str">
        <f t="shared" si="1054"/>
        <v>-</v>
      </c>
      <c r="G869" s="4" t="str">
        <f t="shared" si="1054"/>
        <v>-</v>
      </c>
      <c r="H869" s="4" t="str">
        <f t="shared" si="1054"/>
        <v>-</v>
      </c>
      <c r="I869" s="4" t="str">
        <f t="shared" si="1054"/>
        <v>-</v>
      </c>
      <c r="J869" s="4" t="str">
        <f t="shared" si="1054"/>
        <v>-</v>
      </c>
      <c r="K869" s="4" t="str">
        <f t="shared" si="1054"/>
        <v>-</v>
      </c>
      <c r="L869" s="4" t="str">
        <f t="shared" ref="L869:O869" si="1056">IFERROR(L836/L795,"-")</f>
        <v>-</v>
      </c>
      <c r="M869" s="4" t="str">
        <f t="shared" si="1056"/>
        <v>-</v>
      </c>
      <c r="N869" s="4" t="str">
        <f t="shared" si="1056"/>
        <v>-</v>
      </c>
      <c r="O869" s="4" t="str">
        <f t="shared" si="1056"/>
        <v>-</v>
      </c>
      <c r="P869" s="4" t="str">
        <f t="shared" si="1053"/>
        <v>-</v>
      </c>
      <c r="Q869" s="4" t="str">
        <f t="shared" si="1053"/>
        <v>-</v>
      </c>
      <c r="S869" s="3"/>
    </row>
    <row r="870" spans="2:19" x14ac:dyDescent="0.5">
      <c r="B870" s="5" t="str">
        <f t="shared" si="1035"/>
        <v>SPS1</v>
      </c>
      <c r="C870" s="5" t="str">
        <f t="shared" si="1036"/>
        <v>CH</v>
      </c>
      <c r="D870" t="s">
        <v>2081</v>
      </c>
      <c r="E870" t="s">
        <v>240</v>
      </c>
      <c r="F870" s="4" t="str">
        <f t="shared" si="1054"/>
        <v>-</v>
      </c>
      <c r="G870" s="4" t="str">
        <f t="shared" si="1054"/>
        <v>-</v>
      </c>
      <c r="H870" s="4" t="str">
        <f t="shared" si="1054"/>
        <v>-</v>
      </c>
      <c r="I870" s="4">
        <f t="shared" si="1054"/>
        <v>1.00644856009825</v>
      </c>
      <c r="J870" s="4">
        <f t="shared" si="1054"/>
        <v>0.93788518234938645</v>
      </c>
      <c r="K870" s="4">
        <f t="shared" si="1054"/>
        <v>0.94081552972611349</v>
      </c>
      <c r="L870" s="4">
        <f t="shared" ref="L870:O870" si="1057">IFERROR(L837/L796,"-")</f>
        <v>0.94328165824675636</v>
      </c>
      <c r="M870" s="4">
        <f t="shared" si="1057"/>
        <v>0.94715820131538164</v>
      </c>
      <c r="N870" s="4">
        <f t="shared" si="1057"/>
        <v>0.94779850239983676</v>
      </c>
      <c r="O870" s="4">
        <f t="shared" si="1057"/>
        <v>0.94626449233037313</v>
      </c>
      <c r="P870" s="4">
        <f t="shared" si="1053"/>
        <v>0.94593155259865747</v>
      </c>
      <c r="Q870" s="4">
        <f t="shared" si="1053"/>
        <v>0.94686244187066482</v>
      </c>
      <c r="S870" s="3"/>
    </row>
    <row r="871" spans="2:19" x14ac:dyDescent="0.5">
      <c r="B871" s="5" t="str">
        <f t="shared" si="1035"/>
        <v>SPS1</v>
      </c>
      <c r="C871" s="5" t="str">
        <f t="shared" si="1036"/>
        <v>CH</v>
      </c>
      <c r="D871" t="s">
        <v>2082</v>
      </c>
      <c r="E871" t="s">
        <v>240</v>
      </c>
      <c r="F871" s="4">
        <f t="shared" si="1054"/>
        <v>1.2071694001025364</v>
      </c>
      <c r="G871" s="4">
        <f t="shared" si="1054"/>
        <v>0.95175702412843544</v>
      </c>
      <c r="H871" s="4">
        <f t="shared" si="1054"/>
        <v>0.93749151918491536</v>
      </c>
      <c r="I871" s="4">
        <f t="shared" si="1054"/>
        <v>1.00644856009825</v>
      </c>
      <c r="J871" s="4">
        <f t="shared" si="1054"/>
        <v>0.93788518234938645</v>
      </c>
      <c r="K871" s="4">
        <f t="shared" si="1054"/>
        <v>0.94081552972611326</v>
      </c>
      <c r="L871" s="4">
        <f t="shared" ref="L871:O871" si="1058">IFERROR(L838/L797,"-")</f>
        <v>0.94328165824675625</v>
      </c>
      <c r="M871" s="4">
        <f t="shared" si="1058"/>
        <v>0.94715820131538175</v>
      </c>
      <c r="N871" s="4">
        <f t="shared" si="1058"/>
        <v>0.94779850239983665</v>
      </c>
      <c r="O871" s="4">
        <f t="shared" si="1058"/>
        <v>0.94626449233037302</v>
      </c>
      <c r="P871" s="4">
        <f t="shared" si="1053"/>
        <v>0.94593155259865735</v>
      </c>
      <c r="Q871" s="4">
        <f t="shared" si="1053"/>
        <v>0.94686244187066482</v>
      </c>
      <c r="S871" s="3"/>
    </row>
    <row r="872" spans="2:19" x14ac:dyDescent="0.5">
      <c r="B872" s="5" t="str">
        <f t="shared" si="1035"/>
        <v>SPS1</v>
      </c>
      <c r="C872" s="5" t="str">
        <f t="shared" si="1036"/>
        <v>CH</v>
      </c>
      <c r="D872" t="s">
        <v>2083</v>
      </c>
      <c r="E872" t="s">
        <v>240</v>
      </c>
      <c r="F872" s="4" t="str">
        <f t="shared" si="1054"/>
        <v>-</v>
      </c>
      <c r="G872" s="4" t="str">
        <f t="shared" si="1054"/>
        <v>-</v>
      </c>
      <c r="H872" s="4" t="str">
        <f t="shared" si="1054"/>
        <v>-</v>
      </c>
      <c r="I872" s="4" t="str">
        <f t="shared" si="1054"/>
        <v>-</v>
      </c>
      <c r="J872" s="4" t="str">
        <f t="shared" si="1054"/>
        <v>-</v>
      </c>
      <c r="K872" s="4" t="str">
        <f t="shared" si="1054"/>
        <v>-</v>
      </c>
      <c r="L872" s="4" t="str">
        <f t="shared" ref="L872:O872" si="1059">IFERROR(L839/L798,"-")</f>
        <v>-</v>
      </c>
      <c r="M872" s="4" t="str">
        <f t="shared" si="1059"/>
        <v>-</v>
      </c>
      <c r="N872" s="4" t="str">
        <f t="shared" si="1059"/>
        <v>-</v>
      </c>
      <c r="O872" s="4" t="str">
        <f t="shared" si="1059"/>
        <v>-</v>
      </c>
      <c r="P872" s="4" t="str">
        <f t="shared" si="1053"/>
        <v>-</v>
      </c>
      <c r="Q872" s="4" t="str">
        <f t="shared" si="1053"/>
        <v>-</v>
      </c>
      <c r="S872" s="3"/>
    </row>
    <row r="873" spans="2:19" x14ac:dyDescent="0.5">
      <c r="B873" s="5" t="str">
        <f t="shared" si="1035"/>
        <v>SPS1</v>
      </c>
      <c r="C873" s="5" t="str">
        <f t="shared" si="1036"/>
        <v>CH</v>
      </c>
      <c r="D873" t="s">
        <v>2084</v>
      </c>
      <c r="E873" t="s">
        <v>240</v>
      </c>
      <c r="F873" s="4">
        <f t="shared" si="1054"/>
        <v>1.2071694001025364</v>
      </c>
      <c r="G873" s="4">
        <f t="shared" si="1054"/>
        <v>0.95175702412843532</v>
      </c>
      <c r="H873" s="4">
        <f t="shared" si="1054"/>
        <v>0.93749151918491536</v>
      </c>
      <c r="I873" s="4">
        <f t="shared" si="1054"/>
        <v>1.00644856009825</v>
      </c>
      <c r="J873" s="4">
        <f t="shared" si="1054"/>
        <v>0.93788518234938645</v>
      </c>
      <c r="K873" s="4">
        <f t="shared" si="1054"/>
        <v>0.94081552972611338</v>
      </c>
      <c r="L873" s="4">
        <f t="shared" ref="L873:O873" si="1060">IFERROR(L840/L799,"-")</f>
        <v>0.94328165824675636</v>
      </c>
      <c r="M873" s="4">
        <f t="shared" si="1060"/>
        <v>0.94715820131538175</v>
      </c>
      <c r="N873" s="4">
        <f t="shared" si="1060"/>
        <v>0.94779850239983665</v>
      </c>
      <c r="O873" s="4">
        <f t="shared" si="1060"/>
        <v>0.94626449233037313</v>
      </c>
      <c r="P873" s="4">
        <f t="shared" si="1053"/>
        <v>0.94593155259865735</v>
      </c>
      <c r="Q873" s="4">
        <f t="shared" si="1053"/>
        <v>0.94686244187066482</v>
      </c>
      <c r="S873" s="3"/>
    </row>
    <row r="874" spans="2:19" x14ac:dyDescent="0.5">
      <c r="B874" s="5" t="str">
        <f t="shared" si="1035"/>
        <v>SPS1</v>
      </c>
      <c r="C874" s="5" t="str">
        <f t="shared" si="1036"/>
        <v>CH</v>
      </c>
      <c r="D874" t="s">
        <v>2085</v>
      </c>
      <c r="E874" t="s">
        <v>240</v>
      </c>
      <c r="F874" s="4" t="str">
        <f t="shared" si="1054"/>
        <v>-</v>
      </c>
      <c r="G874" s="4" t="str">
        <f t="shared" si="1054"/>
        <v>-</v>
      </c>
      <c r="H874" s="4" t="str">
        <f t="shared" si="1054"/>
        <v>-</v>
      </c>
      <c r="I874" s="4" t="str">
        <f t="shared" si="1054"/>
        <v>-</v>
      </c>
      <c r="J874" s="4" t="str">
        <f t="shared" si="1054"/>
        <v>-</v>
      </c>
      <c r="K874" s="4" t="str">
        <f t="shared" si="1054"/>
        <v>-</v>
      </c>
      <c r="L874" s="4" t="str">
        <f t="shared" ref="L874:O874" si="1061">IFERROR(L841/L800,"-")</f>
        <v>-</v>
      </c>
      <c r="M874" s="4" t="str">
        <f t="shared" si="1061"/>
        <v>-</v>
      </c>
      <c r="N874" s="4" t="str">
        <f t="shared" si="1061"/>
        <v>-</v>
      </c>
      <c r="O874" s="4" t="str">
        <f t="shared" si="1061"/>
        <v>-</v>
      </c>
      <c r="P874" s="4" t="str">
        <f t="shared" si="1053"/>
        <v>-</v>
      </c>
      <c r="Q874" s="4" t="str">
        <f t="shared" si="1053"/>
        <v>-</v>
      </c>
      <c r="S874" s="3"/>
    </row>
    <row r="875" spans="2:19" x14ac:dyDescent="0.5">
      <c r="B875" s="5" t="str">
        <f t="shared" si="1035"/>
        <v>SPS1</v>
      </c>
      <c r="C875" s="5" t="str">
        <f t="shared" si="1036"/>
        <v>CH</v>
      </c>
      <c r="D875" t="s">
        <v>2086</v>
      </c>
      <c r="E875" t="s">
        <v>240</v>
      </c>
      <c r="F875" s="4" t="str">
        <f t="shared" si="1054"/>
        <v>-</v>
      </c>
      <c r="G875" s="4" t="str">
        <f t="shared" si="1054"/>
        <v>-</v>
      </c>
      <c r="H875" s="4" t="str">
        <f t="shared" si="1054"/>
        <v>-</v>
      </c>
      <c r="I875" s="4">
        <f t="shared" si="1054"/>
        <v>1.00644856009825</v>
      </c>
      <c r="J875" s="4">
        <f t="shared" si="1054"/>
        <v>0.93788518234938634</v>
      </c>
      <c r="K875" s="4">
        <f t="shared" si="1054"/>
        <v>0.94081552972611326</v>
      </c>
      <c r="L875" s="4">
        <f t="shared" ref="L875:O875" si="1062">IFERROR(L842/L801,"-")</f>
        <v>0.94328165824675636</v>
      </c>
      <c r="M875" s="4">
        <f t="shared" si="1062"/>
        <v>0.94715820131538175</v>
      </c>
      <c r="N875" s="4">
        <f t="shared" si="1062"/>
        <v>0.94779850239983687</v>
      </c>
      <c r="O875" s="4">
        <f t="shared" si="1062"/>
        <v>0.94626449233037302</v>
      </c>
      <c r="P875" s="4">
        <f t="shared" si="1053"/>
        <v>0.94593155259865747</v>
      </c>
      <c r="Q875" s="4">
        <f t="shared" si="1053"/>
        <v>0.94686244187066482</v>
      </c>
      <c r="S875" s="3"/>
    </row>
    <row r="876" spans="2:19" x14ac:dyDescent="0.5">
      <c r="B876" s="5" t="str">
        <f t="shared" si="1035"/>
        <v>SPS1</v>
      </c>
      <c r="C876" s="5" t="str">
        <f t="shared" si="1036"/>
        <v>CH</v>
      </c>
      <c r="D876" t="s">
        <v>2087</v>
      </c>
      <c r="E876" t="s">
        <v>240</v>
      </c>
      <c r="F876" s="4">
        <f t="shared" si="1054"/>
        <v>0.92447626236575164</v>
      </c>
      <c r="G876" s="4">
        <f t="shared" si="1054"/>
        <v>0.92645636412827204</v>
      </c>
      <c r="H876" s="4">
        <f t="shared" si="1054"/>
        <v>0.92942651677205446</v>
      </c>
      <c r="I876" s="4">
        <f t="shared" si="1054"/>
        <v>0.93437677117835849</v>
      </c>
      <c r="J876" s="4">
        <f t="shared" si="1054"/>
        <v>0.93932702558466197</v>
      </c>
      <c r="K876" s="4">
        <f>IFERROR(K843/K802,"-")</f>
        <v>0.94427727999096489</v>
      </c>
      <c r="L876" s="4">
        <f t="shared" ref="L876:O876" si="1063">IFERROR(L843/L802,"-")</f>
        <v>0.94713863999548298</v>
      </c>
      <c r="M876" s="4">
        <f t="shared" si="1063"/>
        <v>0.95000000000000051</v>
      </c>
      <c r="N876" s="4">
        <f t="shared" si="1063"/>
        <v>0.95000000000000007</v>
      </c>
      <c r="O876" s="4">
        <f t="shared" si="1063"/>
        <v>0.94999999999999951</v>
      </c>
      <c r="P876" s="4">
        <f t="shared" si="1053"/>
        <v>0.95000000000000007</v>
      </c>
      <c r="Q876" s="4">
        <f t="shared" si="1053"/>
        <v>0.94999999999999929</v>
      </c>
      <c r="S876" s="3"/>
    </row>
    <row r="877" spans="2:19" x14ac:dyDescent="0.5">
      <c r="B877" s="5" t="str">
        <f t="shared" si="1035"/>
        <v>SPS1</v>
      </c>
      <c r="C877" s="5" t="str">
        <f t="shared" si="1036"/>
        <v>CH</v>
      </c>
      <c r="D877" t="s">
        <v>2088</v>
      </c>
      <c r="E877" t="s">
        <v>240</v>
      </c>
      <c r="F877" s="4">
        <f>IFERROR(F845/F804,"-")</f>
        <v>0.59</v>
      </c>
      <c r="G877" s="4">
        <f t="shared" ref="G877:K877" si="1064">IFERROR(G845/G804,"-")</f>
        <v>0.59066666666666656</v>
      </c>
      <c r="H877" s="4">
        <f t="shared" si="1064"/>
        <v>0.59166666666666745</v>
      </c>
      <c r="I877" s="4">
        <f t="shared" si="1064"/>
        <v>0.59333333333333282</v>
      </c>
      <c r="J877" s="4">
        <f t="shared" si="1064"/>
        <v>0.59499999999999942</v>
      </c>
      <c r="K877" s="4">
        <f t="shared" si="1064"/>
        <v>0.59666666666666746</v>
      </c>
      <c r="L877" s="4">
        <f t="shared" ref="L877:O877" si="1065">IFERROR(L845/L804,"-")</f>
        <v>0.59833333333333316</v>
      </c>
      <c r="M877" s="4">
        <f t="shared" si="1065"/>
        <v>0.59999999999999931</v>
      </c>
      <c r="N877" s="4">
        <f t="shared" si="1065"/>
        <v>0.60000000000000064</v>
      </c>
      <c r="O877" s="4">
        <f t="shared" si="1065"/>
        <v>0.59999999999999976</v>
      </c>
      <c r="P877" s="4">
        <f>IFERROR(P845/P804,"-")</f>
        <v>0.59999999999999976</v>
      </c>
      <c r="Q877" s="4">
        <f>IFERROR(Q845/Q804,"-")</f>
        <v>0.59999999999999976</v>
      </c>
      <c r="S877" s="3"/>
    </row>
    <row r="878" spans="2:19" x14ac:dyDescent="0.5">
      <c r="B878" s="5" t="str">
        <f t="shared" si="1035"/>
        <v>SPS1</v>
      </c>
      <c r="C878" s="5" t="str">
        <f t="shared" si="1036"/>
        <v>CH</v>
      </c>
      <c r="D878" t="s">
        <v>2089</v>
      </c>
      <c r="E878" t="s">
        <v>240</v>
      </c>
      <c r="F878" s="4">
        <f>IFERROR(F847/F806,"-")</f>
        <v>0.73750000000000038</v>
      </c>
      <c r="G878" s="4">
        <f t="shared" ref="G878:K878" si="1066">IFERROR(G847/G806,"-")</f>
        <v>0.73833333333333451</v>
      </c>
      <c r="H878" s="4">
        <f t="shared" si="1066"/>
        <v>0.73958333333333404</v>
      </c>
      <c r="I878" s="4">
        <f t="shared" si="1066"/>
        <v>0.74166666666666659</v>
      </c>
      <c r="J878" s="4">
        <f t="shared" si="1066"/>
        <v>0.74375000000000024</v>
      </c>
      <c r="K878" s="4">
        <f t="shared" si="1066"/>
        <v>0.74583333333333268</v>
      </c>
      <c r="L878" s="4">
        <f t="shared" ref="L878:O878" si="1067">IFERROR(L847/L806,"-")</f>
        <v>0.74791666666666679</v>
      </c>
      <c r="M878" s="4">
        <f t="shared" si="1067"/>
        <v>0.74999999999999989</v>
      </c>
      <c r="N878" s="4">
        <f t="shared" si="1067"/>
        <v>0.74999999999999989</v>
      </c>
      <c r="O878" s="4">
        <f t="shared" si="1067"/>
        <v>0.75000000000000022</v>
      </c>
      <c r="P878" s="4">
        <f>IFERROR(P847/P806,"-")</f>
        <v>0.75000000000000044</v>
      </c>
      <c r="Q878" s="4">
        <f>IFERROR(Q847/Q806,"-")</f>
        <v>0.75000000000000033</v>
      </c>
      <c r="S878" s="3"/>
    </row>
    <row r="879" spans="2:19" x14ac:dyDescent="0.5">
      <c r="B879" s="5" t="str">
        <f t="shared" si="1035"/>
        <v>SPS1</v>
      </c>
      <c r="C879" s="5" t="str">
        <f t="shared" si="1036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68">IFERROR(G849/G808,"-")</f>
        <v>0.52800000000000014</v>
      </c>
      <c r="H879" s="4">
        <f t="shared" si="1068"/>
        <v>0.52799999999999969</v>
      </c>
      <c r="I879" s="4">
        <f t="shared" si="1068"/>
        <v>0.52800000000000036</v>
      </c>
      <c r="J879" s="4">
        <f t="shared" si="1068"/>
        <v>0.52800000000000002</v>
      </c>
      <c r="K879" s="4">
        <f t="shared" si="1068"/>
        <v>0.52799999999999925</v>
      </c>
      <c r="L879" s="4">
        <f t="shared" ref="L879:O879" si="1069">IFERROR(L849/L808,"-")</f>
        <v>0.53600000000000025</v>
      </c>
      <c r="M879" s="4">
        <f t="shared" si="1069"/>
        <v>0.54399999999999993</v>
      </c>
      <c r="N879" s="4">
        <f t="shared" si="1069"/>
        <v>0.54400000000000004</v>
      </c>
      <c r="O879" s="4">
        <f t="shared" si="1069"/>
        <v>0.54400000000000015</v>
      </c>
      <c r="P879" s="4">
        <f>IFERROR(P849/P808,"-")</f>
        <v>0.54400000000000004</v>
      </c>
      <c r="Q879" s="4">
        <f>IFERROR(Q849/Q808,"-")</f>
        <v>0.54399999999999937</v>
      </c>
      <c r="S879" s="3"/>
    </row>
    <row r="880" spans="2:19" x14ac:dyDescent="0.5">
      <c r="B880" s="5" t="str">
        <f t="shared" si="1035"/>
        <v>SPS1</v>
      </c>
      <c r="C880" s="5" t="str">
        <f t="shared" si="1036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70">IFERROR(G851/G812,"-")</f>
        <v>1</v>
      </c>
      <c r="H880" s="4">
        <f t="shared" si="1070"/>
        <v>1</v>
      </c>
      <c r="I880" s="4">
        <f t="shared" si="1070"/>
        <v>1</v>
      </c>
      <c r="J880" s="4">
        <f t="shared" si="1070"/>
        <v>1</v>
      </c>
      <c r="K880" s="4">
        <f t="shared" si="1070"/>
        <v>1</v>
      </c>
      <c r="L880" s="4">
        <f t="shared" ref="L880:O880" si="1071">IFERROR(L851/L812,"-")</f>
        <v>1</v>
      </c>
      <c r="M880" s="4">
        <f t="shared" si="1071"/>
        <v>1</v>
      </c>
      <c r="N880" s="4">
        <f t="shared" si="1071"/>
        <v>1</v>
      </c>
      <c r="O880" s="4">
        <f t="shared" si="1071"/>
        <v>1</v>
      </c>
      <c r="P880" s="4">
        <f>IFERROR(P851/P812,"-")</f>
        <v>1</v>
      </c>
      <c r="Q880" s="4">
        <f>IFERROR(Q851/Q812,"-")</f>
        <v>1</v>
      </c>
      <c r="S880" s="3"/>
    </row>
    <row r="881" spans="2:19" x14ac:dyDescent="0.5">
      <c r="B881" s="5" t="str">
        <f t="shared" si="1035"/>
        <v>SPS1</v>
      </c>
      <c r="C881" s="5" t="str">
        <f t="shared" si="1036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72">IFERROR(G853/G814,"-")</f>
        <v>-</v>
      </c>
      <c r="H881" s="4" t="str">
        <f t="shared" si="1072"/>
        <v>-</v>
      </c>
      <c r="I881" s="4">
        <f t="shared" si="1072"/>
        <v>0.16473623787373479</v>
      </c>
      <c r="J881" s="4">
        <f t="shared" si="1072"/>
        <v>0.24972074942357592</v>
      </c>
      <c r="K881" s="4">
        <f t="shared" si="1072"/>
        <v>0.20828513444721897</v>
      </c>
      <c r="L881" s="4">
        <f t="shared" ref="L881:O881" si="1073">IFERROR(L853/L814,"-")</f>
        <v>0.21931237728424874</v>
      </c>
      <c r="M881" s="4">
        <f t="shared" si="1073"/>
        <v>0.2936448795208359</v>
      </c>
      <c r="N881" s="4">
        <f t="shared" si="1073"/>
        <v>0.33585740564987998</v>
      </c>
      <c r="O881" s="4">
        <f t="shared" si="1073"/>
        <v>0.39785815759084775</v>
      </c>
      <c r="P881" s="4">
        <f>IFERROR(P853/P814,"-")</f>
        <v>0.37418939913203669</v>
      </c>
      <c r="Q881" s="4">
        <f>IFERROR(Q853/Q814,"-")</f>
        <v>0.3899632783078833</v>
      </c>
      <c r="S881" s="3"/>
    </row>
    <row r="882" spans="2:19" x14ac:dyDescent="0.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74">F883+F887+F894+F905+F913+F915+F917+F919+F923</f>
        <v>140.10117805079895</v>
      </c>
      <c r="G882" s="17">
        <f t="shared" si="1074"/>
        <v>139.66733501659985</v>
      </c>
      <c r="H882" s="17">
        <f t="shared" si="1074"/>
        <v>141.59393036190747</v>
      </c>
      <c r="I882" s="17">
        <f t="shared" si="1074"/>
        <v>139.70599541731025</v>
      </c>
      <c r="J882" s="17">
        <f t="shared" si="1074"/>
        <v>135.81773920247647</v>
      </c>
      <c r="K882" s="17">
        <f t="shared" si="1074"/>
        <v>132.491320296737</v>
      </c>
      <c r="L882" s="17">
        <f t="shared" ref="L882:O882" si="1075">L883+L887+L894+L905+L913+L915+L917+L919+L923</f>
        <v>128.13036446740895</v>
      </c>
      <c r="M882" s="17">
        <f t="shared" si="1075"/>
        <v>123.52773749176907</v>
      </c>
      <c r="N882" s="17">
        <f t="shared" si="1075"/>
        <v>122.88857024138389</v>
      </c>
      <c r="O882" s="17">
        <f t="shared" si="1075"/>
        <v>122.14708785771643</v>
      </c>
      <c r="P882" s="17">
        <f>P883+P887+P894+P905+P913+P915+P917+P919+P923</f>
        <v>121.35873074522146</v>
      </c>
      <c r="Q882" s="17">
        <f>Q883+Q887+Q894+Q905+Q913+Q915+Q917+Q919+Q923</f>
        <v>119.25665424999821</v>
      </c>
      <c r="S882" s="3"/>
    </row>
    <row r="883" spans="2:19" x14ac:dyDescent="0.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60.950028619978383</v>
      </c>
      <c r="G883" s="1">
        <f>[1]Services!C$11</f>
        <v>60.528304662519005</v>
      </c>
      <c r="H883" s="1">
        <f>[1]Services!D$11</f>
        <v>65.448616326417579</v>
      </c>
      <c r="I883" s="1">
        <f>[1]Services!E$11</f>
        <v>65.720391178336897</v>
      </c>
      <c r="J883" s="1">
        <f>[1]Services!F$11</f>
        <v>65.66312698336813</v>
      </c>
      <c r="K883" s="1">
        <f>[1]Services!G$11</f>
        <v>65.776740222912977</v>
      </c>
      <c r="L883" s="1">
        <f>[1]Services!H$11</f>
        <v>65.020811631713329</v>
      </c>
      <c r="M883" s="1">
        <f>[1]Services!I$11</f>
        <v>64.303723431539495</v>
      </c>
      <c r="N883" s="1">
        <f>[1]Services!J$11</f>
        <v>65.475181104059132</v>
      </c>
      <c r="O883" s="1">
        <f>[1]Services!K$11</f>
        <v>66.453162909303359</v>
      </c>
      <c r="P883" s="1">
        <f>[1]Services!L$11</f>
        <v>67.411308336277401</v>
      </c>
      <c r="Q883" s="1">
        <f>[1]Services!M$11</f>
        <v>68.315545920109429</v>
      </c>
      <c r="S883" s="3"/>
    </row>
    <row r="884" spans="2:19" x14ac:dyDescent="0.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2.6236172187333069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0.40120519094169044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2.4477317172964002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2.1208474547160732</v>
      </c>
      <c r="J884" s="1" cm="1">
        <f t="array" ref="J884">SUMPRODUCT(([1]OUT_FinalEnergyCons!$B$4:$B$10000="Var_Fin")*1, ISNUMBER(SEARCH("SCOM_ELC",[1]OUT_FinalEnergyCons!$C$4:$C$10000))*1, (ISNUMBER(SEARCH("SCOM-SHELCBR",[1]OUT_FinalEnergyCons!$A$4:$A$10000)))*1,[1]OUT_FinalEnergyCons!H$4:H$10000)</f>
        <v>1.7717806229584598</v>
      </c>
      <c r="K884" s="1" cm="1">
        <f t="array" ref="K884">SUMPRODUCT(([1]OUT_FinalEnergyCons!$B$4:$B$10000="Var_Fin")*1, ISNUMBER(SEARCH("SCOM_ELC",[1]OUT_FinalEnergyCons!$C$4:$C$10000))*1, (ISNUMBER(SEARCH("SCOM-SHELCBR",[1]OUT_FinalEnergyCons!$A$4:$A$10000)))*1,[1]OUT_FinalEnergyCons!I$4:I$10000)</f>
        <v>1.4452306876853362</v>
      </c>
      <c r="L884" s="1" cm="1">
        <f t="array" ref="L884">SUMPRODUCT(([1]OUT_FinalEnergyCons!$B$4:$B$10000="Var_Fin")*1, ISNUMBER(SEARCH("SCOM_ELC",[1]OUT_FinalEnergyCons!$C$4:$C$10000))*1, (ISNUMBER(SEARCH("SCOM-SHELCBR",[1]OUT_FinalEnergyCons!$A$4:$A$10000)))*1,[1]OUT_FinalEnergyCons!J$4:J$10000)</f>
        <v>1.1348745115110115</v>
      </c>
      <c r="M884" s="1" cm="1">
        <f t="array" ref="M884">SUMPRODUCT(([1]OUT_FinalEnergyCons!$B$4:$B$10000="Var_Fin")*1, ISNUMBER(SEARCH("SCOM_ELC",[1]OUT_FinalEnergyCons!$C$4:$C$10000))*1, (ISNUMBER(SEARCH("SCOM-SHELCBR",[1]OUT_FinalEnergyCons!$A$4:$A$10000)))*1,[1]OUT_FinalEnergyCons!K$4:K$10000)</f>
        <v>0.85284395573024663</v>
      </c>
      <c r="N884" s="1" cm="1">
        <f t="array" ref="N884">SUMPRODUCT(([1]OUT_FinalEnergyCons!$B$4:$B$10000="Var_Fin")*1, ISNUMBER(SEARCH("SCOM_ELC",[1]OUT_FinalEnergyCons!$C$4:$C$10000))*1, (ISNUMBER(SEARCH("SCOM-SHELCBR",[1]OUT_FinalEnergyCons!$A$4:$A$10000)))*1,[1]OUT_FinalEnergyCons!L$4:L$10000)</f>
        <v>0.83238871528782754</v>
      </c>
      <c r="O884" s="1" cm="1">
        <f t="array" ref="O884">SUMPRODUCT(([1]OUT_FinalEnergyCons!$B$4:$B$10000="Var_Fin")*1, ISNUMBER(SEARCH("SCOM_ELC",[1]OUT_FinalEnergyCons!$C$4:$C$10000))*1, (ISNUMBER(SEARCH("SCOM-SHELCBR",[1]OUT_FinalEnergyCons!$A$4:$A$10000)))*1,[1]OUT_FinalEnergyCons!M$4:M$10000)</f>
        <v>0.81292393433933807</v>
      </c>
      <c r="P884" s="1" cm="1">
        <f t="array" ref="P884">SUMPRODUCT(([1]OUT_FinalEnergyCons!$B$4:$B$10000="Var_Fin")*1, ISNUMBER(SEARCH("SCOM_ELC",[1]OUT_FinalEnergyCons!$C$4:$C$10000))*1, (ISNUMBER(SEARCH("SCOM-SHELCBR",[1]OUT_FinalEnergyCons!$A$4:$A$10000)))*1,[1]OUT_FinalEnergyCons!N$4:N$10000)</f>
        <v>0.79529293061892103</v>
      </c>
      <c r="Q884" s="1" cm="1">
        <f t="array" ref="Q884">SUMPRODUCT(([1]OUT_FinalEnergyCons!$B$4:$B$10000="Var_Fin")*1, ISNUMBER(SEARCH("SCOM_ELC",[1]OUT_FinalEnergyCons!$C$4:$C$10000))*1, (ISNUMBER(SEARCH("SCOM-SHELCBR",[1]OUT_FinalEnergyCons!$A$4:$A$10000)))*1,[1]OUT_FinalEnergyCons!O$4:O$10000)</f>
        <v>0.76021142567214672</v>
      </c>
      <c r="S884" s="3"/>
    </row>
    <row r="885" spans="2:19" x14ac:dyDescent="0.5">
      <c r="B885" s="5" t="str">
        <f t="shared" ref="B885:B924" si="1076">B884</f>
        <v>SPS1</v>
      </c>
      <c r="C885" s="5" t="str">
        <f t="shared" ref="C885:C924" si="1077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1.3316368263326317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1.4252049461091612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1.462602136406949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1.5293700102387089</v>
      </c>
      <c r="J885" s="1" cm="1">
        <f t="array" ref="J885">SUMPRODUCT(([1]OUT_FinalEnergyCons!$B$4:$B$10000="Var_Fin")*1, ISNUMBER(SEARCH("SCOM_ELC",[1]OUT_FinalEnergyCons!$C$4:$C$10000))*1,(ISNUMBER(SEARCH("SCOM-SHELCHP",[1]OUT_FinalEnergyCons!$A$4:$A$10000)))*1,[1]OUT_FinalEnergyCons!H$4:H$10000)</f>
        <v>1.5985712953684519</v>
      </c>
      <c r="K885" s="1" cm="1">
        <f t="array" ref="K885">SUMPRODUCT(([1]OUT_FinalEnergyCons!$B$4:$B$10000="Var_Fin")*1, ISNUMBER(SEARCH("SCOM_ELC",[1]OUT_FinalEnergyCons!$C$4:$C$10000))*1,(ISNUMBER(SEARCH("SCOM-SHELCHP",[1]OUT_FinalEnergyCons!$A$4:$A$10000)))*1,[1]OUT_FinalEnergyCons!I$4:I$10000)</f>
        <v>1.6730986710063445</v>
      </c>
      <c r="L885" s="1" cm="1">
        <f t="array" ref="L885">SUMPRODUCT(([1]OUT_FinalEnergyCons!$B$4:$B$10000="Var_Fin")*1, ISNUMBER(SEARCH("SCOM_ELC",[1]OUT_FinalEnergyCons!$C$4:$C$10000))*1,(ISNUMBER(SEARCH("SCOM-SHELCHP",[1]OUT_FinalEnergyCons!$A$4:$A$10000)))*1,[1]OUT_FinalEnergyCons!J$4:J$10000)</f>
        <v>1.7500090728206918</v>
      </c>
      <c r="M885" s="1" cm="1">
        <f t="array" ref="M885">SUMPRODUCT(([1]OUT_FinalEnergyCons!$B$4:$B$10000="Var_Fin")*1, ISNUMBER(SEARCH("SCOM_ELC",[1]OUT_FinalEnergyCons!$C$4:$C$10000))*1,(ISNUMBER(SEARCH("SCOM-SHELCHP",[1]OUT_FinalEnergyCons!$A$4:$A$10000)))*1,[1]OUT_FinalEnergyCons!K$4:K$10000)</f>
        <v>1.8374967502580923</v>
      </c>
      <c r="N885" s="1" cm="1">
        <f t="array" ref="N885">SUMPRODUCT(([1]OUT_FinalEnergyCons!$B$4:$B$10000="Var_Fin")*1, ISNUMBER(SEARCH("SCOM_ELC",[1]OUT_FinalEnergyCons!$C$4:$C$10000))*1,(ISNUMBER(SEARCH("SCOM-SHELCHP",[1]OUT_FinalEnergyCons!$A$4:$A$10000)))*1,[1]OUT_FinalEnergyCons!L$4:L$10000)</f>
        <v>1.9817601919730976</v>
      </c>
      <c r="O885" s="1" cm="1">
        <f t="array" ref="O885">SUMPRODUCT(([1]OUT_FinalEnergyCons!$B$4:$B$10000="Var_Fin")*1, ISNUMBER(SEARCH("SCOM_ELC",[1]OUT_FinalEnergyCons!$C$4:$C$10000))*1,(ISNUMBER(SEARCH("SCOM-SHELCHP",[1]OUT_FinalEnergyCons!$A$4:$A$10000)))*1,[1]OUT_FinalEnergyCons!M$4:M$10000)</f>
        <v>2.1243227412128256</v>
      </c>
      <c r="P885" s="1" cm="1">
        <f t="array" ref="P885">SUMPRODUCT(([1]OUT_FinalEnergyCons!$B$4:$B$10000="Var_Fin")*1, ISNUMBER(SEARCH("SCOM_ELC",[1]OUT_FinalEnergyCons!$C$4:$C$10000))*1,(ISNUMBER(SEARCH("SCOM-SHELCHP",[1]OUT_FinalEnergyCons!$A$4:$A$10000)))*1,[1]OUT_FinalEnergyCons!N$4:N$10000)</f>
        <v>2.2900571492686899</v>
      </c>
      <c r="Q885" s="1" cm="1">
        <f t="array" ref="Q885">SUMPRODUCT(([1]OUT_FinalEnergyCons!$B$4:$B$10000="Var_Fin")*1, ISNUMBER(SEARCH("SCOM_ELC",[1]OUT_FinalEnergyCons!$C$4:$C$10000))*1,(ISNUMBER(SEARCH("SCOM-SHELCHP",[1]OUT_FinalEnergyCons!$A$4:$A$10000)))*1,[1]OUT_FinalEnergyCons!O$4:O$10000)</f>
        <v>2.4550409269532913</v>
      </c>
      <c r="S885" s="3"/>
    </row>
    <row r="886" spans="2:19" x14ac:dyDescent="0.5">
      <c r="B886" s="5" t="str">
        <f t="shared" si="1076"/>
        <v>SPS1</v>
      </c>
      <c r="C886" s="5" t="str">
        <f t="shared" si="1077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58.701894525468155</v>
      </c>
      <c r="H886" s="1">
        <f>[1]Services!D$11-[1]Services!D$28</f>
        <v>61.538282472714229</v>
      </c>
      <c r="I886" s="1">
        <f>[1]Services!E$11-[1]Services!E$28</f>
        <v>62.070173713382118</v>
      </c>
      <c r="J886" s="1">
        <f>[1]Services!F$11-[1]Services!F$28</f>
        <v>62.292775065041219</v>
      </c>
      <c r="K886" s="1">
        <f>[1]Services!G$11-[1]Services!G$28</f>
        <v>62.658410864221295</v>
      </c>
      <c r="L886" s="1">
        <f>[1]Services!H$11-[1]Services!H$28</f>
        <v>62.135928047381626</v>
      </c>
      <c r="M886" s="1">
        <f>[1]Services!I$11-[1]Services!I$28</f>
        <v>61.613382725551155</v>
      </c>
      <c r="N886" s="1">
        <f>[1]Services!J$11-[1]Services!J$28</f>
        <v>62.661032196798203</v>
      </c>
      <c r="O886" s="1">
        <f>[1]Services!K$11-[1]Services!K$28</f>
        <v>63.515916233751199</v>
      </c>
      <c r="P886" s="1">
        <f>[1]Services!L$11-[1]Services!L$28</f>
        <v>64.325958256389796</v>
      </c>
      <c r="Q886" s="1">
        <f>[1]Services!M$11-[1]Services!M$28</f>
        <v>65.100293567483988</v>
      </c>
      <c r="S886" s="3"/>
    </row>
    <row r="887" spans="2:19" x14ac:dyDescent="0.5">
      <c r="B887" s="5" t="str">
        <f t="shared" si="1076"/>
        <v>SPS1</v>
      </c>
      <c r="C887" s="5" t="str">
        <f t="shared" si="1077"/>
        <v>CH</v>
      </c>
      <c r="D887" t="s">
        <v>499</v>
      </c>
      <c r="E887" t="s">
        <v>8</v>
      </c>
      <c r="F887" s="1">
        <f>F888</f>
        <v>30.256635496042268</v>
      </c>
      <c r="G887" s="1">
        <f t="shared" ref="G887:O887" si="1078">G888</f>
        <v>26.851336309964996</v>
      </c>
      <c r="H887" s="1">
        <f t="shared" si="1078"/>
        <v>25.238334744214026</v>
      </c>
      <c r="I887" s="1">
        <f t="shared" si="1078"/>
        <v>21.687380534066161</v>
      </c>
      <c r="J887" s="1">
        <f t="shared" si="1078"/>
        <v>17.025362529784346</v>
      </c>
      <c r="K887" s="1">
        <f t="shared" si="1078"/>
        <v>14.40101966375398</v>
      </c>
      <c r="L887" s="1">
        <f t="shared" si="1078"/>
        <v>13.405627170041045</v>
      </c>
      <c r="M887" s="1">
        <f t="shared" si="1078"/>
        <v>10.34618948895042</v>
      </c>
      <c r="N887" s="1">
        <f t="shared" si="1078"/>
        <v>8.6340371321382889</v>
      </c>
      <c r="O887" s="1">
        <f t="shared" si="1078"/>
        <v>7.0334792071369128</v>
      </c>
      <c r="P887" s="1">
        <f>P888</f>
        <v>4.1329925162609804</v>
      </c>
      <c r="Q887" s="1">
        <f>Q888</f>
        <v>1.4208266283965185</v>
      </c>
      <c r="S887" s="3"/>
    </row>
    <row r="888" spans="2:19" x14ac:dyDescent="0.5">
      <c r="B888" s="5" t="str">
        <f t="shared" si="1076"/>
        <v>SPS1</v>
      </c>
      <c r="C888" s="5" t="str">
        <f t="shared" si="1077"/>
        <v>CH</v>
      </c>
      <c r="D888" t="s">
        <v>500</v>
      </c>
      <c r="E888" t="s">
        <v>8</v>
      </c>
      <c r="F888" s="1">
        <f>SUM(F891,F893)</f>
        <v>30.256635496042268</v>
      </c>
      <c r="G888" s="1">
        <f t="shared" ref="G888:K888" si="1079">SUM(G891,G893)</f>
        <v>26.851336309964996</v>
      </c>
      <c r="H888" s="1">
        <f t="shared" si="1079"/>
        <v>25.238334744214026</v>
      </c>
      <c r="I888" s="1">
        <f t="shared" si="1079"/>
        <v>21.687380534066161</v>
      </c>
      <c r="J888" s="1">
        <f t="shared" si="1079"/>
        <v>17.025362529784346</v>
      </c>
      <c r="K888" s="1">
        <f t="shared" si="1079"/>
        <v>14.40101966375398</v>
      </c>
      <c r="L888" s="1">
        <f t="shared" ref="L888:O888" si="1080">SUM(L891,L893)</f>
        <v>13.405627170041045</v>
      </c>
      <c r="M888" s="1">
        <f t="shared" si="1080"/>
        <v>10.34618948895042</v>
      </c>
      <c r="N888" s="1">
        <f t="shared" si="1080"/>
        <v>8.6340371321382889</v>
      </c>
      <c r="O888" s="1">
        <f t="shared" si="1080"/>
        <v>7.0334792071369128</v>
      </c>
      <c r="P888" s="1">
        <f>SUM(P891,P893)</f>
        <v>4.1329925162609804</v>
      </c>
      <c r="Q888" s="1">
        <f>SUM(Q891,Q893)</f>
        <v>1.4208266283965185</v>
      </c>
      <c r="S888" s="3"/>
    </row>
    <row r="889" spans="2:19" x14ac:dyDescent="0.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30.256635496042268</v>
      </c>
      <c r="G889" s="1">
        <f t="shared" ref="G889:O889" si="1081">G890</f>
        <v>26.851336309964996</v>
      </c>
      <c r="H889" s="1">
        <f t="shared" si="1081"/>
        <v>25.238246240341653</v>
      </c>
      <c r="I889" s="1">
        <f t="shared" si="1081"/>
        <v>21.687173207000242</v>
      </c>
      <c r="J889" s="1">
        <f t="shared" si="1081"/>
        <v>17.02492207338474</v>
      </c>
      <c r="K889" s="1">
        <f t="shared" si="1081"/>
        <v>14.400802806901238</v>
      </c>
      <c r="L889" s="1">
        <f t="shared" si="1081"/>
        <v>13.405417315527027</v>
      </c>
      <c r="M889" s="1">
        <f t="shared" si="1081"/>
        <v>10.345735546102507</v>
      </c>
      <c r="N889" s="1">
        <f t="shared" si="1081"/>
        <v>8.6338191146157257</v>
      </c>
      <c r="O889" s="1">
        <f t="shared" si="1081"/>
        <v>7.0330293285079026</v>
      </c>
      <c r="P889" s="1">
        <f>P890</f>
        <v>4.1326513570887835</v>
      </c>
      <c r="Q889" s="1">
        <f>Q890</f>
        <v>1.4200540885176649</v>
      </c>
      <c r="S889" s="3"/>
    </row>
    <row r="890" spans="2:19" x14ac:dyDescent="0.5">
      <c r="B890" s="5" t="str">
        <f t="shared" si="1076"/>
        <v>SPS1</v>
      </c>
      <c r="C890" s="5" t="str">
        <f t="shared" si="1077"/>
        <v>CH</v>
      </c>
      <c r="D890" t="s">
        <v>528</v>
      </c>
      <c r="E890" t="s">
        <v>8</v>
      </c>
      <c r="F890" s="1">
        <f>[1]Services!B$12</f>
        <v>30.256635496042268</v>
      </c>
      <c r="G890" s="1">
        <f>[1]Services!C$12</f>
        <v>26.851336309964996</v>
      </c>
      <c r="H890" s="1">
        <f>[1]Services!D$12</f>
        <v>25.238246240341653</v>
      </c>
      <c r="I890" s="1">
        <f>[1]Services!E$12</f>
        <v>21.687173207000242</v>
      </c>
      <c r="J890" s="1">
        <f>[1]Services!F$12</f>
        <v>17.02492207338474</v>
      </c>
      <c r="K890" s="1">
        <f>[1]Services!G$12</f>
        <v>14.400802806901238</v>
      </c>
      <c r="L890" s="1">
        <f>[1]Services!H$12</f>
        <v>13.405417315527027</v>
      </c>
      <c r="M890" s="1">
        <f>[1]Services!I$12</f>
        <v>10.345735546102507</v>
      </c>
      <c r="N890" s="1">
        <f>[1]Services!J$12</f>
        <v>8.6338191146157257</v>
      </c>
      <c r="O890" s="1">
        <f>[1]Services!K$12</f>
        <v>7.0330293285079026</v>
      </c>
      <c r="P890" s="1">
        <f>[1]Services!L$12</f>
        <v>4.1326513570887835</v>
      </c>
      <c r="Q890" s="1">
        <f>[1]Services!M$12</f>
        <v>1.4200540885176649</v>
      </c>
      <c r="S890" s="3"/>
    </row>
    <row r="891" spans="2:19" x14ac:dyDescent="0.5">
      <c r="B891" s="5" t="str">
        <f>B890</f>
        <v>SPS1</v>
      </c>
      <c r="C891" s="5" t="str">
        <f t="shared" si="1077"/>
        <v>CH</v>
      </c>
      <c r="D891" t="s">
        <v>529</v>
      </c>
      <c r="E891" t="s">
        <v>8</v>
      </c>
      <c r="F891" s="1">
        <f>F890</f>
        <v>30.256635496042268</v>
      </c>
      <c r="G891" s="1">
        <f t="shared" ref="G891:K891" si="1082">G890</f>
        <v>26.851336309964996</v>
      </c>
      <c r="H891" s="1">
        <f t="shared" si="1082"/>
        <v>25.238246240341653</v>
      </c>
      <c r="I891" s="1">
        <f t="shared" si="1082"/>
        <v>21.687173207000242</v>
      </c>
      <c r="J891" s="1">
        <f t="shared" si="1082"/>
        <v>17.02492207338474</v>
      </c>
      <c r="K891" s="1">
        <f t="shared" si="1082"/>
        <v>14.400802806901238</v>
      </c>
      <c r="L891" s="1">
        <f t="shared" ref="L891:O891" si="1083">L890</f>
        <v>13.405417315527027</v>
      </c>
      <c r="M891" s="1">
        <f t="shared" si="1083"/>
        <v>10.345735546102507</v>
      </c>
      <c r="N891" s="1">
        <f t="shared" si="1083"/>
        <v>8.6338191146157257</v>
      </c>
      <c r="O891" s="1">
        <f t="shared" si="1083"/>
        <v>7.0330293285079026</v>
      </c>
      <c r="P891" s="1">
        <f>P890</f>
        <v>4.1326513570887835</v>
      </c>
      <c r="Q891" s="1">
        <f>Q890</f>
        <v>1.4200540885176649</v>
      </c>
      <c r="S891" s="3"/>
    </row>
    <row r="892" spans="2:19" x14ac:dyDescent="0.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O892" si="1084">G893</f>
        <v>0</v>
      </c>
      <c r="H892">
        <f t="shared" si="1084"/>
        <v>8.8503872372724463E-5</v>
      </c>
      <c r="I892">
        <f t="shared" si="1084"/>
        <v>2.0732706591755024E-4</v>
      </c>
      <c r="J892">
        <f t="shared" si="1084"/>
        <v>4.4045639960461116E-4</v>
      </c>
      <c r="K892">
        <f t="shared" si="1084"/>
        <v>2.168568527421194E-4</v>
      </c>
      <c r="L892">
        <f t="shared" si="1084"/>
        <v>2.0985451401884898E-4</v>
      </c>
      <c r="M892">
        <f t="shared" si="1084"/>
        <v>4.5394284791326064E-4</v>
      </c>
      <c r="N892">
        <f t="shared" si="1084"/>
        <v>2.1801752256336005E-4</v>
      </c>
      <c r="O892">
        <f t="shared" si="1084"/>
        <v>4.498786290101657E-4</v>
      </c>
      <c r="P892">
        <f>P893</f>
        <v>3.4115917219657054E-4</v>
      </c>
      <c r="Q892">
        <f>Q893</f>
        <v>7.7253987885360646E-4</v>
      </c>
      <c r="S892" s="3"/>
    </row>
    <row r="893" spans="2:19" x14ac:dyDescent="0.5">
      <c r="B893" s="5" t="str">
        <f t="shared" si="1076"/>
        <v>SPS1</v>
      </c>
      <c r="C893" s="5" t="str">
        <f t="shared" si="1077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8.8503872372724463E-5</v>
      </c>
      <c r="I893">
        <f>[1]Services!E$13</f>
        <v>2.0732706591755024E-4</v>
      </c>
      <c r="J893">
        <f>[1]Services!F$13</f>
        <v>4.4045639960461116E-4</v>
      </c>
      <c r="K893">
        <f>[1]Services!G$13</f>
        <v>2.168568527421194E-4</v>
      </c>
      <c r="L893">
        <f>[1]Services!H$13</f>
        <v>2.0985451401884898E-4</v>
      </c>
      <c r="M893">
        <f>[1]Services!I$13</f>
        <v>4.5394284791326064E-4</v>
      </c>
      <c r="N893">
        <f>[1]Services!J$13</f>
        <v>2.1801752256336005E-4</v>
      </c>
      <c r="O893">
        <f>[1]Services!K$13</f>
        <v>4.498786290101657E-4</v>
      </c>
      <c r="P893">
        <f>[1]Services!L$13</f>
        <v>3.4115917219657054E-4</v>
      </c>
      <c r="Q893">
        <f>[1]Services!M$13</f>
        <v>7.7253987885360646E-4</v>
      </c>
      <c r="S893" s="3"/>
    </row>
    <row r="894" spans="2:19" x14ac:dyDescent="0.5">
      <c r="B894" s="5" t="str">
        <f t="shared" si="1076"/>
        <v>SPS1</v>
      </c>
      <c r="C894" s="5" t="str">
        <f t="shared" si="1077"/>
        <v>CH</v>
      </c>
      <c r="D894" t="s">
        <v>501</v>
      </c>
      <c r="E894" t="s">
        <v>8</v>
      </c>
      <c r="F894" s="1">
        <f>SUM(F895:F897)</f>
        <v>26.950980795221298</v>
      </c>
      <c r="G894" s="1">
        <f t="shared" ref="G894:K894" si="1085">SUM(G895:G897)</f>
        <v>28.28701426043601</v>
      </c>
      <c r="H894" s="1">
        <f t="shared" si="1085"/>
        <v>27.154135286556894</v>
      </c>
      <c r="I894" s="1">
        <f t="shared" si="1085"/>
        <v>28.069697681817228</v>
      </c>
      <c r="J894" s="1">
        <f t="shared" si="1085"/>
        <v>28.543270064674779</v>
      </c>
      <c r="K894" s="1">
        <f t="shared" si="1085"/>
        <v>28.856105234913546</v>
      </c>
      <c r="L894" s="1">
        <f t="shared" ref="L894:O894" si="1086">SUM(L895:L897)</f>
        <v>27.235098475863275</v>
      </c>
      <c r="M894" s="1">
        <f t="shared" si="1086"/>
        <v>25.904767594462708</v>
      </c>
      <c r="N894" s="1">
        <f t="shared" si="1086"/>
        <v>25.540052150158431</v>
      </c>
      <c r="O894" s="1">
        <f t="shared" si="1086"/>
        <v>24.955187278570691</v>
      </c>
      <c r="P894" s="1">
        <f>SUM(P895:P897)</f>
        <v>25.414435961692995</v>
      </c>
      <c r="Q894" s="1">
        <f>SUM(Q895:Q897)</f>
        <v>24.605521180451063</v>
      </c>
      <c r="S894" s="3"/>
    </row>
    <row r="895" spans="2:19" x14ac:dyDescent="0.5">
      <c r="B895" s="5" t="str">
        <f t="shared" si="1076"/>
        <v>SPS1</v>
      </c>
      <c r="C895" s="5" t="str">
        <f t="shared" si="1077"/>
        <v>CH</v>
      </c>
      <c r="D895" t="s">
        <v>681</v>
      </c>
      <c r="E895" t="s">
        <v>8</v>
      </c>
      <c r="F895" s="1">
        <f>SUM([1]Services!B$14:B$15)-F896</f>
        <v>25.548694138850266</v>
      </c>
      <c r="G895" s="1">
        <f>SUM([1]Services!C$14:C$15)</f>
        <v>26.749785163157657</v>
      </c>
      <c r="H895" s="1">
        <f>SUM([1]Services!D$14:D$15)</f>
        <v>25.533203419197523</v>
      </c>
      <c r="I895" s="1">
        <f>SUM([1]Services!E$14:E$15)</f>
        <v>26.449586654280868</v>
      </c>
      <c r="J895" s="1">
        <f>SUM([1]Services!F$14:F$15)</f>
        <v>26.763862657092574</v>
      </c>
      <c r="K895" s="1">
        <f>SUM([1]Services!G$14:G$15)</f>
        <v>26.938230361437594</v>
      </c>
      <c r="L895" s="1">
        <f>SUM([1]Services!H$14:H$15)</f>
        <v>25.207366847028212</v>
      </c>
      <c r="M895" s="1">
        <f>SUM([1]Services!I$14:I$15)</f>
        <v>23.534031283743978</v>
      </c>
      <c r="N895" s="1">
        <f>SUM([1]Services!J$14:J$15)</f>
        <v>22.974693274538087</v>
      </c>
      <c r="O895" s="1">
        <f>SUM([1]Services!K$14:K$15)</f>
        <v>22.378338919582696</v>
      </c>
      <c r="P895" s="1">
        <f>SUM([1]Services!L$14:L$15)</f>
        <v>21.883508702239592</v>
      </c>
      <c r="Q895" s="1">
        <f>SUM([1]Services!M$14:M$15)</f>
        <v>20.881754190269948</v>
      </c>
      <c r="S895" s="3"/>
    </row>
    <row r="896" spans="2:19" x14ac:dyDescent="0.5">
      <c r="B896" s="5" t="str">
        <f t="shared" ref="B896" si="1087">B895</f>
        <v>SPS1</v>
      </c>
      <c r="C896" s="5" t="str">
        <f t="shared" ref="C896" si="1088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1.0335649590230435E-3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9.9598033505664588E-4</v>
      </c>
      <c r="J896" s="1" cm="1">
        <f t="array" ref="J896">SUMPRODUCT(([1]OUT_FinalEnergyCons!$B$4:$B$10000="Var_Fin")*1, ([1]OUT_FinalEnergyCons!$C$4:$C$10000="SNGA")*1,(ISNUMBER(SEARCH("SCOM-SHngahp",[1]OUT_FinalEnergyCons!$A$4:$A$10000)))*1,[1]OUT_FinalEnergyCons!H$4:H$10000)</f>
        <v>4.2486291721934421E-3</v>
      </c>
      <c r="K896" s="1" cm="1">
        <f t="array" ref="K896">SUMPRODUCT(([1]OUT_FinalEnergyCons!$B$4:$B$10000="Var_Fin")*1, ([1]OUT_FinalEnergyCons!$C$4:$C$10000="SNGA")*1,(ISNUMBER(SEARCH("SCOM-SHngahp",[1]OUT_FinalEnergyCons!$A$4:$A$10000)))*1,[1]OUT_FinalEnergyCons!I$4:I$10000)</f>
        <v>6.4290816845536686E-3</v>
      </c>
      <c r="L896" s="1" cm="1">
        <f t="array" ref="L896">SUMPRODUCT(([1]OUT_FinalEnergyCons!$B$4:$B$10000="Var_Fin")*1, ([1]OUT_FinalEnergyCons!$C$4:$C$10000="SNGA")*1,(ISNUMBER(SEARCH("SCOM-SHngahp",[1]OUT_FinalEnergyCons!$A$4:$A$10000)))*1,[1]OUT_FinalEnergyCons!J$4:J$10000)</f>
        <v>1.2881196365038467E-2</v>
      </c>
      <c r="M896" s="1" cm="1">
        <f t="array" ref="M896">SUMPRODUCT(([1]OUT_FinalEnergyCons!$B$4:$B$10000="Var_Fin")*1, ([1]OUT_FinalEnergyCons!$C$4:$C$10000="SNGA")*1,(ISNUMBER(SEARCH("SCOM-SHngahp",[1]OUT_FinalEnergyCons!$A$4:$A$10000)))*1,[1]OUT_FinalEnergyCons!K$4:K$10000)</f>
        <v>1.0432555400716623E-2</v>
      </c>
      <c r="N896" s="1" cm="1">
        <f t="array" ref="N896">SUMPRODUCT(([1]OUT_FinalEnergyCons!$B$4:$B$10000="Var_Fin")*1, ([1]OUT_FinalEnergyCons!$C$4:$C$10000="SNGA")*1,(ISNUMBER(SEARCH("SCOM-SHngahp",[1]OUT_FinalEnergyCons!$A$4:$A$10000)))*1,[1]OUT_FinalEnergyCons!L$4:L$10000)</f>
        <v>7.4637355989434322E-3</v>
      </c>
      <c r="O896" s="1" cm="1">
        <f t="array" ref="O896">SUMPRODUCT(([1]OUT_FinalEnergyCons!$B$4:$B$10000="Var_Fin")*1, ([1]OUT_FinalEnergyCons!$C$4:$C$10000="SNGA")*1,(ISNUMBER(SEARCH("SCOM-SHngahp",[1]OUT_FinalEnergyCons!$A$4:$A$10000)))*1,[1]OUT_FinalEnergyCons!M$4:M$10000)</f>
        <v>2.5734291259876481E-2</v>
      </c>
      <c r="P896" s="1" cm="1">
        <f t="array" ref="P896">SUMPRODUCT(([1]OUT_FinalEnergyCons!$B$4:$B$10000="Var_Fin")*1, ([1]OUT_FinalEnergyCons!$C$4:$C$10000="SNGA")*1,(ISNUMBER(SEARCH("SCOM-SHngahp",[1]OUT_FinalEnergyCons!$A$4:$A$10000)))*1,[1]OUT_FinalEnergyCons!N$4:N$10000)</f>
        <v>2.5087893724182516E-2</v>
      </c>
      <c r="Q896" s="1" cm="1">
        <f t="array" ref="Q896">SUMPRODUCT(([1]OUT_FinalEnergyCons!$B$4:$B$10000="Var_Fin")*1, ([1]OUT_FinalEnergyCons!$C$4:$C$10000="SNGA")*1,(ISNUMBER(SEARCH("SCOM-SHngahp",[1]OUT_FinalEnergyCons!$A$4:$A$10000)))*1,[1]OUT_FinalEnergyCons!O$4:O$10000)</f>
        <v>4.7095937136530153E-2</v>
      </c>
      <c r="S896" s="3"/>
    </row>
    <row r="897" spans="2:19" x14ac:dyDescent="0.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1.4022866563710339</v>
      </c>
      <c r="G897" s="1">
        <f>[1]Services!C$16</f>
        <v>1.5372290972783511</v>
      </c>
      <c r="H897" s="1">
        <f>[1]Services!D$16</f>
        <v>1.6198983024003464</v>
      </c>
      <c r="I897" s="1">
        <f>[1]Services!E$16</f>
        <v>1.6191150472013041</v>
      </c>
      <c r="J897" s="1">
        <f>[1]Services!F$16</f>
        <v>1.7751587784100147</v>
      </c>
      <c r="K897" s="1">
        <f>[1]Services!G$16</f>
        <v>1.9114457917913974</v>
      </c>
      <c r="L897" s="1">
        <f>[1]Services!H$16</f>
        <v>2.0148504324700225</v>
      </c>
      <c r="M897" s="1">
        <f>[1]Services!I$16</f>
        <v>2.3603037553180144</v>
      </c>
      <c r="N897" s="1">
        <f>[1]Services!J$16</f>
        <v>2.5578951400214014</v>
      </c>
      <c r="O897" s="1">
        <f>[1]Services!K$16</f>
        <v>2.5511140677281166</v>
      </c>
      <c r="P897" s="1">
        <f>[1]Services!L$16</f>
        <v>3.5058393657292175</v>
      </c>
      <c r="Q897" s="1">
        <f>[1]Services!M$16</f>
        <v>3.6766710530445859</v>
      </c>
      <c r="S897" s="3"/>
    </row>
    <row r="898" spans="2:19" x14ac:dyDescent="0.5">
      <c r="B898" s="5" t="str">
        <f t="shared" si="1076"/>
        <v>SPS1</v>
      </c>
      <c r="C898" s="5" t="str">
        <f t="shared" si="1077"/>
        <v>CH</v>
      </c>
      <c r="D898" t="s">
        <v>966</v>
      </c>
      <c r="E898" t="s">
        <v>8</v>
      </c>
      <c r="F898" s="1">
        <f>[1]Services!B$14</f>
        <v>25.262739270322694</v>
      </c>
      <c r="G898" s="1">
        <f>[1]Services!C$14</f>
        <v>23.776247347459716</v>
      </c>
      <c r="H898" s="1">
        <f>[1]Services!D$14</f>
        <v>25.511591898731854</v>
      </c>
      <c r="I898" s="1">
        <f>[1]Services!E$14</f>
        <v>26.449007126556424</v>
      </c>
      <c r="J898" s="1">
        <f>[1]Services!F$14</f>
        <v>26.763353065067804</v>
      </c>
      <c r="K898" s="1">
        <f>[1]Services!G$14</f>
        <v>26.93770862425864</v>
      </c>
      <c r="L898" s="1">
        <f>[1]Services!H$14</f>
        <v>25.206850430188595</v>
      </c>
      <c r="M898" s="1">
        <f>[1]Services!I$14</f>
        <v>23.533462650693611</v>
      </c>
      <c r="N898" s="1">
        <f>[1]Services!J$14</f>
        <v>22.974132080150262</v>
      </c>
      <c r="O898" s="1">
        <f>[1]Services!K$14</f>
        <v>22.377764625867179</v>
      </c>
      <c r="P898" s="1">
        <f>[1]Services!L$14</f>
        <v>21.882942975524358</v>
      </c>
      <c r="Q898" s="1">
        <f>[1]Services!M$14</f>
        <v>20.880849463278434</v>
      </c>
      <c r="S898" s="3"/>
    </row>
    <row r="899" spans="2:19" x14ac:dyDescent="0.5">
      <c r="B899" s="5" t="str">
        <f t="shared" si="1076"/>
        <v>SPS1</v>
      </c>
      <c r="C899" s="5" t="str">
        <f t="shared" si="1077"/>
        <v>CH</v>
      </c>
      <c r="D899" t="s">
        <v>682</v>
      </c>
      <c r="E899" t="s">
        <v>8</v>
      </c>
      <c r="F899" s="1">
        <f>[1]Services!B$14*IFERROR(F895/SUM(F895:F896),0)</f>
        <v>25.262739270322694</v>
      </c>
      <c r="G899" s="1">
        <f>[1]Services!C$14*IFERROR(G895/SUM(G895:G896),0)</f>
        <v>23.776247347459716</v>
      </c>
      <c r="H899" s="1">
        <f>[1]Services!D$14*IFERROR(H895/SUM(H895:H896),0)</f>
        <v>25.510559250391832</v>
      </c>
      <c r="I899" s="1">
        <f>[1]Services!E$14*IFERROR(I895/SUM(I895:I896),0)</f>
        <v>26.448011205546152</v>
      </c>
      <c r="J899" s="1">
        <f>[1]Services!F$14*IFERROR(J895/SUM(J895:J896),0)</f>
        <v>26.759105191119509</v>
      </c>
      <c r="K899" s="1">
        <f>[1]Services!G$14*IFERROR(K895/SUM(K895:K896),0)</f>
        <v>26.931281201061637</v>
      </c>
      <c r="L899" s="1">
        <f>[1]Services!H$14*IFERROR(L895/SUM(L895:L896),0)</f>
        <v>25.193976076630424</v>
      </c>
      <c r="M899" s="1">
        <f>[1]Services!I$14*IFERROR(M895/SUM(M895:M896),0)</f>
        <v>23.52303496992112</v>
      </c>
      <c r="N899" s="1">
        <f>[1]Services!J$14*IFERROR(N895/SUM(N895:N896),0)</f>
        <v>22.96667095074514</v>
      </c>
      <c r="O899" s="1">
        <f>[1]Services!K$14*IFERROR(O895/SUM(O895:O896),0)</f>
        <v>22.352060553790306</v>
      </c>
      <c r="P899" s="1">
        <f>[1]Services!L$14*IFERROR(P895/SUM(P895:P896),0)</f>
        <v>21.857884458182198</v>
      </c>
      <c r="Q899" s="1">
        <f>[1]Services!M$14*IFERROR(Q895/SUM(Q895:Q896),0)</f>
        <v>20.833861541453139</v>
      </c>
      <c r="S899" s="3"/>
    </row>
    <row r="900" spans="2:19" x14ac:dyDescent="0.5">
      <c r="B900" s="5" t="str">
        <f>B899</f>
        <v>SPS1</v>
      </c>
      <c r="C900" s="5" t="str">
        <f t="shared" ref="C900" si="1089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90">G898-G899</f>
        <v>0</v>
      </c>
      <c r="H900" s="1">
        <f t="shared" si="1090"/>
        <v>1.0326483400220354E-3</v>
      </c>
      <c r="I900" s="1">
        <f t="shared" si="1090"/>
        <v>9.9592101027212721E-4</v>
      </c>
      <c r="J900" s="1">
        <f t="shared" si="1090"/>
        <v>4.2478739482945116E-3</v>
      </c>
      <c r="K900" s="1">
        <f t="shared" si="1090"/>
        <v>6.4274231970031792E-3</v>
      </c>
      <c r="L900" s="1">
        <f t="shared" ref="L900:O900" si="1091">L898-L899</f>
        <v>1.2874353558171237E-2</v>
      </c>
      <c r="M900" s="1">
        <f t="shared" si="1091"/>
        <v>1.0427680772490788E-2</v>
      </c>
      <c r="N900" s="1">
        <f t="shared" si="1091"/>
        <v>7.4611294051223354E-3</v>
      </c>
      <c r="O900" s="1">
        <f t="shared" si="1091"/>
        <v>2.570407207687353E-2</v>
      </c>
      <c r="P900" s="1">
        <f>P898-P899</f>
        <v>2.5058517342159803E-2</v>
      </c>
      <c r="Q900" s="1">
        <f>Q898-Q899</f>
        <v>4.6987921825294876E-2</v>
      </c>
      <c r="S900" s="3"/>
    </row>
    <row r="901" spans="2:19" x14ac:dyDescent="0.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1.6882415248986051</v>
      </c>
      <c r="G901" s="1">
        <f>[1]Services!C$15+G904</f>
        <v>4.5107669129762931</v>
      </c>
      <c r="H901" s="1">
        <f>[1]Services!D$15+H904</f>
        <v>1.6415098228660139</v>
      </c>
      <c r="I901" s="1">
        <f>[1]Services!E$15+I904</f>
        <v>1.6196945749257468</v>
      </c>
      <c r="J901" s="1">
        <f>[1]Services!F$15+J904</f>
        <v>1.775668370434784</v>
      </c>
      <c r="K901" s="1">
        <f>[1]Services!G$15+K904</f>
        <v>1.9119675289703513</v>
      </c>
      <c r="L901" s="1">
        <f>[1]Services!H$15+L904</f>
        <v>2.0153668493096371</v>
      </c>
      <c r="M901" s="1">
        <f>[1]Services!I$15+M904</f>
        <v>2.3608723883683802</v>
      </c>
      <c r="N901" s="1">
        <f>[1]Services!J$15+N904</f>
        <v>2.5584563344092275</v>
      </c>
      <c r="O901" s="1">
        <f>[1]Services!K$15+O904</f>
        <v>2.5516883614436323</v>
      </c>
      <c r="P901" s="1">
        <f>[1]Services!L$15+P904</f>
        <v>3.5064050924444525</v>
      </c>
      <c r="Q901" s="1">
        <f>[1]Services!M$15+Q904</f>
        <v>3.6775757800360993</v>
      </c>
      <c r="S901" s="3"/>
    </row>
    <row r="902" spans="2:19" x14ac:dyDescent="0.5">
      <c r="B902" s="5" t="str">
        <f t="shared" si="1076"/>
        <v>SPS1</v>
      </c>
      <c r="C902" s="5" t="str">
        <f t="shared" si="1077"/>
        <v>CH</v>
      </c>
      <c r="D902" t="s">
        <v>683</v>
      </c>
      <c r="E902" t="s">
        <v>8</v>
      </c>
      <c r="F902" s="1">
        <f>[1]Services!B$15*F895/SUM(F895:F896)</f>
        <v>0.28595486852757129</v>
      </c>
      <c r="G902" s="1">
        <f>[1]Services!C$15*G895/SUM(G895:G896)</f>
        <v>2.973537815697942</v>
      </c>
      <c r="H902" s="1">
        <f>[1]Services!D$15*H895/SUM(H895:H896)</f>
        <v>2.1610645682909102E-2</v>
      </c>
      <c r="I902" s="1">
        <f>[1]Services!E$15*I895/SUM(I895:I896)</f>
        <v>5.7950590268462054E-4</v>
      </c>
      <c r="J902" s="1">
        <f>[1]Services!F$15*J895/SUM(J895:J896)</f>
        <v>5.095111424268091E-4</v>
      </c>
      <c r="K902" s="1">
        <f>[1]Services!G$15*K895/SUM(K895:K896)</f>
        <v>5.2161269079888876E-4</v>
      </c>
      <c r="L902" s="1">
        <f>[1]Services!H$15*L895/SUM(L895:L896)</f>
        <v>5.1615308064197692E-4</v>
      </c>
      <c r="M902" s="1">
        <f>[1]Services!I$15*M895/SUM(M895:M896)</f>
        <v>5.6838108897711145E-4</v>
      </c>
      <c r="N902" s="1">
        <f>[1]Services!J$15*N895/SUM(N895:N896)</f>
        <v>5.6101213310851992E-4</v>
      </c>
      <c r="O902" s="1">
        <f>[1]Services!K$15*O895/SUM(O895:O896)</f>
        <v>5.7363405681854754E-4</v>
      </c>
      <c r="P902" s="1">
        <f>[1]Services!L$15*P895/SUM(P895:P896)</f>
        <v>5.6507889228338249E-4</v>
      </c>
      <c r="Q902" s="1">
        <f>[1]Services!M$15*Q895/SUM(Q895:Q896)</f>
        <v>9.0269109535776439E-4</v>
      </c>
      <c r="S902" s="3"/>
    </row>
    <row r="903" spans="2:19" x14ac:dyDescent="0.5">
      <c r="B903" s="5" t="str">
        <f>B902</f>
        <v>SPS1</v>
      </c>
      <c r="C903" s="5" t="str">
        <f t="shared" ref="C903" si="1092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8.7478275847376808E-7</v>
      </c>
      <c r="I903" s="1">
        <f>[1]Services!E$15*I896/SUM(I895:I896)</f>
        <v>2.1821758149468708E-8</v>
      </c>
      <c r="J903" s="1">
        <f>[1]Services!F$15*J896/SUM(J895:J896)</f>
        <v>8.0882342396062368E-8</v>
      </c>
      <c r="K903" s="1">
        <f>[1]Services!G$15*K896/SUM(K895:K896)</f>
        <v>1.244881550068877E-7</v>
      </c>
      <c r="L903" s="1">
        <f>[1]Services!H$15*L896/SUM(L895:L896)</f>
        <v>2.637589727842865E-7</v>
      </c>
      <c r="M903" s="1">
        <f>[1]Services!I$15*M896/SUM(M895:M896)</f>
        <v>2.5196138850929671E-7</v>
      </c>
      <c r="N903" s="1">
        <f>[1]Services!J$15*N896/SUM(N895:N896)</f>
        <v>1.8225471736599004E-7</v>
      </c>
      <c r="O903" s="1">
        <f>[1]Services!K$15*O896/SUM(O895:O896)</f>
        <v>6.5965869709101327E-7</v>
      </c>
      <c r="P903" s="1">
        <f>[1]Services!L$15*P896/SUM(P895:P896)</f>
        <v>6.4782295144166807E-7</v>
      </c>
      <c r="Q903" s="1">
        <f>[1]Services!M$15*Q896/SUM(Q895:Q896)</f>
        <v>2.0358961557206815E-6</v>
      </c>
      <c r="S903" s="3"/>
    </row>
    <row r="904" spans="2:19" x14ac:dyDescent="0.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1.4022866563710339</v>
      </c>
      <c r="G904" s="1">
        <f>[1]Services!C$16</f>
        <v>1.5372290972783511</v>
      </c>
      <c r="H904" s="1">
        <f>[1]Services!D$16</f>
        <v>1.6198983024003464</v>
      </c>
      <c r="I904" s="1">
        <f>[1]Services!E$16</f>
        <v>1.6191150472013041</v>
      </c>
      <c r="J904" s="1">
        <f>[1]Services!F$16</f>
        <v>1.7751587784100147</v>
      </c>
      <c r="K904" s="1">
        <f>[1]Services!G$16</f>
        <v>1.9114457917913974</v>
      </c>
      <c r="L904" s="1">
        <f>[1]Services!H$16</f>
        <v>2.0148504324700225</v>
      </c>
      <c r="M904" s="1">
        <f>[1]Services!I$16</f>
        <v>2.3603037553180144</v>
      </c>
      <c r="N904" s="1">
        <f>[1]Services!J$16</f>
        <v>2.5578951400214014</v>
      </c>
      <c r="O904" s="1">
        <f>[1]Services!K$16</f>
        <v>2.5511140677281166</v>
      </c>
      <c r="P904" s="1">
        <f>[1]Services!L$16</f>
        <v>3.5058393657292175</v>
      </c>
      <c r="Q904" s="1">
        <f>[1]Services!M$16</f>
        <v>3.6766710530445859</v>
      </c>
      <c r="S904" s="3"/>
    </row>
    <row r="905" spans="2:19" x14ac:dyDescent="0.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7.7269226670631266</v>
      </c>
      <c r="G905" s="1">
        <f>[1]Services!C$17</f>
        <v>8.3697176433714695</v>
      </c>
      <c r="H905" s="1">
        <f>[1]Services!D$17</f>
        <v>8.1259435459016487</v>
      </c>
      <c r="I905" s="1">
        <f>[1]Services!E$17</f>
        <v>9.9146114760964217</v>
      </c>
      <c r="J905" s="1">
        <f>[1]Services!F$17</f>
        <v>12.112671086111433</v>
      </c>
      <c r="K905" s="1">
        <f>[1]Services!G$17</f>
        <v>12.164160306391592</v>
      </c>
      <c r="L905" s="1">
        <f>[1]Services!H$17</f>
        <v>12.161281099881478</v>
      </c>
      <c r="M905" s="1">
        <f>[1]Services!I$17</f>
        <v>13.528396017037601</v>
      </c>
      <c r="N905" s="1">
        <f>[1]Services!J$17</f>
        <v>13.483399969700306</v>
      </c>
      <c r="O905" s="1">
        <f>[1]Services!K$17</f>
        <v>13.495581918478793</v>
      </c>
      <c r="P905" s="1">
        <f>[1]Services!L$17</f>
        <v>13.746892846742501</v>
      </c>
      <c r="Q905" s="1">
        <f>[1]Services!M$17</f>
        <v>13.969049763928352</v>
      </c>
      <c r="S905" s="3"/>
    </row>
    <row r="906" spans="2:19" x14ac:dyDescent="0.5">
      <c r="B906" s="5" t="str">
        <f t="shared" si="1076"/>
        <v>SPS1</v>
      </c>
      <c r="C906" s="5" t="str">
        <f t="shared" si="1077"/>
        <v>CH</v>
      </c>
      <c r="D906" t="s">
        <v>969</v>
      </c>
      <c r="E906" t="s">
        <v>8</v>
      </c>
      <c r="F906" s="1">
        <f>[1]Services!B$51/0.99</f>
        <v>2.11691134789355</v>
      </c>
      <c r="G906" s="1">
        <f>[1]Services!C$51/0.99</f>
        <v>2.2930100137827822</v>
      </c>
      <c r="H906" s="1">
        <f>[1]Services!D$51/0.99</f>
        <v>2.0492355222752878</v>
      </c>
      <c r="I906" s="1">
        <f>[1]Services!E$51/0.99</f>
        <v>3.8379045785328798</v>
      </c>
      <c r="J906" s="1">
        <f>[1]Services!F$51/0.99</f>
        <v>6.0359638160665803</v>
      </c>
      <c r="K906" s="1">
        <f>[1]Services!G$51/0.99</f>
        <v>6.0874510182076573</v>
      </c>
      <c r="L906" s="1">
        <f>[1]Services!H$51/0.99</f>
        <v>6.0845461060993555</v>
      </c>
      <c r="M906" s="1">
        <f>[1]Services!I$51/0.99</f>
        <v>4.4936917717369456</v>
      </c>
      <c r="N906" s="1">
        <f>[1]Services!J$51/0.99</f>
        <v>4.4486589315320977</v>
      </c>
      <c r="O906" s="1">
        <f>[1]Services!K$51/0.99</f>
        <v>4.4608260511204154</v>
      </c>
      <c r="P906" s="1">
        <f>[1]Services!L$51/0.99</f>
        <v>4.7121145615855689</v>
      </c>
      <c r="Q906" s="1">
        <f>[1]Services!M$51/0.99</f>
        <v>4.9342565790340673</v>
      </c>
      <c r="S906" s="3"/>
    </row>
    <row r="907" spans="2:19" x14ac:dyDescent="0.5">
      <c r="B907" s="5" t="str">
        <f t="shared" si="1076"/>
        <v>SPS1</v>
      </c>
      <c r="C907" s="5" t="str">
        <f t="shared" si="1077"/>
        <v>CH</v>
      </c>
      <c r="D907" t="s">
        <v>507</v>
      </c>
      <c r="E907" t="s">
        <v>8</v>
      </c>
      <c r="F907" s="1">
        <f>IF(F906-SUM(F908:F911)&lt;0,0,F906-SUM(F908:F911))</f>
        <v>1.4243061890426105</v>
      </c>
      <c r="G907" s="1">
        <f t="shared" ref="G907:K907" si="1093">IF(G906-SUM(G908:G911)&lt;0,0,G906-SUM(G908:G911))</f>
        <v>1.5542626212143307</v>
      </c>
      <c r="H907" s="1">
        <f t="shared" si="1093"/>
        <v>1.4197992265474522</v>
      </c>
      <c r="I907" s="1">
        <f t="shared" si="1093"/>
        <v>1.17362978474684</v>
      </c>
      <c r="J907" s="1">
        <f t="shared" si="1093"/>
        <v>1.034567346444347</v>
      </c>
      <c r="K907" s="1">
        <f t="shared" si="1093"/>
        <v>0.9150698766071903</v>
      </c>
      <c r="L907" s="1">
        <f t="shared" ref="L907:O907" si="1094">IF(L906-SUM(L908:L911)&lt;0,0,L906-SUM(L908:L911))</f>
        <v>0.92518265428374313</v>
      </c>
      <c r="M907" s="1">
        <f t="shared" si="1094"/>
        <v>0.91383629251802301</v>
      </c>
      <c r="N907" s="1">
        <f t="shared" si="1094"/>
        <v>0.90465487256262911</v>
      </c>
      <c r="O907" s="1">
        <f t="shared" si="1094"/>
        <v>0.8818432991454821</v>
      </c>
      <c r="P907" s="1">
        <f>IF(P906-SUM(P908:P911)&lt;0,0,P906-SUM(P908:P911))</f>
        <v>0.8804359190390243</v>
      </c>
      <c r="Q907" s="1">
        <f>IF(Q906-SUM(Q908:Q911)&lt;0,0,Q906-SUM(Q908:Q911))</f>
        <v>0.89350051251356</v>
      </c>
      <c r="S907" s="3"/>
    </row>
    <row r="908" spans="2:19" x14ac:dyDescent="0.5">
      <c r="B908" s="5" t="str">
        <f t="shared" si="1076"/>
        <v>SPS1</v>
      </c>
      <c r="C908" s="5" t="str">
        <f t="shared" si="1077"/>
        <v>CH</v>
      </c>
      <c r="D908" t="s">
        <v>503</v>
      </c>
      <c r="E908" t="s">
        <v>8</v>
      </c>
      <c r="F908" s="1">
        <f t="shared" ref="F908:K908" si="1095">F249*F906/SUM(F248:F250)</f>
        <v>0.69260515885093943</v>
      </c>
      <c r="G908" s="1">
        <f t="shared" si="1095"/>
        <v>0.73874739256845168</v>
      </c>
      <c r="H908" s="1">
        <f t="shared" si="1095"/>
        <v>0.62943629572783577</v>
      </c>
      <c r="I908" s="1">
        <f t="shared" si="1095"/>
        <v>2.6573107232602711</v>
      </c>
      <c r="J908" s="1">
        <f t="shared" si="1095"/>
        <v>4.9937315664754287</v>
      </c>
      <c r="K908" s="1">
        <f t="shared" si="1095"/>
        <v>5.1656113852373124</v>
      </c>
      <c r="L908" s="1">
        <f t="shared" ref="L908:O908" si="1096">L249*L906/SUM(L248:L250)</f>
        <v>5.1509649910312296</v>
      </c>
      <c r="M908" s="1">
        <f t="shared" si="1096"/>
        <v>3.5639636823446246</v>
      </c>
      <c r="N908" s="1">
        <f t="shared" si="1096"/>
        <v>3.5294562870538821</v>
      </c>
      <c r="O908" s="1">
        <f t="shared" si="1096"/>
        <v>3.5524392067178034</v>
      </c>
      <c r="P908" s="1">
        <f>P249*P906/SUM(P248:P250)</f>
        <v>3.8093442450725932</v>
      </c>
      <c r="Q908" s="1">
        <f>Q249*Q906/SUM(Q248:Q250)</f>
        <v>3.9944314114347121</v>
      </c>
      <c r="S908" s="3"/>
    </row>
    <row r="909" spans="2:19" x14ac:dyDescent="0.5">
      <c r="B909" s="5" t="str">
        <f t="shared" si="1076"/>
        <v>SPS1</v>
      </c>
      <c r="C909" s="5" t="str">
        <f t="shared" si="1077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97">H250*H906/SUM(H248:H250)</f>
        <v>0</v>
      </c>
      <c r="I909" s="1">
        <f t="shared" si="1097"/>
        <v>4.1403095101128585E-4</v>
      </c>
      <c r="J909" s="1">
        <f t="shared" si="1097"/>
        <v>1.333522360351228E-3</v>
      </c>
      <c r="K909" s="1">
        <f t="shared" si="1097"/>
        <v>1.3137061093721255E-3</v>
      </c>
      <c r="L909" s="1">
        <f t="shared" ref="L909:O909" si="1098">L250*L906/SUM(L248:L250)</f>
        <v>1.0022530229314528E-3</v>
      </c>
      <c r="M909" s="1">
        <f t="shared" si="1098"/>
        <v>2.1523285509192258E-3</v>
      </c>
      <c r="N909" s="1">
        <f t="shared" si="1098"/>
        <v>2.1327564676641357E-3</v>
      </c>
      <c r="O909" s="1">
        <f t="shared" si="1098"/>
        <v>4.46140463073457E-3</v>
      </c>
      <c r="P909" s="1">
        <f>P250*P906/SUM(P248:P250)</f>
        <v>3.4265763485717532E-3</v>
      </c>
      <c r="Q909" s="1">
        <f>Q250*Q906/SUM(Q248:Q250)</f>
        <v>7.8039764653371584E-3</v>
      </c>
      <c r="S909" s="3"/>
    </row>
    <row r="910" spans="2:19" x14ac:dyDescent="0.5">
      <c r="B910" s="5" t="str">
        <f t="shared" si="1076"/>
        <v>SPS1</v>
      </c>
      <c r="C910" s="5" t="str">
        <f t="shared" si="1077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99">G287*G906/SUM(G248:G250)</f>
        <v>0</v>
      </c>
      <c r="H910" s="1">
        <f t="shared" si="1099"/>
        <v>0</v>
      </c>
      <c r="I910" s="1">
        <f t="shared" si="1099"/>
        <v>5.6626078213412711E-3</v>
      </c>
      <c r="J910" s="1">
        <f t="shared" si="1099"/>
        <v>4.3303067567493402E-3</v>
      </c>
      <c r="K910" s="1">
        <f t="shared" si="1099"/>
        <v>3.4079500164411404E-3</v>
      </c>
      <c r="L910" s="1">
        <f t="shared" ref="L910:O910" si="1100">L287*L906/SUM(L248:L250)</f>
        <v>5.0676808691904971E-3</v>
      </c>
      <c r="M910" s="1">
        <f t="shared" si="1100"/>
        <v>8.0336606650442122E-3</v>
      </c>
      <c r="N910" s="1">
        <f t="shared" si="1100"/>
        <v>7.1677239472060471E-3</v>
      </c>
      <c r="O910" s="1">
        <f t="shared" si="1100"/>
        <v>9.2709309985412186E-3</v>
      </c>
      <c r="P910" s="1">
        <f>P287*P906/SUM(P248:P250)</f>
        <v>9.2287180219416936E-3</v>
      </c>
      <c r="Q910" s="1">
        <f>Q287*Q906/SUM(Q248:Q250)</f>
        <v>2.0032064546317424E-2</v>
      </c>
      <c r="S910" s="3"/>
    </row>
    <row r="911" spans="2:19" x14ac:dyDescent="0.5">
      <c r="B911" s="5" t="str">
        <f t="shared" si="1076"/>
        <v>SPS1</v>
      </c>
      <c r="C911" s="5" t="str">
        <f t="shared" si="1077"/>
        <v>CH</v>
      </c>
      <c r="D911" t="s">
        <v>506</v>
      </c>
      <c r="E911" t="s">
        <v>8</v>
      </c>
      <c r="F911" s="1">
        <f t="shared" ref="F911:K911" si="1101">F290</f>
        <v>0</v>
      </c>
      <c r="G911" s="1">
        <f t="shared" si="1101"/>
        <v>0</v>
      </c>
      <c r="H911" s="1">
        <f t="shared" si="1101"/>
        <v>0</v>
      </c>
      <c r="I911" s="1">
        <f t="shared" si="1101"/>
        <v>8.8743175341618832E-4</v>
      </c>
      <c r="J911" s="1">
        <f t="shared" si="1101"/>
        <v>2.0010740297037467E-3</v>
      </c>
      <c r="K911" s="1">
        <f t="shared" si="1101"/>
        <v>2.0481002373415481E-3</v>
      </c>
      <c r="L911" s="1">
        <f t="shared" ref="L911:O911" si="1102">L290</f>
        <v>2.3285268922610715E-3</v>
      </c>
      <c r="M911" s="1">
        <f t="shared" si="1102"/>
        <v>5.7058076583348695E-3</v>
      </c>
      <c r="N911" s="1">
        <f t="shared" si="1102"/>
        <v>5.2472915007163523E-3</v>
      </c>
      <c r="O911" s="1">
        <f t="shared" si="1102"/>
        <v>1.2811209627853924E-2</v>
      </c>
      <c r="P911" s="1">
        <f>P290</f>
        <v>9.6791031034381379E-3</v>
      </c>
      <c r="Q911" s="1">
        <f>Q290</f>
        <v>1.8488614074140507E-2</v>
      </c>
      <c r="S911" s="3"/>
    </row>
    <row r="912" spans="2:19" x14ac:dyDescent="0.5">
      <c r="B912" s="5" t="str">
        <f t="shared" si="1076"/>
        <v>SPS1</v>
      </c>
      <c r="C912" s="5" t="str">
        <f t="shared" si="1077"/>
        <v>CH</v>
      </c>
      <c r="D912" t="s">
        <v>970</v>
      </c>
      <c r="E912" t="s">
        <v>8</v>
      </c>
      <c r="F912" s="1">
        <f>F905-F906</f>
        <v>5.6100113191695762</v>
      </c>
      <c r="G912" s="1">
        <f t="shared" ref="G912:K912" si="1103">G905-G906</f>
        <v>6.0767076295886877</v>
      </c>
      <c r="H912" s="1">
        <f t="shared" si="1103"/>
        <v>6.0767080236263613</v>
      </c>
      <c r="I912" s="1">
        <f t="shared" si="1103"/>
        <v>6.0767068975635414</v>
      </c>
      <c r="J912" s="1">
        <f t="shared" si="1103"/>
        <v>6.076707270044853</v>
      </c>
      <c r="K912" s="1">
        <f t="shared" si="1103"/>
        <v>6.0767092881839346</v>
      </c>
      <c r="L912" s="1">
        <f t="shared" ref="L912:O912" si="1104">L905-L906</f>
        <v>6.0767349937821225</v>
      </c>
      <c r="M912" s="1">
        <f t="shared" si="1104"/>
        <v>9.0347042453006559</v>
      </c>
      <c r="N912" s="1">
        <f t="shared" si="1104"/>
        <v>9.0347410381682085</v>
      </c>
      <c r="O912" s="1">
        <f t="shared" si="1104"/>
        <v>9.0347558673583777</v>
      </c>
      <c r="P912" s="1">
        <f>P905-P906</f>
        <v>9.034778285156932</v>
      </c>
      <c r="Q912" s="1">
        <f>Q905-Q906</f>
        <v>9.0347931848942835</v>
      </c>
      <c r="S912" s="3"/>
    </row>
    <row r="913" spans="2:19" x14ac:dyDescent="0.5">
      <c r="B913" s="5" t="str">
        <f t="shared" si="1076"/>
        <v>SPS1</v>
      </c>
      <c r="C913" s="5" t="str">
        <f t="shared" si="1077"/>
        <v>CH</v>
      </c>
      <c r="D913" t="s">
        <v>971</v>
      </c>
      <c r="E913" t="s">
        <v>8</v>
      </c>
      <c r="F913" s="1">
        <f>F914</f>
        <v>8.5743734981499795</v>
      </c>
      <c r="G913" s="1">
        <f t="shared" ref="G913:O913" si="1105">G914</f>
        <v>9.3510657465569356</v>
      </c>
      <c r="H913" s="1">
        <f t="shared" si="1105"/>
        <v>9.2554145057482131</v>
      </c>
      <c r="I913" s="1">
        <f t="shared" si="1105"/>
        <v>7.4210954986253475</v>
      </c>
      <c r="J913" s="1">
        <f t="shared" si="1105"/>
        <v>5.1038189203095827</v>
      </c>
      <c r="K913" s="1">
        <f t="shared" si="1105"/>
        <v>3.2171700302223591</v>
      </c>
      <c r="L913" s="1">
        <f t="shared" si="1105"/>
        <v>1.9995803943449542</v>
      </c>
      <c r="M913" s="1">
        <f t="shared" si="1105"/>
        <v>0.64205889555411755</v>
      </c>
      <c r="N913" s="1">
        <f t="shared" si="1105"/>
        <v>0.62242578903252921</v>
      </c>
      <c r="O913" s="1">
        <f t="shared" si="1105"/>
        <v>0.60787304314755519</v>
      </c>
      <c r="P913" s="1">
        <f>P914</f>
        <v>0.59473667730652424</v>
      </c>
      <c r="Q913" s="1">
        <f>Q914</f>
        <v>0.56890371572090936</v>
      </c>
      <c r="S913" s="3"/>
    </row>
    <row r="914" spans="2:19" x14ac:dyDescent="0.5">
      <c r="B914" s="5" t="str">
        <f t="shared" si="1076"/>
        <v>SPS1</v>
      </c>
      <c r="C914" s="5" t="str">
        <f t="shared" si="1077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8.5743734981499795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9.3510657465569356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9.2554145057482131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7.4210954986253475</v>
      </c>
      <c r="J914" s="1" cm="1">
        <f t="array" ref="J914">SUMPRODUCT(([1]OUT_FinalEnergyCons!$B$4:$B$10000="Var_Fin")*1, ISNUMBER(SEARCH("WOD",[1]OUT_FinalEnergyCons!$C$4:$C$10000))*1,(ISNUMBER(SEARCH("SCOM-SHWODBR",[1]OUT_FinalEnergyCons!$A$4:$A$10000)))*1,[1]OUT_FinalEnergyCons!H$4:H$10000)</f>
        <v>5.1038189203095827</v>
      </c>
      <c r="K914" s="1" cm="1">
        <f t="array" ref="K914">SUMPRODUCT(([1]OUT_FinalEnergyCons!$B$4:$B$10000="Var_Fin")*1, ISNUMBER(SEARCH("WOD",[1]OUT_FinalEnergyCons!$C$4:$C$10000))*1,(ISNUMBER(SEARCH("SCOM-SHWODBR",[1]OUT_FinalEnergyCons!$A$4:$A$10000)))*1,[1]OUT_FinalEnergyCons!I$4:I$10000)</f>
        <v>3.2171700302223591</v>
      </c>
      <c r="L914" s="1" cm="1">
        <f t="array" ref="L914">SUMPRODUCT(([1]OUT_FinalEnergyCons!$B$4:$B$10000="Var_Fin")*1, ISNUMBER(SEARCH("WOD",[1]OUT_FinalEnergyCons!$C$4:$C$10000))*1,(ISNUMBER(SEARCH("SCOM-SHWODBR",[1]OUT_FinalEnergyCons!$A$4:$A$10000)))*1,[1]OUT_FinalEnergyCons!J$4:J$10000)</f>
        <v>1.9995803943449542</v>
      </c>
      <c r="M914" s="1" cm="1">
        <f t="array" ref="M914">SUMPRODUCT(([1]OUT_FinalEnergyCons!$B$4:$B$10000="Var_Fin")*1, ISNUMBER(SEARCH("WOD",[1]OUT_FinalEnergyCons!$C$4:$C$10000))*1,(ISNUMBER(SEARCH("SCOM-SHWODBR",[1]OUT_FinalEnergyCons!$A$4:$A$10000)))*1,[1]OUT_FinalEnergyCons!K$4:K$10000)</f>
        <v>0.64205889555411755</v>
      </c>
      <c r="N914" s="1" cm="1">
        <f t="array" ref="N914">SUMPRODUCT(([1]OUT_FinalEnergyCons!$B$4:$B$10000="Var_Fin")*1, ISNUMBER(SEARCH("WOD",[1]OUT_FinalEnergyCons!$C$4:$C$10000))*1,(ISNUMBER(SEARCH("SCOM-SHWODBR",[1]OUT_FinalEnergyCons!$A$4:$A$10000)))*1,[1]OUT_FinalEnergyCons!L$4:L$10000)</f>
        <v>0.62242578903252921</v>
      </c>
      <c r="O914" s="1" cm="1">
        <f t="array" ref="O914">SUMPRODUCT(([1]OUT_FinalEnergyCons!$B$4:$B$10000="Var_Fin")*1, ISNUMBER(SEARCH("WOD",[1]OUT_FinalEnergyCons!$C$4:$C$10000))*1,(ISNUMBER(SEARCH("SCOM-SHWODBR",[1]OUT_FinalEnergyCons!$A$4:$A$10000)))*1,[1]OUT_FinalEnergyCons!M$4:M$10000)</f>
        <v>0.60787304314755519</v>
      </c>
      <c r="P914" s="1" cm="1">
        <f t="array" ref="P914">SUMPRODUCT(([1]OUT_FinalEnergyCons!$B$4:$B$10000="Var_Fin")*1, ISNUMBER(SEARCH("WOD",[1]OUT_FinalEnergyCons!$C$4:$C$10000))*1,(ISNUMBER(SEARCH("SCOM-SHWODBR",[1]OUT_FinalEnergyCons!$A$4:$A$10000)))*1,[1]OUT_FinalEnergyCons!N$4:N$10000)</f>
        <v>0.59473667730652424</v>
      </c>
      <c r="Q914" s="1" cm="1">
        <f t="array" ref="Q914">SUMPRODUCT(([1]OUT_FinalEnergyCons!$B$4:$B$10000="Var_Fin")*1, ISNUMBER(SEARCH("WOD",[1]OUT_FinalEnergyCons!$C$4:$C$10000))*1,(ISNUMBER(SEARCH("SCOM-SHWODBR",[1]OUT_FinalEnergyCons!$A$4:$A$10000)))*1,[1]OUT_FinalEnergyCons!O$4:O$10000)</f>
        <v>0.56890371572090936</v>
      </c>
      <c r="S914" s="3"/>
    </row>
    <row r="915" spans="2:19" x14ac:dyDescent="0.5">
      <c r="B915" s="5" t="str">
        <f t="shared" si="1076"/>
        <v>SPS1</v>
      </c>
      <c r="C915" s="5" t="str">
        <f t="shared" si="1077"/>
        <v>CH</v>
      </c>
      <c r="D915" t="s">
        <v>973</v>
      </c>
      <c r="E915" t="s">
        <v>8</v>
      </c>
      <c r="F915" s="1">
        <f>F916</f>
        <v>2.0856391487670529</v>
      </c>
      <c r="G915" s="1">
        <f t="shared" ref="G915:O915" si="1106">G916</f>
        <v>2.4000936664245707</v>
      </c>
      <c r="H915" s="1">
        <f t="shared" si="1106"/>
        <v>2.3203174169881171</v>
      </c>
      <c r="I915" s="1">
        <f t="shared" si="1106"/>
        <v>2.5333130937199804</v>
      </c>
      <c r="J915" s="1">
        <f t="shared" si="1106"/>
        <v>2.6821881542859396</v>
      </c>
      <c r="K915" s="1">
        <f t="shared" si="1106"/>
        <v>3.0342107639805862</v>
      </c>
      <c r="L915" s="1">
        <f t="shared" si="1106"/>
        <v>2.8917537740626575</v>
      </c>
      <c r="M915" s="1">
        <f t="shared" si="1106"/>
        <v>2.9539177868909241</v>
      </c>
      <c r="N915" s="1">
        <f t="shared" si="1106"/>
        <v>2.8831042316394275</v>
      </c>
      <c r="O915" s="1">
        <f t="shared" si="1106"/>
        <v>2.815671455330647</v>
      </c>
      <c r="P915" s="1">
        <f>P916</f>
        <v>2.754624434808477</v>
      </c>
      <c r="Q915" s="1">
        <f>Q916</f>
        <v>2.6330475628142276</v>
      </c>
      <c r="S915" s="3"/>
    </row>
    <row r="916" spans="2:19" x14ac:dyDescent="0.5">
      <c r="B916" s="5" t="str">
        <f t="shared" si="1076"/>
        <v>SPS1</v>
      </c>
      <c r="C916" s="5" t="str">
        <f t="shared" si="1077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2.0856391487670529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2.4000936664245707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2.3203174169881171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2.5333130937199804</v>
      </c>
      <c r="J916" s="1" cm="1">
        <f t="array" ref="J916">SUMPRODUCT(([1]OUT_FinalEnergyCons!$B$4:$B$10000="Var_Fin")*1,ISNUMBER(SEARCH("SPLT",[1]OUT_FinalEnergyCons!$C$4:$C$10000))*1, (ISNUMBER(SEARCH("SCOM-SHPLTBR",[1]OUT_FinalEnergyCons!$A$4:$A$10000)))*1,[1]OUT_FinalEnergyCons!H$4:H$10000)</f>
        <v>2.6821881542859396</v>
      </c>
      <c r="K916" s="1" cm="1">
        <f t="array" ref="K916">SUMPRODUCT(([1]OUT_FinalEnergyCons!$B$4:$B$10000="Var_Fin")*1,ISNUMBER(SEARCH("SPLT",[1]OUT_FinalEnergyCons!$C$4:$C$10000))*1, (ISNUMBER(SEARCH("SCOM-SHPLTBR",[1]OUT_FinalEnergyCons!$A$4:$A$10000)))*1,[1]OUT_FinalEnergyCons!I$4:I$10000)</f>
        <v>3.0342107639805862</v>
      </c>
      <c r="L916" s="1" cm="1">
        <f t="array" ref="L916">SUMPRODUCT(([1]OUT_FinalEnergyCons!$B$4:$B$10000="Var_Fin")*1,ISNUMBER(SEARCH("SPLT",[1]OUT_FinalEnergyCons!$C$4:$C$10000))*1, (ISNUMBER(SEARCH("SCOM-SHPLTBR",[1]OUT_FinalEnergyCons!$A$4:$A$10000)))*1,[1]OUT_FinalEnergyCons!J$4:J$10000)</f>
        <v>2.8917537740626575</v>
      </c>
      <c r="M916" s="1" cm="1">
        <f t="array" ref="M916">SUMPRODUCT(([1]OUT_FinalEnergyCons!$B$4:$B$10000="Var_Fin")*1,ISNUMBER(SEARCH("SPLT",[1]OUT_FinalEnergyCons!$C$4:$C$10000))*1, (ISNUMBER(SEARCH("SCOM-SHPLTBR",[1]OUT_FinalEnergyCons!$A$4:$A$10000)))*1,[1]OUT_FinalEnergyCons!K$4:K$10000)</f>
        <v>2.9539177868909241</v>
      </c>
      <c r="N916" s="1" cm="1">
        <f t="array" ref="N916">SUMPRODUCT(([1]OUT_FinalEnergyCons!$B$4:$B$10000="Var_Fin")*1,ISNUMBER(SEARCH("SPLT",[1]OUT_FinalEnergyCons!$C$4:$C$10000))*1, (ISNUMBER(SEARCH("SCOM-SHPLTBR",[1]OUT_FinalEnergyCons!$A$4:$A$10000)))*1,[1]OUT_FinalEnergyCons!L$4:L$10000)</f>
        <v>2.8831042316394275</v>
      </c>
      <c r="O916" s="1" cm="1">
        <f t="array" ref="O916">SUMPRODUCT(([1]OUT_FinalEnergyCons!$B$4:$B$10000="Var_Fin")*1,ISNUMBER(SEARCH("SPLT",[1]OUT_FinalEnergyCons!$C$4:$C$10000))*1, (ISNUMBER(SEARCH("SCOM-SHPLTBR",[1]OUT_FinalEnergyCons!$A$4:$A$10000)))*1,[1]OUT_FinalEnergyCons!M$4:M$10000)</f>
        <v>2.815671455330647</v>
      </c>
      <c r="P916" s="1" cm="1">
        <f t="array" ref="P916">SUMPRODUCT(([1]OUT_FinalEnergyCons!$B$4:$B$10000="Var_Fin")*1,ISNUMBER(SEARCH("SPLT",[1]OUT_FinalEnergyCons!$C$4:$C$10000))*1, (ISNUMBER(SEARCH("SCOM-SHPLTBR",[1]OUT_FinalEnergyCons!$A$4:$A$10000)))*1,[1]OUT_FinalEnergyCons!N$4:N$10000)</f>
        <v>2.754624434808477</v>
      </c>
      <c r="Q916" s="1" cm="1">
        <f t="array" ref="Q916">SUMPRODUCT(([1]OUT_FinalEnergyCons!$B$4:$B$10000="Var_Fin")*1,ISNUMBER(SEARCH("SPLT",[1]OUT_FinalEnergyCons!$C$4:$C$10000))*1, (ISNUMBER(SEARCH("SCOM-SHPLTBR",[1]OUT_FinalEnergyCons!$A$4:$A$10000)))*1,[1]OUT_FinalEnergyCons!O$4:O$10000)</f>
        <v>2.6330475628142276</v>
      </c>
      <c r="S916" s="3"/>
    </row>
    <row r="917" spans="2:19" x14ac:dyDescent="0.5">
      <c r="B917" s="5" t="str">
        <f t="shared" si="1076"/>
        <v>SPS1</v>
      </c>
      <c r="C917" s="5" t="str">
        <f t="shared" si="1077"/>
        <v>CH</v>
      </c>
      <c r="D917" t="s">
        <v>975</v>
      </c>
      <c r="E917" t="s">
        <v>8</v>
      </c>
      <c r="F917" s="1">
        <f>F918</f>
        <v>0.62699680764505905</v>
      </c>
      <c r="G917" s="1">
        <f t="shared" ref="G917:O917" si="1107">G918</f>
        <v>0.68734364804233028</v>
      </c>
      <c r="H917" s="1">
        <f t="shared" si="1107"/>
        <v>0.68718362234502062</v>
      </c>
      <c r="I917" s="1">
        <f t="shared" si="1107"/>
        <v>0.68734450827781024</v>
      </c>
      <c r="J917" s="1">
        <f t="shared" si="1107"/>
        <v>0.6872266842979694</v>
      </c>
      <c r="K917" s="1">
        <f t="shared" si="1107"/>
        <v>0.68729923544794069</v>
      </c>
      <c r="L917" s="1">
        <f t="shared" si="1107"/>
        <v>0.687294554997396</v>
      </c>
      <c r="M917" s="1">
        <f t="shared" si="1107"/>
        <v>0.68704032868807707</v>
      </c>
      <c r="N917" s="1">
        <f t="shared" si="1107"/>
        <v>0.68731520711353422</v>
      </c>
      <c r="O917" s="1">
        <f t="shared" si="1107"/>
        <v>0.68710531914054318</v>
      </c>
      <c r="P917" s="1">
        <f>P918</f>
        <v>0.68727871936955165</v>
      </c>
      <c r="Q917" s="1">
        <f>Q918</f>
        <v>0.68719550815647923</v>
      </c>
      <c r="S917" s="3"/>
    </row>
    <row r="918" spans="2:19" x14ac:dyDescent="0.5">
      <c r="B918" s="5" t="str">
        <f t="shared" si="1076"/>
        <v>SPS1</v>
      </c>
      <c r="C918" s="5" t="str">
        <f t="shared" si="1077"/>
        <v>CH</v>
      </c>
      <c r="D918" t="s">
        <v>976</v>
      </c>
      <c r="E918" t="s">
        <v>8</v>
      </c>
      <c r="F918" s="1">
        <f>[1]Services!B$19</f>
        <v>0.62699680764505905</v>
      </c>
      <c r="G918" s="1">
        <f>[1]Services!C$19</f>
        <v>0.68734364804233028</v>
      </c>
      <c r="H918" s="1">
        <f>[1]Services!D$19</f>
        <v>0.68718362234502062</v>
      </c>
      <c r="I918" s="1">
        <f>[1]Services!E$19</f>
        <v>0.68734450827781024</v>
      </c>
      <c r="J918" s="1">
        <f>[1]Services!F$19</f>
        <v>0.6872266842979694</v>
      </c>
      <c r="K918" s="1">
        <f>[1]Services!G$19</f>
        <v>0.68729923544794069</v>
      </c>
      <c r="L918" s="1">
        <f>[1]Services!H$19</f>
        <v>0.687294554997396</v>
      </c>
      <c r="M918" s="1">
        <f>[1]Services!I$19</f>
        <v>0.68704032868807707</v>
      </c>
      <c r="N918" s="1">
        <f>[1]Services!J$19</f>
        <v>0.68731520711353422</v>
      </c>
      <c r="O918" s="1">
        <f>[1]Services!K$19</f>
        <v>0.68710531914054318</v>
      </c>
      <c r="P918" s="1">
        <f>[1]Services!L$19</f>
        <v>0.68727871936955165</v>
      </c>
      <c r="Q918" s="1">
        <f>[1]Services!M$19</f>
        <v>0.68719550815647923</v>
      </c>
      <c r="S918" s="3"/>
    </row>
    <row r="919" spans="2:19" x14ac:dyDescent="0.5">
      <c r="B919" s="5" t="str">
        <f t="shared" si="1076"/>
        <v>SPS1</v>
      </c>
      <c r="C919" s="5" t="str">
        <f t="shared" si="1077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1.6734217974690587E-3</v>
      </c>
      <c r="J919" s="1">
        <f>[1]Services!F$20</f>
        <v>3.6465412231440715E-3</v>
      </c>
      <c r="K919" s="1">
        <f>[1]Services!G$20</f>
        <v>4.5582944975278558E-3</v>
      </c>
      <c r="L919" s="1">
        <f>[1]Services!H$20</f>
        <v>3.8928698889385549E-3</v>
      </c>
      <c r="M919" s="1">
        <f>[1]Services!I$20</f>
        <v>1.665304792306533E-2</v>
      </c>
      <c r="N919" s="1">
        <f>[1]Services!J$20</f>
        <v>1.4126120017573095E-2</v>
      </c>
      <c r="O919" s="1">
        <f>[1]Services!K$20</f>
        <v>0.15092305121204794</v>
      </c>
      <c r="P919" s="1">
        <f>[1]Services!L$20</f>
        <v>0.20430123481072027</v>
      </c>
      <c r="Q919" s="1">
        <f>[1]Services!M$20</f>
        <v>0.18244937495201718</v>
      </c>
      <c r="S919" s="3"/>
    </row>
    <row r="920" spans="2:19" x14ac:dyDescent="0.5">
      <c r="B920" s="5" t="str">
        <f t="shared" si="1076"/>
        <v>SPS1</v>
      </c>
      <c r="C920" s="5" t="str">
        <f t="shared" si="1077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108">G919-G921</f>
        <v>0</v>
      </c>
      <c r="H920" s="1">
        <f t="shared" si="1108"/>
        <v>0</v>
      </c>
      <c r="I920" s="1">
        <f t="shared" si="1108"/>
        <v>0</v>
      </c>
      <c r="J920" s="1">
        <f t="shared" si="1108"/>
        <v>0</v>
      </c>
      <c r="K920" s="1">
        <f t="shared" si="1108"/>
        <v>0</v>
      </c>
      <c r="L920" s="1">
        <f t="shared" ref="L920:O920" si="1109">L919-L921</f>
        <v>0</v>
      </c>
      <c r="M920" s="1">
        <f t="shared" si="1109"/>
        <v>0</v>
      </c>
      <c r="N920" s="1">
        <f t="shared" si="1109"/>
        <v>0</v>
      </c>
      <c r="O920" s="1">
        <f t="shared" si="1109"/>
        <v>0</v>
      </c>
      <c r="P920" s="1">
        <f>P919-P921</f>
        <v>0</v>
      </c>
      <c r="Q920" s="1">
        <f>Q919-Q921</f>
        <v>0</v>
      </c>
      <c r="S920" s="3"/>
    </row>
    <row r="921" spans="2:19" x14ac:dyDescent="0.5">
      <c r="B921" s="5" t="str">
        <f t="shared" si="1076"/>
        <v>SPS1</v>
      </c>
      <c r="C921" s="5" t="str">
        <f t="shared" si="1077"/>
        <v>CH</v>
      </c>
      <c r="D921" t="s">
        <v>747</v>
      </c>
      <c r="E921" t="s">
        <v>8</v>
      </c>
      <c r="F921" s="1">
        <f>F922</f>
        <v>0</v>
      </c>
      <c r="G921" s="1">
        <f t="shared" ref="G921:O921" si="1110">G922</f>
        <v>0</v>
      </c>
      <c r="H921" s="1">
        <f t="shared" si="1110"/>
        <v>0</v>
      </c>
      <c r="I921" s="1">
        <f t="shared" si="1110"/>
        <v>1.6734217974690587E-3</v>
      </c>
      <c r="J921" s="1">
        <f t="shared" si="1110"/>
        <v>3.6465412231440715E-3</v>
      </c>
      <c r="K921" s="1">
        <f t="shared" si="1110"/>
        <v>4.5582944975278558E-3</v>
      </c>
      <c r="L921" s="1">
        <f t="shared" si="1110"/>
        <v>3.8928698889385549E-3</v>
      </c>
      <c r="M921" s="1">
        <f t="shared" si="1110"/>
        <v>1.665304792306533E-2</v>
      </c>
      <c r="N921" s="1">
        <f t="shared" si="1110"/>
        <v>1.4126120017573095E-2</v>
      </c>
      <c r="O921" s="1">
        <f t="shared" si="1110"/>
        <v>0.15092305121204794</v>
      </c>
      <c r="P921" s="1">
        <f>P922</f>
        <v>0.20430123481072027</v>
      </c>
      <c r="Q921" s="1">
        <f>Q922</f>
        <v>0.18244937495201718</v>
      </c>
      <c r="S921" s="3"/>
    </row>
    <row r="922" spans="2:19" x14ac:dyDescent="0.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1.6734217974690587E-3</v>
      </c>
      <c r="J922" s="1">
        <f>[1]Services!F$20</f>
        <v>3.6465412231440715E-3</v>
      </c>
      <c r="K922" s="1">
        <f>[1]Services!G$20</f>
        <v>4.5582944975278558E-3</v>
      </c>
      <c r="L922" s="1">
        <f>[1]Services!H$20</f>
        <v>3.8928698889385549E-3</v>
      </c>
      <c r="M922" s="1">
        <f>[1]Services!I$20</f>
        <v>1.665304792306533E-2</v>
      </c>
      <c r="N922" s="1">
        <f>[1]Services!J$20</f>
        <v>1.4126120017573095E-2</v>
      </c>
      <c r="O922" s="1">
        <f>[1]Services!K$20</f>
        <v>0.15092305121204794</v>
      </c>
      <c r="P922" s="1">
        <f>[1]Services!L$20</f>
        <v>0.20430123481072027</v>
      </c>
      <c r="Q922" s="1">
        <f>[1]Services!M$20</f>
        <v>0.18244937495201718</v>
      </c>
      <c r="S922" s="3"/>
    </row>
    <row r="923" spans="2:19" x14ac:dyDescent="0.5">
      <c r="B923" s="5" t="str">
        <f t="shared" si="1076"/>
        <v>SPS1</v>
      </c>
      <c r="C923" s="5" t="str">
        <f t="shared" si="1077"/>
        <v>CH</v>
      </c>
      <c r="D923" t="s">
        <v>979</v>
      </c>
      <c r="E923" t="s">
        <v>8</v>
      </c>
      <c r="F923" s="1">
        <f>F924</f>
        <v>2.9296010179317924</v>
      </c>
      <c r="G923" s="1">
        <f t="shared" ref="G923:O923" si="1111">G924</f>
        <v>3.192459079284522</v>
      </c>
      <c r="H923" s="1">
        <f t="shared" si="1111"/>
        <v>3.3639849137359858</v>
      </c>
      <c r="I923" s="1">
        <f t="shared" si="1111"/>
        <v>3.6704880245728964</v>
      </c>
      <c r="J923" s="1">
        <f t="shared" si="1111"/>
        <v>3.9964282384211347</v>
      </c>
      <c r="K923" s="1">
        <f t="shared" si="1111"/>
        <v>4.350056544616498</v>
      </c>
      <c r="L923" s="1">
        <f t="shared" si="1111"/>
        <v>4.7250244966158661</v>
      </c>
      <c r="M923" s="1">
        <f t="shared" si="1111"/>
        <v>5.1449909007226626</v>
      </c>
      <c r="N923" s="1">
        <f t="shared" si="1111"/>
        <v>5.5489285375246773</v>
      </c>
      <c r="O923" s="1">
        <f t="shared" si="1111"/>
        <v>5.948103675395906</v>
      </c>
      <c r="P923" s="1">
        <f>P924</f>
        <v>6.4121600179523197</v>
      </c>
      <c r="Q923" s="1">
        <f>Q924</f>
        <v>6.87411459546923</v>
      </c>
      <c r="S923" s="3"/>
    </row>
    <row r="924" spans="2:19" x14ac:dyDescent="0.5">
      <c r="B924" s="5" t="str">
        <f t="shared" si="1076"/>
        <v>SPS1</v>
      </c>
      <c r="C924" s="5" t="str">
        <f t="shared" si="1077"/>
        <v>CH</v>
      </c>
      <c r="D924" t="s">
        <v>980</v>
      </c>
      <c r="E924" t="s">
        <v>8</v>
      </c>
      <c r="F924" s="1">
        <f>[1]Services!B$21-F925</f>
        <v>2.9296010179317924</v>
      </c>
      <c r="G924" s="1">
        <f>[1]Services!C$21-G925</f>
        <v>3.192459079284522</v>
      </c>
      <c r="H924" s="1">
        <f>[1]Services!D$21-H925</f>
        <v>3.3639849137359858</v>
      </c>
      <c r="I924" s="1">
        <f>[1]Services!E$21-I925</f>
        <v>3.6704880245728964</v>
      </c>
      <c r="J924" s="1">
        <f>[1]Services!F$21-J925</f>
        <v>3.9964282384211347</v>
      </c>
      <c r="K924" s="1">
        <f>[1]Services!G$21-K925</f>
        <v>4.350056544616498</v>
      </c>
      <c r="L924" s="1">
        <f>[1]Services!H$21-L925</f>
        <v>4.7250244966158661</v>
      </c>
      <c r="M924" s="1">
        <f>[1]Services!I$21-M925</f>
        <v>5.1449909007226626</v>
      </c>
      <c r="N924" s="1">
        <f>[1]Services!J$21-N925</f>
        <v>5.5489285375246773</v>
      </c>
      <c r="O924" s="1">
        <f>[1]Services!K$21-O925</f>
        <v>5.948103675395906</v>
      </c>
      <c r="P924" s="1">
        <f>[1]Services!L$21-P925</f>
        <v>6.4121600179523197</v>
      </c>
      <c r="Q924" s="1">
        <f>[1]Services!M$21-Q925</f>
        <v>6.87411459546923</v>
      </c>
      <c r="S924" s="3"/>
    </row>
    <row r="925" spans="2:19" x14ac:dyDescent="0.5">
      <c r="B925" s="5" t="str">
        <f t="shared" ref="B925" si="1112">B924</f>
        <v>SPS1</v>
      </c>
      <c r="C925" s="5" t="str">
        <f t="shared" ref="C925" si="1113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1.0128936598425824E-3</v>
      </c>
      <c r="I925" s="1">
        <f>[1]Services!E$50-I896</f>
        <v>1.0358195484589129E-3</v>
      </c>
      <c r="J925" s="1">
        <f>[1]Services!F$50-J896</f>
        <v>4.6734920894127875E-3</v>
      </c>
      <c r="K925" s="1">
        <f>[1]Services!G$50-K896</f>
        <v>7.457734754082259E-3</v>
      </c>
      <c r="L925" s="1">
        <f>[1]Services!H$50-L896</f>
        <v>1.5715059565346919E-2</v>
      </c>
      <c r="M925" s="1">
        <f>[1]Services!I$50-M896</f>
        <v>1.3353670912917254E-2</v>
      </c>
      <c r="N925" s="1">
        <f>[1]Services!J$50-N896</f>
        <v>9.5535815666475885E-3</v>
      </c>
      <c r="O925" s="1">
        <f>[1]Services!K$50-O896</f>
        <v>3.2939892812641945E-2</v>
      </c>
      <c r="P925" s="1">
        <f>[1]Services!L$50-P896</f>
        <v>3.2112503966953657E-2</v>
      </c>
      <c r="Q925" s="1">
        <f>[1]Services!M$50-Q896</f>
        <v>6.0282799534758541E-2</v>
      </c>
      <c r="S925" s="3"/>
    </row>
    <row r="926" spans="2:19" x14ac:dyDescent="0.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73.23842923670091</v>
      </c>
      <c r="G926" s="17">
        <f>[1]Services!C$59</f>
        <v>78.574118244560523</v>
      </c>
      <c r="H926" s="17">
        <f>[1]Services!D$59</f>
        <v>77.937395825797267</v>
      </c>
      <c r="I926" s="17">
        <f>[1]Services!E$59</f>
        <v>76.692385028006441</v>
      </c>
      <c r="J926" s="17">
        <f>[1]Services!F$59</f>
        <v>74.06114105220793</v>
      </c>
      <c r="K926" s="17">
        <f>[1]Services!G$59</f>
        <v>71.364215515400971</v>
      </c>
      <c r="L926" s="17">
        <f>[1]Services!H$59</f>
        <v>68.15036217204829</v>
      </c>
      <c r="M926" s="17">
        <f>[1]Services!I$59</f>
        <v>64.992697432995769</v>
      </c>
      <c r="N926" s="17">
        <f>[1]Services!J$59</f>
        <v>63.600276191335361</v>
      </c>
      <c r="O926" s="17">
        <f>[1]Services!K$59</f>
        <v>62.307320451531147</v>
      </c>
      <c r="P926" s="17">
        <f>[1]Services!L$59</f>
        <v>61.089426109213946</v>
      </c>
      <c r="Q926" s="17">
        <f>[1]Services!M$59</f>
        <v>58.713292767465241</v>
      </c>
      <c r="S926" s="3"/>
    </row>
    <row r="927" spans="2:19" x14ac:dyDescent="0.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63.650063131271011</v>
      </c>
      <c r="G927" s="1">
        <f t="shared" ref="G927:K927" si="1114">SUM(G928:G930)</f>
        <v>63.686661300573483</v>
      </c>
      <c r="H927" s="1">
        <f t="shared" si="1114"/>
        <v>68.61372303812324</v>
      </c>
      <c r="I927" s="1">
        <f t="shared" si="1114"/>
        <v>69.231815643806087</v>
      </c>
      <c r="J927" s="1">
        <f t="shared" si="1114"/>
        <v>69.537745303960875</v>
      </c>
      <c r="K927" s="1">
        <f t="shared" si="1114"/>
        <v>70.036469849549135</v>
      </c>
      <c r="L927" s="1">
        <f t="shared" ref="L927:O927" si="1115">SUM(L928:L930)</f>
        <v>69.681999437056703</v>
      </c>
      <c r="M927" s="1">
        <f t="shared" si="1115"/>
        <v>69.40607213447565</v>
      </c>
      <c r="N927" s="1">
        <f t="shared" si="1115"/>
        <v>70.982490205819417</v>
      </c>
      <c r="O927" s="1">
        <f t="shared" si="1115"/>
        <v>72.360620387982294</v>
      </c>
      <c r="P927" s="1">
        <f>SUM(P928:P930)</f>
        <v>73.783703707698777</v>
      </c>
      <c r="Q927" s="1">
        <f>SUM(Q928:Q930)</f>
        <v>75.151649944295045</v>
      </c>
      <c r="S927" s="3"/>
    </row>
    <row r="928" spans="2:19" x14ac:dyDescent="0.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2.3940507120941446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0.36710274971164675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2.2488535152660698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1.9617838956123663</v>
      </c>
      <c r="J928" s="1" cm="1">
        <f t="array" ref="J928">SUMPRODUCT(([1]OUT_FinalEnergyCons!$B$4:$B$10000="Var_FOut")*1, ISNUMBER(SEARCH("SCOM-SHAELC",[1]OUT_FinalEnergyCons!$C$4:$C$10000))*1, (ISNUMBER(SEARCH("SCOM-SHELCBR",[1]OUT_FinalEnergyCons!$A$4:$A$10000)))*1,[1]OUT_FinalEnergyCons!H$4:H$10000)</f>
        <v>1.6499707051300647</v>
      </c>
      <c r="K928" s="1" cm="1">
        <f t="array" ref="K928">SUMPRODUCT(([1]OUT_FinalEnergyCons!$B$4:$B$10000="Var_FOut")*1, ISNUMBER(SEARCH("SCOM-SHAELC",[1]OUT_FinalEnergyCons!$C$4:$C$10000))*1, (ISNUMBER(SEARCH("SCOM-SHELCBR",[1]OUT_FinalEnergyCons!$A$4:$A$10000)))*1,[1]OUT_FinalEnergyCons!I$4:I$10000)</f>
        <v>1.3549037697050008</v>
      </c>
      <c r="L928" s="1" cm="1">
        <f t="array" ref="L928">SUMPRODUCT(([1]OUT_FinalEnergyCons!$B$4:$B$10000="Var_FOut")*1, ISNUMBER(SEARCH("SCOM-SHAELC",[1]OUT_FinalEnergyCons!$C$4:$C$10000))*1, (ISNUMBER(SEARCH("SCOM-SHELCBR",[1]OUT_FinalEnergyCons!$A$4:$A$10000)))*1,[1]OUT_FinalEnergyCons!J$4:J$10000)</f>
        <v>1.0710378202385173</v>
      </c>
      <c r="M928" s="1" cm="1">
        <f t="array" ref="M928">SUMPRODUCT(([1]OUT_FinalEnergyCons!$B$4:$B$10000="Var_FOut")*1, ISNUMBER(SEARCH("SCOM-SHAELC",[1]OUT_FinalEnergyCons!$C$4:$C$10000))*1, (ISNUMBER(SEARCH("SCOM-SHELCBR",[1]OUT_FinalEnergyCons!$A$4:$A$10000)))*1,[1]OUT_FinalEnergyCons!K$4:K$10000)</f>
        <v>0.81020175794373506</v>
      </c>
      <c r="N928" s="1" cm="1">
        <f t="array" ref="N928">SUMPRODUCT(([1]OUT_FinalEnergyCons!$B$4:$B$10000="Var_FOut")*1, ISNUMBER(SEARCH("SCOM-SHAELC",[1]OUT_FinalEnergyCons!$C$4:$C$10000))*1, (ISNUMBER(SEARCH("SCOM-SHELCBR",[1]OUT_FinalEnergyCons!$A$4:$A$10000)))*1,[1]OUT_FinalEnergyCons!L$4:L$10000)</f>
        <v>0.79076927952343645</v>
      </c>
      <c r="O928" s="1" cm="1">
        <f t="array" ref="O928">SUMPRODUCT(([1]OUT_FinalEnergyCons!$B$4:$B$10000="Var_FOut")*1, ISNUMBER(SEARCH("SCOM-SHAELC",[1]OUT_FinalEnergyCons!$C$4:$C$10000))*1, (ISNUMBER(SEARCH("SCOM-SHELCBR",[1]OUT_FinalEnergyCons!$A$4:$A$10000)))*1,[1]OUT_FinalEnergyCons!M$4:M$10000)</f>
        <v>0.77227773762237051</v>
      </c>
      <c r="P928" s="1" cm="1">
        <f t="array" ref="P928">SUMPRODUCT(([1]OUT_FinalEnergyCons!$B$4:$B$10000="Var_FOut")*1, ISNUMBER(SEARCH("SCOM-SHAELC",[1]OUT_FinalEnergyCons!$C$4:$C$10000))*1, (ISNUMBER(SEARCH("SCOM-SHELCBR",[1]OUT_FinalEnergyCons!$A$4:$A$10000)))*1,[1]OUT_FinalEnergyCons!N$4:N$10000)</f>
        <v>0.75552828408797401</v>
      </c>
      <c r="Q928" s="1" cm="1">
        <f t="array" ref="Q928">SUMPRODUCT(([1]OUT_FinalEnergyCons!$B$4:$B$10000="Var_FOut")*1, ISNUMBER(SEARCH("SCOM-SHAELC",[1]OUT_FinalEnergyCons!$C$4:$C$10000))*1, (ISNUMBER(SEARCH("SCOM-SHELCBR",[1]OUT_FinalEnergyCons!$A$4:$A$10000)))*1,[1]OUT_FinalEnergyCons!O$4:O$10000)</f>
        <v>0.72220085438853909</v>
      </c>
      <c r="S928" s="3"/>
    </row>
    <row r="929" spans="2:19" x14ac:dyDescent="0.5">
      <c r="B929" s="5" t="str">
        <f t="shared" ref="B929:B932" si="1116">B928</f>
        <v>SPS1</v>
      </c>
      <c r="C929" s="5" t="str">
        <f t="shared" ref="C929:C932" si="1117">C928</f>
        <v>CH</v>
      </c>
      <c r="D929" t="s">
        <v>729</v>
      </c>
      <c r="E929" t="s">
        <v>8</v>
      </c>
      <c r="F929" s="1">
        <f>[1]Services!B$47</f>
        <v>4.2612378442644241</v>
      </c>
      <c r="G929" s="1">
        <f>[1]Services!C$47</f>
        <v>4.6176640253936831</v>
      </c>
      <c r="H929" s="1">
        <f>[1]Services!D$47</f>
        <v>4.8265870501429351</v>
      </c>
      <c r="I929" s="1">
        <f>[1]Services!E$47</f>
        <v>5.199858034811605</v>
      </c>
      <c r="J929" s="1">
        <f>[1]Services!F$47</f>
        <v>5.5949995337895864</v>
      </c>
      <c r="K929" s="1">
        <f>[1]Services!G$47</f>
        <v>6.0231552156228423</v>
      </c>
      <c r="L929" s="1">
        <f>[1]Services!H$47</f>
        <v>6.4750335694365573</v>
      </c>
      <c r="M929" s="1">
        <f>[1]Services!I$47</f>
        <v>6.9824876509807545</v>
      </c>
      <c r="N929" s="1">
        <f>[1]Services!J$47</f>
        <v>7.5306887294977747</v>
      </c>
      <c r="O929" s="1">
        <f>[1]Services!K$47</f>
        <v>8.0724264166087316</v>
      </c>
      <c r="P929" s="1">
        <f>[1]Services!L$47</f>
        <v>8.7022171672210096</v>
      </c>
      <c r="Q929" s="1">
        <f>[1]Services!M$47</f>
        <v>9.3291555224225213</v>
      </c>
      <c r="S929" s="3"/>
    </row>
    <row r="930" spans="2:19" x14ac:dyDescent="0.5">
      <c r="B930" s="5" t="str">
        <f t="shared" si="1116"/>
        <v>SPS1</v>
      </c>
      <c r="C930" s="5" t="str">
        <f t="shared" si="1117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58.701894525468155</v>
      </c>
      <c r="H930" s="1">
        <f>[1]Services!D$3-([1]Services!D$6-[1]Services!D$58)</f>
        <v>61.538282472714229</v>
      </c>
      <c r="I930" s="1">
        <f>[1]Services!E$3-([1]Services!E$6-[1]Services!E$58)</f>
        <v>62.070173713382118</v>
      </c>
      <c r="J930" s="1">
        <f>[1]Services!F$3-([1]Services!F$6-[1]Services!F$58)</f>
        <v>62.292775065041226</v>
      </c>
      <c r="K930" s="1">
        <f>[1]Services!G$3-([1]Services!G$6-[1]Services!G$58)</f>
        <v>62.658410864221295</v>
      </c>
      <c r="L930" s="1">
        <f>[1]Services!H$3-([1]Services!H$6-[1]Services!H$58)</f>
        <v>62.135928047381626</v>
      </c>
      <c r="M930" s="1">
        <f>[1]Services!I$3-([1]Services!I$6-[1]Services!I$58)</f>
        <v>61.613382725551155</v>
      </c>
      <c r="N930" s="1">
        <f>[1]Services!J$3-([1]Services!J$6-[1]Services!J$58)</f>
        <v>62.66103219679821</v>
      </c>
      <c r="O930" s="1">
        <f>[1]Services!K$3-([1]Services!K$6-[1]Services!K$58)</f>
        <v>63.515916233751192</v>
      </c>
      <c r="P930" s="1">
        <f>[1]Services!L$3-([1]Services!L$6-[1]Services!L$58)</f>
        <v>64.325958256389796</v>
      </c>
      <c r="Q930" s="1">
        <f>[1]Services!M$3-([1]Services!M$6-[1]Services!M$58)</f>
        <v>65.100293567483988</v>
      </c>
      <c r="S930" s="3"/>
    </row>
    <row r="931" spans="2:19" x14ac:dyDescent="0.5">
      <c r="B931" s="5" t="str">
        <f t="shared" si="1116"/>
        <v>SPS1</v>
      </c>
      <c r="C931" s="5" t="str">
        <f t="shared" si="1117"/>
        <v>CH</v>
      </c>
      <c r="D931" t="s">
        <v>1040</v>
      </c>
      <c r="E931" t="s">
        <v>8</v>
      </c>
      <c r="F931" s="1">
        <f>F932</f>
        <v>24.843070811701367</v>
      </c>
      <c r="G931" s="1">
        <f t="shared" ref="G931:O931" si="1118">G932</f>
        <v>22.090710628529269</v>
      </c>
      <c r="H931" s="1">
        <f t="shared" si="1118"/>
        <v>20.825239689869345</v>
      </c>
      <c r="I931" s="1">
        <f t="shared" si="1118"/>
        <v>17.983347720079596</v>
      </c>
      <c r="J931" s="1">
        <f t="shared" si="1118"/>
        <v>14.188153291374128</v>
      </c>
      <c r="K931" s="1">
        <f t="shared" si="1118"/>
        <v>12.060853968393968</v>
      </c>
      <c r="L931" s="1">
        <f t="shared" si="1118"/>
        <v>11.227212754909369</v>
      </c>
      <c r="M931" s="1">
        <f t="shared" si="1118"/>
        <v>8.664933696995968</v>
      </c>
      <c r="N931" s="1">
        <f t="shared" si="1118"/>
        <v>7.2310060981658051</v>
      </c>
      <c r="O931" s="1">
        <f t="shared" si="1118"/>
        <v>5.8905388359771589</v>
      </c>
      <c r="P931" s="1">
        <f>P932</f>
        <v>3.4613812323685664</v>
      </c>
      <c r="Q931" s="1">
        <f>Q932</f>
        <v>1.189942301282082</v>
      </c>
      <c r="S931" s="3"/>
    </row>
    <row r="932" spans="2:19" x14ac:dyDescent="0.5">
      <c r="B932" s="5" t="str">
        <f t="shared" si="1116"/>
        <v>SPS1</v>
      </c>
      <c r="C932" s="5" t="str">
        <f t="shared" si="1117"/>
        <v>CH</v>
      </c>
      <c r="D932" t="s">
        <v>1041</v>
      </c>
      <c r="E932" t="s">
        <v>8</v>
      </c>
      <c r="F932" s="1">
        <f>[1]Services!B$48</f>
        <v>24.843070811701367</v>
      </c>
      <c r="G932" s="1">
        <f>[1]Services!C$48</f>
        <v>22.090710628529269</v>
      </c>
      <c r="H932" s="1">
        <f>[1]Services!D$48</f>
        <v>20.825239689869345</v>
      </c>
      <c r="I932" s="1">
        <f>[1]Services!E$48</f>
        <v>17.983347720079596</v>
      </c>
      <c r="J932" s="1">
        <f>[1]Services!F$48</f>
        <v>14.188153291374128</v>
      </c>
      <c r="K932" s="1">
        <f>[1]Services!G$48</f>
        <v>12.060853968393968</v>
      </c>
      <c r="L932" s="1">
        <f>[1]Services!H$48</f>
        <v>11.227212754909369</v>
      </c>
      <c r="M932" s="1">
        <f>[1]Services!I$48</f>
        <v>8.664933696995968</v>
      </c>
      <c r="N932" s="1">
        <f>[1]Services!J$48</f>
        <v>7.2310060981658051</v>
      </c>
      <c r="O932" s="1">
        <f>[1]Services!K$48</f>
        <v>5.8905388359771589</v>
      </c>
      <c r="P932" s="1">
        <f>[1]Services!L$48</f>
        <v>3.4613812323685664</v>
      </c>
      <c r="Q932" s="1">
        <f>[1]Services!M$48</f>
        <v>1.189942301282082</v>
      </c>
      <c r="S932" s="3"/>
    </row>
    <row r="933" spans="2:19" x14ac:dyDescent="0.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25.412795468045069</v>
      </c>
      <c r="G933" s="1">
        <f t="shared" ref="G933:K933" si="1119">SUM(G934:G936)</f>
        <v>26.667695468869937</v>
      </c>
      <c r="H933" s="1">
        <f t="shared" si="1119"/>
        <v>25.588997471028069</v>
      </c>
      <c r="I933" s="1">
        <f t="shared" si="1119"/>
        <v>26.45699187501836</v>
      </c>
      <c r="J933" s="1">
        <f t="shared" si="1119"/>
        <v>26.895533037282799</v>
      </c>
      <c r="K933" s="1">
        <f t="shared" si="1119"/>
        <v>27.182624180252091</v>
      </c>
      <c r="L933" s="1">
        <f t="shared" ref="L933:O933" si="1120">SUM(L934:L936)</f>
        <v>25.642444201024219</v>
      </c>
      <c r="M933" s="1">
        <f t="shared" si="1120"/>
        <v>24.362801874165669</v>
      </c>
      <c r="N933" s="1">
        <f t="shared" si="1120"/>
        <v>24.000467526155258</v>
      </c>
      <c r="O933" s="1">
        <f t="shared" si="1120"/>
        <v>23.485383853548303</v>
      </c>
      <c r="P933" s="1">
        <f>SUM(P934:P936)</f>
        <v>23.857125275947681</v>
      </c>
      <c r="Q933" s="1">
        <f>SUM(Q934:Q936)</f>
        <v>23.088003582358031</v>
      </c>
      <c r="S933" s="3"/>
    </row>
    <row r="934" spans="2:19" x14ac:dyDescent="0.5">
      <c r="B934" s="5" t="str">
        <f t="shared" ref="B934:B953" si="1121">B933</f>
        <v>SPS1</v>
      </c>
      <c r="C934" s="5" t="str">
        <f t="shared" ref="C934:C953" si="1122">C933</f>
        <v>CH</v>
      </c>
      <c r="D934" t="s">
        <v>1043</v>
      </c>
      <c r="E934" t="s">
        <v>8</v>
      </c>
      <c r="F934" s="1">
        <f>[1]Services!B$49</f>
        <v>24.189721046358255</v>
      </c>
      <c r="G934" s="1">
        <f>[1]Services!C$49</f>
        <v>25.326924250223758</v>
      </c>
      <c r="H934" s="1">
        <f>[1]Services!D$49</f>
        <v>24.174075713055622</v>
      </c>
      <c r="I934" s="1">
        <f>[1]Services!E$49</f>
        <v>25.042767930965869</v>
      </c>
      <c r="J934" s="1">
        <f>[1]Services!F$49</f>
        <v>25.33831742949198</v>
      </c>
      <c r="K934" s="1">
        <f>[1]Services!G$49</f>
        <v>25.501574344213001</v>
      </c>
      <c r="L934" s="1">
        <f>[1]Services!H$49</f>
        <v>23.856495397893482</v>
      </c>
      <c r="M934" s="1">
        <f>[1]Services!I$49</f>
        <v>22.280358712463663</v>
      </c>
      <c r="N934" s="1">
        <f>[1]Services!J$49</f>
        <v>21.752454067862999</v>
      </c>
      <c r="O934" s="1">
        <f>[1]Services!K$49</f>
        <v>21.201627979603323</v>
      </c>
      <c r="P934" s="1">
        <f>[1]Services!L$49</f>
        <v>20.742131783467521</v>
      </c>
      <c r="Q934" s="1">
        <f>[1]Services!M$49</f>
        <v>19.773832353221255</v>
      </c>
      <c r="S934" s="3"/>
    </row>
    <row r="935" spans="2:19" x14ac:dyDescent="0.5">
      <c r="B935" s="5" t="str">
        <f t="shared" ref="B935" si="1123">B934</f>
        <v>SPS1</v>
      </c>
      <c r="C935" s="5" t="str">
        <f t="shared" ref="C935" si="1124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2.046458618865626E-3</v>
      </c>
      <c r="I935" s="1">
        <f>[1]Services!E$50</f>
        <v>2.0317998835155588E-3</v>
      </c>
      <c r="J935" s="1">
        <f>[1]Services!F$50</f>
        <v>8.9221212616062296E-3</v>
      </c>
      <c r="K935" s="1">
        <f>[1]Services!G$50</f>
        <v>1.3886816438635928E-2</v>
      </c>
      <c r="L935" s="1">
        <f>[1]Services!H$50</f>
        <v>2.8596255930385384E-2</v>
      </c>
      <c r="M935" s="1">
        <f>[1]Services!I$50</f>
        <v>2.3786226313633876E-2</v>
      </c>
      <c r="N935" s="1">
        <f>[1]Services!J$50</f>
        <v>1.7017317165591021E-2</v>
      </c>
      <c r="O935" s="1">
        <f>[1]Services!K$50</f>
        <v>5.8674184072518426E-2</v>
      </c>
      <c r="P935" s="1">
        <f>[1]Services!L$50</f>
        <v>5.7200397691136169E-2</v>
      </c>
      <c r="Q935" s="1">
        <f>[1]Services!M$50</f>
        <v>0.10737873667128869</v>
      </c>
      <c r="S935" s="3"/>
    </row>
    <row r="936" spans="2:19" x14ac:dyDescent="0.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1.223074421686815</v>
      </c>
      <c r="G936" s="1">
        <f>[1]Services!C$56</f>
        <v>1.340771218646178</v>
      </c>
      <c r="H936" s="1">
        <f>[1]Services!D$56</f>
        <v>1.4128752993535807</v>
      </c>
      <c r="I936" s="1">
        <f>[1]Services!E$56</f>
        <v>1.4121921441689773</v>
      </c>
      <c r="J936" s="1">
        <f>[1]Services!F$56</f>
        <v>1.5482934865292146</v>
      </c>
      <c r="K936" s="1">
        <f>[1]Services!G$56</f>
        <v>1.6671630196004568</v>
      </c>
      <c r="L936" s="1">
        <f>[1]Services!H$56</f>
        <v>1.7573525472003533</v>
      </c>
      <c r="M936" s="1">
        <f>[1]Services!I$56</f>
        <v>2.0586569353883735</v>
      </c>
      <c r="N936" s="1">
        <f>[1]Services!J$56</f>
        <v>2.2309961411266661</v>
      </c>
      <c r="O936" s="1">
        <f>[1]Services!K$56</f>
        <v>2.2250816898724621</v>
      </c>
      <c r="P936" s="1">
        <f>[1]Services!L$56</f>
        <v>3.0577930947890217</v>
      </c>
      <c r="Q936" s="1">
        <f>[1]Services!M$56</f>
        <v>3.2067924924654867</v>
      </c>
      <c r="S936" s="3"/>
    </row>
    <row r="937" spans="2:19" x14ac:dyDescent="0.5">
      <c r="B937" s="5" t="str">
        <f t="shared" si="1121"/>
        <v>SPS1</v>
      </c>
      <c r="C937" s="5" t="str">
        <f t="shared" si="1122"/>
        <v>CH</v>
      </c>
      <c r="D937" t="s">
        <v>983</v>
      </c>
      <c r="E937" t="s">
        <v>8</v>
      </c>
      <c r="F937" s="1">
        <f>F938+F944</f>
        <v>7.6496534403925001</v>
      </c>
      <c r="G937" s="1">
        <f t="shared" ref="G937:K937" si="1125">G938+G944</f>
        <v>8.2860204669377548</v>
      </c>
      <c r="H937" s="1">
        <f t="shared" si="1125"/>
        <v>8.0446841104426348</v>
      </c>
      <c r="I937" s="1">
        <f t="shared" si="1125"/>
        <v>9.8154653613354519</v>
      </c>
      <c r="J937" s="1">
        <f t="shared" si="1125"/>
        <v>11.991544375250314</v>
      </c>
      <c r="K937" s="1">
        <f t="shared" si="1125"/>
        <v>12.04251870332768</v>
      </c>
      <c r="L937" s="1">
        <f t="shared" ref="L937:O937" si="1126">L938+L944</f>
        <v>12.03966828888267</v>
      </c>
      <c r="M937" s="1">
        <f t="shared" si="1126"/>
        <v>13.393112056867233</v>
      </c>
      <c r="N937" s="1">
        <f t="shared" si="1126"/>
        <v>13.348565970003314</v>
      </c>
      <c r="O937" s="1">
        <f t="shared" si="1126"/>
        <v>13.360626099294008</v>
      </c>
      <c r="P937" s="1">
        <f>P938+P944</f>
        <v>13.609423918275077</v>
      </c>
      <c r="Q937" s="1">
        <f>Q938+Q944</f>
        <v>13.829359266289073</v>
      </c>
      <c r="S937" s="3"/>
    </row>
    <row r="938" spans="2:19" x14ac:dyDescent="0.5">
      <c r="B938" s="5" t="str">
        <f t="shared" si="1121"/>
        <v>SPS1</v>
      </c>
      <c r="C938" s="5" t="str">
        <f t="shared" si="1122"/>
        <v>CH</v>
      </c>
      <c r="D938" t="s">
        <v>984</v>
      </c>
      <c r="E938" t="s">
        <v>8</v>
      </c>
      <c r="F938" s="1">
        <f>[1]Services!B$51</f>
        <v>2.0957422344146144</v>
      </c>
      <c r="G938" s="1">
        <f>[1]Services!C$51</f>
        <v>2.2700799136449543</v>
      </c>
      <c r="H938" s="1">
        <f>[1]Services!D$51</f>
        <v>2.0287431670525349</v>
      </c>
      <c r="I938" s="1">
        <f>[1]Services!E$51</f>
        <v>3.799525532747551</v>
      </c>
      <c r="J938" s="1">
        <f>[1]Services!F$51</f>
        <v>5.9756041779059146</v>
      </c>
      <c r="K938" s="1">
        <f>[1]Services!G$51</f>
        <v>6.0265765080255811</v>
      </c>
      <c r="L938" s="1">
        <f>[1]Services!H$51</f>
        <v>6.0237006450383621</v>
      </c>
      <c r="M938" s="1">
        <f>[1]Services!I$51</f>
        <v>4.448754854019576</v>
      </c>
      <c r="N938" s="1">
        <f>[1]Services!J$51</f>
        <v>4.4041723422167767</v>
      </c>
      <c r="O938" s="1">
        <f>[1]Services!K$51</f>
        <v>4.4162177906092115</v>
      </c>
      <c r="P938" s="1">
        <f>[1]Services!L$51</f>
        <v>4.6649934159697128</v>
      </c>
      <c r="Q938" s="1">
        <f>[1]Services!M$51</f>
        <v>4.8849140132437263</v>
      </c>
      <c r="S938" s="3"/>
    </row>
    <row r="939" spans="2:19" x14ac:dyDescent="0.5">
      <c r="B939" s="5" t="str">
        <f t="shared" si="1121"/>
        <v>SPS1</v>
      </c>
      <c r="C939" s="5" t="str">
        <f t="shared" si="1122"/>
        <v>CH</v>
      </c>
      <c r="D939" t="s">
        <v>692</v>
      </c>
      <c r="E939" t="s">
        <v>8</v>
      </c>
      <c r="F939" s="1">
        <f>IFERROR(F907/F$906,0)*F$938</f>
        <v>1.4100631271521844</v>
      </c>
      <c r="G939" s="1">
        <f t="shared" ref="G939:K939" si="1127">IFERROR(G907/G$906,0)*G$938</f>
        <v>1.5387199950021873</v>
      </c>
      <c r="H939" s="1">
        <f t="shared" si="1127"/>
        <v>1.4056012342819775</v>
      </c>
      <c r="I939" s="1">
        <f t="shared" si="1127"/>
        <v>1.1618934868993716</v>
      </c>
      <c r="J939" s="1">
        <f t="shared" si="1127"/>
        <v>1.0242216729799034</v>
      </c>
      <c r="K939" s="1">
        <f t="shared" si="1127"/>
        <v>0.90591917784111853</v>
      </c>
      <c r="L939" s="1">
        <f t="shared" ref="L939:O939" si="1128">IFERROR(L907/L$906,0)*L$938</f>
        <v>0.91593082774090573</v>
      </c>
      <c r="M939" s="1">
        <f t="shared" si="1128"/>
        <v>0.90469792959284279</v>
      </c>
      <c r="N939" s="1">
        <f t="shared" si="1128"/>
        <v>0.89560832383700273</v>
      </c>
      <c r="O939" s="1">
        <f t="shared" si="1128"/>
        <v>0.8730248661540273</v>
      </c>
      <c r="P939" s="1">
        <f t="shared" ref="P939:Q943" si="1129">IFERROR(P907/P$906,0)*P$938</f>
        <v>0.87163155984863394</v>
      </c>
      <c r="Q939" s="1">
        <f t="shared" si="1129"/>
        <v>0.88456550738842432</v>
      </c>
      <c r="S939" s="3"/>
    </row>
    <row r="940" spans="2:19" x14ac:dyDescent="0.5">
      <c r="B940" s="5" t="str">
        <f t="shared" si="1121"/>
        <v>SPS1</v>
      </c>
      <c r="C940" s="5" t="str">
        <f t="shared" si="1122"/>
        <v>CH</v>
      </c>
      <c r="D940" t="s">
        <v>693</v>
      </c>
      <c r="E940" t="s">
        <v>8</v>
      </c>
      <c r="F940" s="1">
        <f>IFERROR(F908/F$906,0)*F$938</f>
        <v>0.68567910726243009</v>
      </c>
      <c r="G940" s="1">
        <f t="shared" ref="G940:K943" si="1130">IFERROR(G908/G$906,0)*G$938</f>
        <v>0.73135991864276706</v>
      </c>
      <c r="H940" s="1">
        <f t="shared" si="1130"/>
        <v>0.62314193277055741</v>
      </c>
      <c r="I940" s="1">
        <f t="shared" si="1130"/>
        <v>2.6307376160276683</v>
      </c>
      <c r="J940" s="1">
        <f t="shared" si="1130"/>
        <v>4.943794250810674</v>
      </c>
      <c r="K940" s="1">
        <f t="shared" si="1130"/>
        <v>5.1139552713849392</v>
      </c>
      <c r="L940" s="1">
        <f t="shared" ref="L940:O940" si="1131">IFERROR(L908/L$906,0)*L$938</f>
        <v>5.0994553411209171</v>
      </c>
      <c r="M940" s="1">
        <f t="shared" si="1131"/>
        <v>3.528324045521178</v>
      </c>
      <c r="N940" s="1">
        <f t="shared" si="1131"/>
        <v>3.4941617241833431</v>
      </c>
      <c r="O940" s="1">
        <f t="shared" si="1131"/>
        <v>3.5169148146506259</v>
      </c>
      <c r="P940" s="1">
        <f t="shared" si="1129"/>
        <v>3.771250802621867</v>
      </c>
      <c r="Q940" s="1">
        <f t="shared" si="1129"/>
        <v>3.9544870973203645</v>
      </c>
      <c r="S940" s="3"/>
    </row>
    <row r="941" spans="2:19" x14ac:dyDescent="0.5">
      <c r="B941" s="5" t="str">
        <f t="shared" si="1121"/>
        <v>SPS1</v>
      </c>
      <c r="C941" s="5" t="str">
        <f t="shared" si="1122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130"/>
        <v>0</v>
      </c>
      <c r="H941" s="1">
        <f t="shared" si="1130"/>
        <v>0</v>
      </c>
      <c r="I941" s="1">
        <f t="shared" si="1130"/>
        <v>4.0989064150117303E-4</v>
      </c>
      <c r="J941" s="1">
        <f t="shared" si="1130"/>
        <v>1.3201871367477158E-3</v>
      </c>
      <c r="K941" s="1">
        <f t="shared" si="1130"/>
        <v>1.3005690482784044E-3</v>
      </c>
      <c r="L941" s="1">
        <f t="shared" ref="L941:O941" si="1132">IFERROR(L909/L$906,0)*L$938</f>
        <v>9.9223049270213818E-4</v>
      </c>
      <c r="M941" s="1">
        <f t="shared" si="1132"/>
        <v>2.1308052654100337E-3</v>
      </c>
      <c r="N941" s="1">
        <f t="shared" si="1132"/>
        <v>2.1114289029874945E-3</v>
      </c>
      <c r="O941" s="1">
        <f t="shared" si="1132"/>
        <v>4.4167905844272248E-3</v>
      </c>
      <c r="P941" s="1">
        <f t="shared" si="1129"/>
        <v>3.3923105850860356E-3</v>
      </c>
      <c r="Q941" s="1">
        <f t="shared" si="1129"/>
        <v>7.7259367006837863E-3</v>
      </c>
      <c r="S941" s="3"/>
    </row>
    <row r="942" spans="2:19" x14ac:dyDescent="0.5">
      <c r="B942" s="5" t="str">
        <f t="shared" si="1121"/>
        <v>SPS1</v>
      </c>
      <c r="C942" s="5" t="str">
        <f t="shared" si="1122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130"/>
        <v>0</v>
      </c>
      <c r="H942" s="1">
        <f t="shared" si="1130"/>
        <v>0</v>
      </c>
      <c r="I942" s="1">
        <f t="shared" si="1130"/>
        <v>5.6059817431278582E-3</v>
      </c>
      <c r="J942" s="1">
        <f t="shared" si="1130"/>
        <v>4.2870036891818472E-3</v>
      </c>
      <c r="K942" s="1">
        <f t="shared" si="1130"/>
        <v>3.3738705162767294E-3</v>
      </c>
      <c r="L942" s="1">
        <f t="shared" ref="L942:O942" si="1133">IFERROR(L910/L$906,0)*L$938</f>
        <v>5.0170040604985925E-3</v>
      </c>
      <c r="M942" s="1">
        <f t="shared" si="1133"/>
        <v>7.9533240583937702E-3</v>
      </c>
      <c r="N942" s="1">
        <f t="shared" si="1133"/>
        <v>7.096046707733986E-3</v>
      </c>
      <c r="O942" s="1">
        <f t="shared" si="1133"/>
        <v>9.1782216885558082E-3</v>
      </c>
      <c r="P942" s="1">
        <f t="shared" si="1129"/>
        <v>9.1364308417222762E-3</v>
      </c>
      <c r="Q942" s="1">
        <f t="shared" si="1129"/>
        <v>1.9831743900854248E-2</v>
      </c>
      <c r="S942" s="3"/>
    </row>
    <row r="943" spans="2:19" x14ac:dyDescent="0.5">
      <c r="B943" s="5" t="str">
        <f t="shared" si="1121"/>
        <v>SPS1</v>
      </c>
      <c r="C943" s="5" t="str">
        <f t="shared" si="1122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130"/>
        <v>0</v>
      </c>
      <c r="H943" s="1">
        <f t="shared" si="1130"/>
        <v>0</v>
      </c>
      <c r="I943" s="1">
        <f t="shared" si="1130"/>
        <v>8.7855743588202641E-4</v>
      </c>
      <c r="J943" s="1">
        <f t="shared" si="1130"/>
        <v>1.9810632894067095E-3</v>
      </c>
      <c r="K943" s="1">
        <f t="shared" si="1130"/>
        <v>2.0276192349681327E-3</v>
      </c>
      <c r="L943" s="1">
        <f t="shared" ref="L943:O943" si="1134">IFERROR(L911/L$906,0)*L$938</f>
        <v>2.3052416233384607E-3</v>
      </c>
      <c r="M943" s="1">
        <f t="shared" si="1134"/>
        <v>5.6487495817515209E-3</v>
      </c>
      <c r="N943" s="1">
        <f t="shared" si="1134"/>
        <v>5.194818585709189E-3</v>
      </c>
      <c r="O943" s="1">
        <f t="shared" si="1134"/>
        <v>1.2683097531575385E-2</v>
      </c>
      <c r="P943" s="1">
        <f t="shared" si="1129"/>
        <v>9.5823120724037557E-3</v>
      </c>
      <c r="Q943" s="1">
        <f t="shared" si="1129"/>
        <v>1.83037279333991E-2</v>
      </c>
      <c r="S943" s="3"/>
    </row>
    <row r="944" spans="2:19" x14ac:dyDescent="0.5">
      <c r="B944" s="5" t="str">
        <f t="shared" si="1121"/>
        <v>SPS1</v>
      </c>
      <c r="C944" s="5" t="str">
        <f t="shared" si="1122"/>
        <v>CH</v>
      </c>
      <c r="D944" t="s">
        <v>985</v>
      </c>
      <c r="E944" t="s">
        <v>8</v>
      </c>
      <c r="F944" s="1">
        <f>[1]Services!B$52</f>
        <v>5.5539112059778857</v>
      </c>
      <c r="G944" s="1">
        <f>[1]Services!C$52</f>
        <v>6.0159405532928005</v>
      </c>
      <c r="H944" s="1">
        <f>[1]Services!D$52</f>
        <v>6.0159409433901008</v>
      </c>
      <c r="I944" s="1">
        <f>[1]Services!E$52</f>
        <v>6.0159398285879018</v>
      </c>
      <c r="J944" s="1">
        <f>[1]Services!F$52</f>
        <v>6.0159401973443991</v>
      </c>
      <c r="K944" s="1">
        <f>[1]Services!G$52</f>
        <v>6.0159421953020988</v>
      </c>
      <c r="L944" s="1">
        <f>[1]Services!H$52</f>
        <v>6.0159676438443066</v>
      </c>
      <c r="M944" s="1">
        <f>[1]Services!I$52</f>
        <v>8.944357202847657</v>
      </c>
      <c r="N944" s="1">
        <f>[1]Services!J$52</f>
        <v>8.9443936277865372</v>
      </c>
      <c r="O944" s="1">
        <f>[1]Services!K$52</f>
        <v>8.9444083086847961</v>
      </c>
      <c r="P944" s="1">
        <f>[1]Services!L$52</f>
        <v>8.9444305023053641</v>
      </c>
      <c r="Q944" s="1">
        <f>[1]Services!M$52</f>
        <v>8.9444452530453464</v>
      </c>
      <c r="S944" s="3"/>
    </row>
    <row r="945" spans="2:19" x14ac:dyDescent="0.5">
      <c r="B945" s="5" t="str">
        <f t="shared" si="1121"/>
        <v>SPS1</v>
      </c>
      <c r="C945" s="5" t="str">
        <f t="shared" si="1122"/>
        <v>CH</v>
      </c>
      <c r="D945" t="s">
        <v>986</v>
      </c>
      <c r="E945" t="s">
        <v>8</v>
      </c>
      <c r="F945" s="1">
        <f>F946</f>
        <v>6.1735489186679837</v>
      </c>
      <c r="G945" s="1">
        <f t="shared" ref="G945:O945" si="1135">G946</f>
        <v>6.7327673375209898</v>
      </c>
      <c r="H945" s="1">
        <f t="shared" si="1135"/>
        <v>6.6638984441387112</v>
      </c>
      <c r="I945" s="1">
        <f t="shared" si="1135"/>
        <v>5.3431887590102489</v>
      </c>
      <c r="J945" s="1">
        <f t="shared" si="1135"/>
        <v>3.6747496226228971</v>
      </c>
      <c r="K945" s="1">
        <f t="shared" si="1135"/>
        <v>2.3163624217600955</v>
      </c>
      <c r="L945" s="1">
        <f t="shared" si="1135"/>
        <v>1.4396978839283658</v>
      </c>
      <c r="M945" s="1">
        <f t="shared" si="1135"/>
        <v>0.46228240479896465</v>
      </c>
      <c r="N945" s="1">
        <f t="shared" si="1135"/>
        <v>0.44814656810342113</v>
      </c>
      <c r="O945" s="1">
        <f t="shared" si="1135"/>
        <v>0.43766859106624001</v>
      </c>
      <c r="P945" s="1">
        <f>P946</f>
        <v>0.4282104076606979</v>
      </c>
      <c r="Q945" s="1">
        <f>Q946</f>
        <v>0.40961067531905521</v>
      </c>
      <c r="S945" s="3"/>
    </row>
    <row r="946" spans="2:19" x14ac:dyDescent="0.5">
      <c r="B946" s="5" t="str">
        <f t="shared" si="1121"/>
        <v>SPS1</v>
      </c>
      <c r="C946" s="5" t="str">
        <f t="shared" si="1122"/>
        <v>CH</v>
      </c>
      <c r="D946" t="s">
        <v>987</v>
      </c>
      <c r="E946" t="s">
        <v>8</v>
      </c>
      <c r="F946" s="1">
        <f>[1]Services!B$53</f>
        <v>6.1735489186679837</v>
      </c>
      <c r="G946" s="1">
        <f>[1]Services!C$53</f>
        <v>6.7327673375209898</v>
      </c>
      <c r="H946" s="1">
        <f>[1]Services!D$53</f>
        <v>6.6638984441387112</v>
      </c>
      <c r="I946" s="1">
        <f>[1]Services!E$53</f>
        <v>5.3431887590102489</v>
      </c>
      <c r="J946" s="1">
        <f>[1]Services!F$53</f>
        <v>3.6747496226228971</v>
      </c>
      <c r="K946" s="1">
        <f>[1]Services!G$53</f>
        <v>2.3163624217600955</v>
      </c>
      <c r="L946" s="1">
        <f>[1]Services!H$53</f>
        <v>1.4396978839283658</v>
      </c>
      <c r="M946" s="1">
        <f>[1]Services!I$53</f>
        <v>0.46228240479896465</v>
      </c>
      <c r="N946" s="1">
        <f>[1]Services!J$53</f>
        <v>0.44814656810342113</v>
      </c>
      <c r="O946" s="1">
        <f>[1]Services!K$53</f>
        <v>0.43766859106624001</v>
      </c>
      <c r="P946" s="1">
        <f>[1]Services!L$53</f>
        <v>0.4282104076606979</v>
      </c>
      <c r="Q946" s="1">
        <f>[1]Services!M$53</f>
        <v>0.40961067531905521</v>
      </c>
      <c r="S946" s="3"/>
    </row>
    <row r="947" spans="2:19" x14ac:dyDescent="0.5">
      <c r="B947" s="5" t="str">
        <f t="shared" si="1121"/>
        <v>SPS1</v>
      </c>
      <c r="C947" s="5" t="str">
        <f t="shared" si="1122"/>
        <v>CH</v>
      </c>
      <c r="D947" t="s">
        <v>988</v>
      </c>
      <c r="E947" t="s">
        <v>8</v>
      </c>
      <c r="F947" s="1">
        <f>F948</f>
        <v>1.8770752338903489</v>
      </c>
      <c r="G947" s="1">
        <f t="shared" ref="G947:O947" si="1136">G948</f>
        <v>2.160084299782115</v>
      </c>
      <c r="H947" s="1">
        <f t="shared" si="1136"/>
        <v>2.088285675289304</v>
      </c>
      <c r="I947" s="1">
        <f t="shared" si="1136"/>
        <v>2.2799817843479819</v>
      </c>
      <c r="J947" s="1">
        <f t="shared" si="1136"/>
        <v>2.4139693388573455</v>
      </c>
      <c r="K947" s="1">
        <f t="shared" si="1136"/>
        <v>2.7307896875825275</v>
      </c>
      <c r="L947" s="1">
        <f t="shared" si="1136"/>
        <v>2.6025783966563925</v>
      </c>
      <c r="M947" s="1">
        <f t="shared" si="1136"/>
        <v>2.658526008201834</v>
      </c>
      <c r="N947" s="1">
        <f t="shared" si="1136"/>
        <v>2.5947938084754827</v>
      </c>
      <c r="O947" s="1">
        <f t="shared" si="1136"/>
        <v>2.5341043097975824</v>
      </c>
      <c r="P947" s="1">
        <f>P948</f>
        <v>2.4791619913276275</v>
      </c>
      <c r="Q947" s="1">
        <f>Q948</f>
        <v>2.3697428065328054</v>
      </c>
      <c r="S947" s="3"/>
    </row>
    <row r="948" spans="2:19" x14ac:dyDescent="0.5">
      <c r="B948" s="5" t="str">
        <f t="shared" si="1121"/>
        <v>SPS1</v>
      </c>
      <c r="C948" s="5" t="str">
        <f t="shared" si="1122"/>
        <v>CH</v>
      </c>
      <c r="D948" t="s">
        <v>989</v>
      </c>
      <c r="E948" t="s">
        <v>8</v>
      </c>
      <c r="F948" s="1">
        <f>[1]Services!B$54</f>
        <v>1.8770752338903489</v>
      </c>
      <c r="G948" s="1">
        <f>[1]Services!C$54</f>
        <v>2.160084299782115</v>
      </c>
      <c r="H948" s="1">
        <f>[1]Services!D$54</f>
        <v>2.088285675289304</v>
      </c>
      <c r="I948" s="1">
        <f>[1]Services!E$54</f>
        <v>2.2799817843479819</v>
      </c>
      <c r="J948" s="1">
        <f>[1]Services!F$54</f>
        <v>2.4139693388573455</v>
      </c>
      <c r="K948" s="1">
        <f>[1]Services!G$54</f>
        <v>2.7307896875825275</v>
      </c>
      <c r="L948" s="1">
        <f>[1]Services!H$54</f>
        <v>2.6025783966563925</v>
      </c>
      <c r="M948" s="1">
        <f>[1]Services!I$54</f>
        <v>2.658526008201834</v>
      </c>
      <c r="N948" s="1">
        <f>[1]Services!J$54</f>
        <v>2.5947938084754827</v>
      </c>
      <c r="O948" s="1">
        <f>[1]Services!K$54</f>
        <v>2.5341043097975824</v>
      </c>
      <c r="P948" s="1">
        <f>[1]Services!L$54</f>
        <v>2.4791619913276275</v>
      </c>
      <c r="Q948" s="1">
        <f>[1]Services!M$54</f>
        <v>2.3697428065328054</v>
      </c>
      <c r="S948" s="3"/>
    </row>
    <row r="949" spans="2:19" x14ac:dyDescent="0.5">
      <c r="B949" s="5" t="str">
        <f t="shared" si="1121"/>
        <v>SPS1</v>
      </c>
      <c r="C949" s="5" t="str">
        <f t="shared" si="1122"/>
        <v>CH</v>
      </c>
      <c r="D949" t="s">
        <v>990</v>
      </c>
      <c r="E949" t="s">
        <v>8</v>
      </c>
      <c r="F949" s="1">
        <f>F950</f>
        <v>0.62699680764505905</v>
      </c>
      <c r="G949" s="1">
        <f t="shared" ref="G949:O949" si="1137">G950</f>
        <v>0.68734364804233028</v>
      </c>
      <c r="H949" s="1">
        <f t="shared" si="1137"/>
        <v>0.68718362234502062</v>
      </c>
      <c r="I949" s="1">
        <f t="shared" si="1137"/>
        <v>0.68734450827781024</v>
      </c>
      <c r="J949" s="1">
        <f t="shared" si="1137"/>
        <v>0.6872266842979694</v>
      </c>
      <c r="K949" s="1">
        <f t="shared" si="1137"/>
        <v>0.68729923544794069</v>
      </c>
      <c r="L949" s="1">
        <f t="shared" si="1137"/>
        <v>0.687294554997396</v>
      </c>
      <c r="M949" s="1">
        <f t="shared" si="1137"/>
        <v>0.68704032868807707</v>
      </c>
      <c r="N949" s="1">
        <f t="shared" si="1137"/>
        <v>0.68731520711353422</v>
      </c>
      <c r="O949" s="1">
        <f t="shared" si="1137"/>
        <v>0.68710531914054318</v>
      </c>
      <c r="P949" s="1">
        <f>P950</f>
        <v>0.68727871936955165</v>
      </c>
      <c r="Q949" s="1">
        <f>Q950</f>
        <v>0.68719550815647923</v>
      </c>
      <c r="S949" s="3"/>
    </row>
    <row r="950" spans="2:19" x14ac:dyDescent="0.5">
      <c r="B950" s="5" t="str">
        <f t="shared" si="1121"/>
        <v>SPS1</v>
      </c>
      <c r="C950" s="5" t="str">
        <f t="shared" si="1122"/>
        <v>CH</v>
      </c>
      <c r="D950" t="s">
        <v>991</v>
      </c>
      <c r="E950" t="s">
        <v>8</v>
      </c>
      <c r="F950" s="1">
        <f>[1]Services!B$55</f>
        <v>0.62699680764505905</v>
      </c>
      <c r="G950" s="1">
        <f>[1]Services!C$55</f>
        <v>0.68734364804233028</v>
      </c>
      <c r="H950" s="1">
        <f>[1]Services!D$55</f>
        <v>0.68718362234502062</v>
      </c>
      <c r="I950" s="1">
        <f>[1]Services!E$55</f>
        <v>0.68734450827781024</v>
      </c>
      <c r="J950" s="1">
        <f>[1]Services!F$55</f>
        <v>0.6872266842979694</v>
      </c>
      <c r="K950" s="1">
        <f>[1]Services!G$55</f>
        <v>0.68729923544794069</v>
      </c>
      <c r="L950" s="1">
        <f>[1]Services!H$55</f>
        <v>0.687294554997396</v>
      </c>
      <c r="M950" s="1">
        <f>[1]Services!I$55</f>
        <v>0.68704032868807707</v>
      </c>
      <c r="N950" s="1">
        <f>[1]Services!J$55</f>
        <v>0.68731520711353422</v>
      </c>
      <c r="O950" s="1">
        <f>[1]Services!K$55</f>
        <v>0.68710531914054318</v>
      </c>
      <c r="P950" s="1">
        <f>[1]Services!L$55</f>
        <v>0.68727871936955165</v>
      </c>
      <c r="Q950" s="1">
        <f>[1]Services!M$55</f>
        <v>0.68719550815647923</v>
      </c>
      <c r="S950" s="3"/>
    </row>
    <row r="951" spans="2:19" x14ac:dyDescent="0.5">
      <c r="B951" s="5" t="str">
        <f t="shared" si="1121"/>
        <v>SPS1</v>
      </c>
      <c r="C951" s="5" t="str">
        <f t="shared" si="1122"/>
        <v>CH</v>
      </c>
      <c r="D951" t="s">
        <v>992</v>
      </c>
      <c r="E951" t="s">
        <v>8</v>
      </c>
      <c r="F951" s="1">
        <f>F952</f>
        <v>0</v>
      </c>
      <c r="G951" s="1">
        <f t="shared" ref="G951:O951" si="1138">G952</f>
        <v>0</v>
      </c>
      <c r="H951" s="1">
        <f t="shared" si="1138"/>
        <v>0</v>
      </c>
      <c r="I951" s="1">
        <f t="shared" si="1138"/>
        <v>5.6722351448929378E-4</v>
      </c>
      <c r="J951" s="1">
        <f t="shared" si="1138"/>
        <v>1.3654498035103398E-3</v>
      </c>
      <c r="K951" s="1">
        <f t="shared" si="1138"/>
        <v>2.0001463008748228E-3</v>
      </c>
      <c r="L951" s="1">
        <f t="shared" si="1138"/>
        <v>1.5438396505406621E-3</v>
      </c>
      <c r="M951" s="1">
        <f t="shared" si="1138"/>
        <v>7.7520118735975134E-3</v>
      </c>
      <c r="N951" s="1">
        <f t="shared" si="1138"/>
        <v>6.4890560428250794E-3</v>
      </c>
      <c r="O951" s="1">
        <f t="shared" si="1138"/>
        <v>0.10490354676480908</v>
      </c>
      <c r="P951" s="1">
        <f>P952</f>
        <v>0.147041215000807</v>
      </c>
      <c r="Q951" s="1">
        <f>Q952</f>
        <v>0.12534401805110076</v>
      </c>
      <c r="S951" s="3"/>
    </row>
    <row r="952" spans="2:19" x14ac:dyDescent="0.5">
      <c r="B952" s="5" t="str">
        <f t="shared" si="1121"/>
        <v>SPS1</v>
      </c>
      <c r="C952" s="5" t="str">
        <f t="shared" si="1122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5.6722351448929378E-4</v>
      </c>
      <c r="J952" s="1">
        <f>[1]Services!F$57</f>
        <v>1.3654498035103398E-3</v>
      </c>
      <c r="K952" s="1">
        <f>[1]Services!G$57</f>
        <v>2.0001463008748228E-3</v>
      </c>
      <c r="L952" s="1">
        <f>[1]Services!H$57</f>
        <v>1.5438396505406621E-3</v>
      </c>
      <c r="M952" s="1">
        <f>[1]Services!I$57</f>
        <v>7.7520118735975134E-3</v>
      </c>
      <c r="N952" s="1">
        <f>[1]Services!J$57</f>
        <v>6.4890560428250794E-3</v>
      </c>
      <c r="O952" s="1">
        <f>[1]Services!K$57</f>
        <v>0.10490354676480908</v>
      </c>
      <c r="P952" s="1">
        <f>[1]Services!L$57</f>
        <v>0.147041215000807</v>
      </c>
      <c r="Q952" s="1">
        <f>[1]Services!M$57</f>
        <v>0.12534401805110076</v>
      </c>
      <c r="S952" s="3"/>
    </row>
    <row r="953" spans="2:19" x14ac:dyDescent="0.5">
      <c r="B953" s="5" t="str">
        <f t="shared" si="1121"/>
        <v>SPS1</v>
      </c>
      <c r="C953" s="5" t="str">
        <f t="shared" si="1122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6.9647296197727888</v>
      </c>
      <c r="H953" s="1">
        <f>[1]Services!D$58</f>
        <v>6.9636662472751869</v>
      </c>
      <c r="I953" s="1">
        <f>[1]Services!E$58</f>
        <v>6.9638558659985126</v>
      </c>
      <c r="J953" s="1">
        <f>[1]Services!F$58</f>
        <v>6.9636290137993111</v>
      </c>
      <c r="K953" s="1">
        <f>[1]Services!G$58</f>
        <v>6.9637081870079474</v>
      </c>
      <c r="L953" s="1">
        <f>[1]Services!H$58</f>
        <v>6.9638508623242634</v>
      </c>
      <c r="M953" s="1">
        <f>[1]Services!I$58</f>
        <v>6.9635596424799386</v>
      </c>
      <c r="N953" s="1">
        <f>[1]Services!J$58</f>
        <v>6.9620339482545202</v>
      </c>
      <c r="O953" s="1">
        <f>[1]Services!K$58</f>
        <v>6.9622857417114048</v>
      </c>
      <c r="P953" s="1">
        <f>[1]Services!L$58</f>
        <v>6.9620578979549563</v>
      </c>
      <c r="Q953" s="1">
        <f>[1]Services!M$58</f>
        <v>6.962738232665548</v>
      </c>
      <c r="S953" s="3"/>
    </row>
    <row r="954" spans="2:19" x14ac:dyDescent="0.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M954" s="1" t="s">
        <v>292</v>
      </c>
      <c r="N954" s="1" t="s">
        <v>292</v>
      </c>
      <c r="O954" s="1" t="s">
        <v>292</v>
      </c>
      <c r="P954" s="1" t="s">
        <v>292</v>
      </c>
      <c r="Q954" s="1" t="s">
        <v>292</v>
      </c>
      <c r="S954" s="3"/>
    </row>
    <row r="955" spans="2:19" x14ac:dyDescent="0.5">
      <c r="B955" s="5" t="str">
        <f t="shared" ref="B955:B971" si="1139">B954</f>
        <v>SPS1</v>
      </c>
      <c r="C955" s="5" t="str">
        <f t="shared" ref="C955:C971" si="1140">C954</f>
        <v>CH</v>
      </c>
      <c r="D955" t="s">
        <v>761</v>
      </c>
      <c r="E955" t="s">
        <v>240</v>
      </c>
      <c r="F955" s="4">
        <f t="shared" ref="F955:K957" si="1141">IFERROR(F928/F884,"-")</f>
        <v>0.91250000000000075</v>
      </c>
      <c r="G955" s="4">
        <f t="shared" si="1141"/>
        <v>0.91500000000000004</v>
      </c>
      <c r="H955" s="4">
        <f t="shared" si="1141"/>
        <v>0.91875000000000084</v>
      </c>
      <c r="I955" s="4">
        <f t="shared" si="1141"/>
        <v>0.92499999999999938</v>
      </c>
      <c r="J955" s="4">
        <f t="shared" si="1141"/>
        <v>0.93124999999999947</v>
      </c>
      <c r="K955" s="4">
        <f t="shared" si="1141"/>
        <v>0.93749999999999867</v>
      </c>
      <c r="L955" s="4">
        <f t="shared" ref="L955:O955" si="1142">IFERROR(L928/L884,"-")</f>
        <v>0.9437500000000002</v>
      </c>
      <c r="M955" s="4">
        <f t="shared" si="1142"/>
        <v>0.95000000000000084</v>
      </c>
      <c r="N955" s="4">
        <f t="shared" si="1142"/>
        <v>0.9500000000000004</v>
      </c>
      <c r="O955" s="4">
        <f t="shared" si="1142"/>
        <v>0.94999999999999918</v>
      </c>
      <c r="P955" s="4">
        <f t="shared" ref="P955:Q957" si="1143">IFERROR(P928/P884,"-")</f>
        <v>0.94999999999999873</v>
      </c>
      <c r="Q955" s="4">
        <f t="shared" si="1143"/>
        <v>0.94999999999999962</v>
      </c>
      <c r="S955" s="3"/>
    </row>
    <row r="956" spans="2:19" x14ac:dyDescent="0.5">
      <c r="B956" s="5" t="str">
        <f t="shared" si="1139"/>
        <v>SPS1</v>
      </c>
      <c r="C956" s="5" t="str">
        <f t="shared" si="1140"/>
        <v>CH</v>
      </c>
      <c r="D956" t="s">
        <v>730</v>
      </c>
      <c r="E956" t="s">
        <v>240</v>
      </c>
      <c r="F956" s="4">
        <f t="shared" si="1141"/>
        <v>3.200000000000002</v>
      </c>
      <c r="G956" s="4">
        <f t="shared" si="1141"/>
        <v>3.2400000000000007</v>
      </c>
      <c r="H956" s="4">
        <f t="shared" si="1141"/>
        <v>3.300000000000002</v>
      </c>
      <c r="I956" s="4">
        <f t="shared" si="1141"/>
        <v>3.3999999999999968</v>
      </c>
      <c r="J956" s="4">
        <f t="shared" si="1141"/>
        <v>3.5000000000000031</v>
      </c>
      <c r="K956" s="4">
        <f t="shared" si="1141"/>
        <v>3.6000000000000014</v>
      </c>
      <c r="L956" s="4">
        <f t="shared" ref="L956:O956" si="1144">IFERROR(L929/L885,"-")</f>
        <v>3.6999999999999984</v>
      </c>
      <c r="M956" s="4">
        <f t="shared" si="1144"/>
        <v>3.800000000000002</v>
      </c>
      <c r="N956" s="4">
        <f t="shared" si="1144"/>
        <v>3.800000000000002</v>
      </c>
      <c r="O956" s="4">
        <f t="shared" si="1144"/>
        <v>3.7999999999999972</v>
      </c>
      <c r="P956" s="4">
        <f t="shared" si="1143"/>
        <v>3.7999999999999949</v>
      </c>
      <c r="Q956" s="4">
        <f t="shared" si="1143"/>
        <v>3.8000000000000056</v>
      </c>
      <c r="S956" s="3"/>
    </row>
    <row r="957" spans="2:19" x14ac:dyDescent="0.5">
      <c r="B957" s="5" t="str">
        <f t="shared" si="1139"/>
        <v>SPS1</v>
      </c>
      <c r="C957" s="5" t="str">
        <f t="shared" si="1140"/>
        <v>CH</v>
      </c>
      <c r="D957" t="s">
        <v>699</v>
      </c>
      <c r="E957" t="s">
        <v>240</v>
      </c>
      <c r="F957" s="4">
        <f t="shared" si="1141"/>
        <v>1</v>
      </c>
      <c r="G957" s="4">
        <f t="shared" si="1141"/>
        <v>1</v>
      </c>
      <c r="H957" s="4">
        <f t="shared" si="1141"/>
        <v>1</v>
      </c>
      <c r="I957" s="4">
        <f t="shared" si="1141"/>
        <v>1</v>
      </c>
      <c r="J957" s="4">
        <f t="shared" si="1141"/>
        <v>1.0000000000000002</v>
      </c>
      <c r="K957" s="4">
        <f t="shared" si="1141"/>
        <v>1</v>
      </c>
      <c r="L957" s="4">
        <f t="shared" ref="L957:O957" si="1145">IFERROR(L930/L886,"-")</f>
        <v>1</v>
      </c>
      <c r="M957" s="4">
        <f t="shared" si="1145"/>
        <v>1</v>
      </c>
      <c r="N957" s="4">
        <f t="shared" si="1145"/>
        <v>1.0000000000000002</v>
      </c>
      <c r="O957" s="4">
        <f t="shared" si="1145"/>
        <v>0.99999999999999989</v>
      </c>
      <c r="P957" s="4">
        <f t="shared" si="1143"/>
        <v>1</v>
      </c>
      <c r="Q957" s="4">
        <f t="shared" si="1143"/>
        <v>1</v>
      </c>
      <c r="S957" s="3"/>
    </row>
    <row r="958" spans="2:19" x14ac:dyDescent="0.5">
      <c r="B958" s="5" t="str">
        <f t="shared" si="1139"/>
        <v>SPS1</v>
      </c>
      <c r="C958" s="5" t="str">
        <f t="shared" si="1140"/>
        <v>CH</v>
      </c>
      <c r="D958" t="s">
        <v>700</v>
      </c>
      <c r="E958" t="s">
        <v>240</v>
      </c>
      <c r="F958" s="4">
        <f t="shared" ref="F958:K958" si="1146">IFERROR(F932/F888,"-")</f>
        <v>0.82107843137254888</v>
      </c>
      <c r="G958" s="4">
        <f t="shared" si="1146"/>
        <v>0.82270432925645587</v>
      </c>
      <c r="H958" s="4">
        <f t="shared" si="1146"/>
        <v>0.8251431760823128</v>
      </c>
      <c r="I958" s="4">
        <f t="shared" si="1146"/>
        <v>0.82920792079207839</v>
      </c>
      <c r="J958" s="4">
        <f t="shared" si="1146"/>
        <v>0.83335396039604004</v>
      </c>
      <c r="K958" s="4">
        <f t="shared" si="1146"/>
        <v>0.83750000000000069</v>
      </c>
      <c r="L958" s="4">
        <f t="shared" ref="L958:O958" si="1147">IFERROR(L932/L888,"-")</f>
        <v>0.83749999999999947</v>
      </c>
      <c r="M958" s="4">
        <f t="shared" si="1147"/>
        <v>0.83749999999999913</v>
      </c>
      <c r="N958" s="4">
        <f t="shared" si="1147"/>
        <v>0.83749999999999858</v>
      </c>
      <c r="O958" s="4">
        <f t="shared" si="1147"/>
        <v>0.83749999999999925</v>
      </c>
      <c r="P958" s="4">
        <f>IFERROR(P932/P888,"-")</f>
        <v>0.83749999999999891</v>
      </c>
      <c r="Q958" s="4">
        <f>IFERROR(Q932/Q888,"-")</f>
        <v>0.83749999999999836</v>
      </c>
      <c r="S958" s="3"/>
    </row>
    <row r="959" spans="2:19" x14ac:dyDescent="0.5">
      <c r="B959" s="5" t="str">
        <f t="shared" si="1139"/>
        <v>SPS1</v>
      </c>
      <c r="C959" s="5" t="str">
        <f t="shared" si="1140"/>
        <v>CH</v>
      </c>
      <c r="D959" t="s">
        <v>701</v>
      </c>
      <c r="E959" t="s">
        <v>240</v>
      </c>
      <c r="F959" s="4">
        <f t="shared" ref="F959:K961" si="1148">IFERROR(F934/F895,"-")</f>
        <v>0.94680851063829885</v>
      </c>
      <c r="G959" s="4">
        <f t="shared" si="1148"/>
        <v>0.94680851063829863</v>
      </c>
      <c r="H959" s="4">
        <f t="shared" si="1148"/>
        <v>0.9467701845386145</v>
      </c>
      <c r="I959" s="4">
        <f t="shared" si="1148"/>
        <v>0.94681131536370133</v>
      </c>
      <c r="J959" s="4">
        <f t="shared" si="1148"/>
        <v>0.94673619253449515</v>
      </c>
      <c r="K959" s="4">
        <f t="shared" si="1148"/>
        <v>0.94666850799222568</v>
      </c>
      <c r="L959" s="4">
        <f t="shared" ref="L959:O959" si="1149">IFERROR(L934/L895,"-")</f>
        <v>0.94640965645747377</v>
      </c>
      <c r="M959" s="4">
        <f t="shared" si="1149"/>
        <v>0.94672937431904058</v>
      </c>
      <c r="N959" s="4">
        <f t="shared" si="1149"/>
        <v>0.94680063006413906</v>
      </c>
      <c r="O959" s="4">
        <f t="shared" si="1149"/>
        <v>0.9474174135887421</v>
      </c>
      <c r="P959" s="4">
        <f t="shared" ref="P959:Q961" si="1150">IFERROR(P934/P895,"-")</f>
        <v>0.94784305687436399</v>
      </c>
      <c r="Q959" s="4">
        <f t="shared" si="1150"/>
        <v>0.94694306680590368</v>
      </c>
      <c r="S959" s="3"/>
    </row>
    <row r="960" spans="2:19" x14ac:dyDescent="0.5">
      <c r="B960" s="5" t="str">
        <f t="shared" si="1139"/>
        <v>SPS1</v>
      </c>
      <c r="C960" s="5" t="str">
        <f t="shared" si="1140"/>
        <v>CH</v>
      </c>
      <c r="D960" t="s">
        <v>731</v>
      </c>
      <c r="E960" t="s">
        <v>240</v>
      </c>
      <c r="F960" s="4" t="str">
        <f t="shared" si="1148"/>
        <v>-</v>
      </c>
      <c r="G960" s="4" t="str">
        <f t="shared" si="1148"/>
        <v>-</v>
      </c>
      <c r="H960" s="4">
        <f t="shared" si="1148"/>
        <v>1.9799999999999998</v>
      </c>
      <c r="I960" s="4">
        <f t="shared" si="1148"/>
        <v>2.0400000000000014</v>
      </c>
      <c r="J960" s="4">
        <f t="shared" si="1148"/>
        <v>2.1</v>
      </c>
      <c r="K960" s="4">
        <f t="shared" si="1148"/>
        <v>2.1600000000000006</v>
      </c>
      <c r="L960" s="4">
        <f t="shared" ref="L960:O960" si="1151">IFERROR(L935/L896,"-")</f>
        <v>2.2199999999999989</v>
      </c>
      <c r="M960" s="4">
        <f t="shared" si="1151"/>
        <v>2.2799999999999976</v>
      </c>
      <c r="N960" s="4">
        <f t="shared" si="1151"/>
        <v>2.2799999999999994</v>
      </c>
      <c r="O960" s="4">
        <f t="shared" si="1151"/>
        <v>2.280000000000002</v>
      </c>
      <c r="P960" s="4">
        <f t="shared" si="1150"/>
        <v>2.2800000000000011</v>
      </c>
      <c r="Q960" s="4">
        <f t="shared" si="1150"/>
        <v>2.2799999999999989</v>
      </c>
      <c r="S960" s="3"/>
    </row>
    <row r="961" spans="2:19" x14ac:dyDescent="0.5">
      <c r="B961" s="5" t="str">
        <f t="shared" si="1139"/>
        <v>SPS1</v>
      </c>
      <c r="C961" s="5" t="str">
        <f t="shared" si="1140"/>
        <v>CH</v>
      </c>
      <c r="D961" t="s">
        <v>702</v>
      </c>
      <c r="E961" t="s">
        <v>240</v>
      </c>
      <c r="F961" s="4">
        <f t="shared" si="1148"/>
        <v>0.87219999999999942</v>
      </c>
      <c r="G961" s="4">
        <f t="shared" si="1148"/>
        <v>0.87220000000000009</v>
      </c>
      <c r="H961" s="4">
        <f t="shared" si="1148"/>
        <v>0.87219999999999909</v>
      </c>
      <c r="I961" s="4">
        <f t="shared" si="1148"/>
        <v>0.87219999999999998</v>
      </c>
      <c r="J961" s="4">
        <f t="shared" si="1148"/>
        <v>0.87219999999999986</v>
      </c>
      <c r="K961" s="4">
        <f t="shared" si="1148"/>
        <v>0.87219999999999998</v>
      </c>
      <c r="L961" s="4">
        <f t="shared" ref="L961:O961" si="1152">IFERROR(L936/L897,"-")</f>
        <v>0.87219999999999986</v>
      </c>
      <c r="M961" s="4">
        <f t="shared" si="1152"/>
        <v>0.87220000000000053</v>
      </c>
      <c r="N961" s="4">
        <f t="shared" si="1152"/>
        <v>0.87219999999999998</v>
      </c>
      <c r="O961" s="4">
        <f t="shared" si="1152"/>
        <v>0.87219999999999953</v>
      </c>
      <c r="P961" s="4">
        <f t="shared" si="1150"/>
        <v>0.87219999999999953</v>
      </c>
      <c r="Q961" s="4">
        <f t="shared" si="1150"/>
        <v>0.87219999999999975</v>
      </c>
      <c r="S961" s="3"/>
    </row>
    <row r="962" spans="2:19" x14ac:dyDescent="0.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153">IFERROR(F939/F907,"-")</f>
        <v>0.99</v>
      </c>
      <c r="G962" s="4">
        <f t="shared" si="1153"/>
        <v>0.98999999999999988</v>
      </c>
      <c r="H962" s="4">
        <f t="shared" si="1153"/>
        <v>0.98999999999999988</v>
      </c>
      <c r="I962" s="4">
        <f t="shared" si="1153"/>
        <v>0.99</v>
      </c>
      <c r="J962" s="4">
        <f t="shared" si="1153"/>
        <v>0.98999999999999988</v>
      </c>
      <c r="K962" s="4">
        <f t="shared" si="1153"/>
        <v>0.9900000000000001</v>
      </c>
      <c r="L962" s="4">
        <f t="shared" ref="L962:O962" si="1154">IFERROR(L939/L907,"-")</f>
        <v>0.99</v>
      </c>
      <c r="M962" s="4">
        <f t="shared" si="1154"/>
        <v>0.99</v>
      </c>
      <c r="N962" s="4">
        <f t="shared" si="1154"/>
        <v>0.98999999999999988</v>
      </c>
      <c r="O962" s="4">
        <f t="shared" si="1154"/>
        <v>0.99</v>
      </c>
      <c r="P962" s="4">
        <f t="shared" ref="P962:Q967" si="1155">IFERROR(P939/P907,"-")</f>
        <v>0.98999999999999988</v>
      </c>
      <c r="Q962" s="4">
        <f t="shared" si="1155"/>
        <v>0.98999999999999988</v>
      </c>
      <c r="S962" s="3"/>
    </row>
    <row r="963" spans="2:19" x14ac:dyDescent="0.5">
      <c r="B963" s="5" t="str">
        <f t="shared" si="1139"/>
        <v>SPS1</v>
      </c>
      <c r="C963" s="5" t="str">
        <f t="shared" si="1140"/>
        <v>CH</v>
      </c>
      <c r="D963" t="s">
        <v>704</v>
      </c>
      <c r="E963" t="s">
        <v>240</v>
      </c>
      <c r="F963" s="4">
        <f t="shared" si="1153"/>
        <v>0.9900000000000001</v>
      </c>
      <c r="G963" s="4">
        <f t="shared" si="1153"/>
        <v>0.98999999999999988</v>
      </c>
      <c r="H963" s="4">
        <f t="shared" si="1153"/>
        <v>0.99</v>
      </c>
      <c r="I963" s="4">
        <f t="shared" si="1153"/>
        <v>0.99</v>
      </c>
      <c r="J963" s="4">
        <f t="shared" si="1153"/>
        <v>0.98999999999999988</v>
      </c>
      <c r="K963" s="4">
        <f t="shared" si="1153"/>
        <v>0.99</v>
      </c>
      <c r="L963" s="4">
        <f t="shared" ref="L963:O963" si="1156">IFERROR(L940/L908,"-")</f>
        <v>0.99</v>
      </c>
      <c r="M963" s="4">
        <f t="shared" si="1156"/>
        <v>0.98999999999999988</v>
      </c>
      <c r="N963" s="4">
        <f t="shared" si="1156"/>
        <v>0.99</v>
      </c>
      <c r="O963" s="4">
        <f t="shared" si="1156"/>
        <v>0.9900000000000001</v>
      </c>
      <c r="P963" s="4">
        <f t="shared" si="1155"/>
        <v>0.98999999999999988</v>
      </c>
      <c r="Q963" s="4">
        <f t="shared" si="1155"/>
        <v>0.98999999999999988</v>
      </c>
      <c r="S963" s="3"/>
    </row>
    <row r="964" spans="2:19" x14ac:dyDescent="0.5">
      <c r="B964" s="5" t="str">
        <f t="shared" si="1139"/>
        <v>SPS1</v>
      </c>
      <c r="C964" s="5" t="str">
        <f t="shared" si="1140"/>
        <v>CH</v>
      </c>
      <c r="D964" t="s">
        <v>705</v>
      </c>
      <c r="E964" t="s">
        <v>240</v>
      </c>
      <c r="F964" s="4" t="str">
        <f t="shared" si="1153"/>
        <v>-</v>
      </c>
      <c r="G964" s="4" t="str">
        <f t="shared" si="1153"/>
        <v>-</v>
      </c>
      <c r="H964" s="4" t="str">
        <f t="shared" si="1153"/>
        <v>-</v>
      </c>
      <c r="I964" s="4">
        <f t="shared" si="1153"/>
        <v>0.9900000000000001</v>
      </c>
      <c r="J964" s="4">
        <f t="shared" si="1153"/>
        <v>0.9900000000000001</v>
      </c>
      <c r="K964" s="4">
        <f t="shared" si="1153"/>
        <v>0.9900000000000001</v>
      </c>
      <c r="L964" s="4">
        <f t="shared" ref="L964:O964" si="1157">IFERROR(L941/L909,"-")</f>
        <v>0.98999999999999988</v>
      </c>
      <c r="M964" s="4">
        <f t="shared" si="1157"/>
        <v>0.9900000000000001</v>
      </c>
      <c r="N964" s="4">
        <f t="shared" si="1157"/>
        <v>0.9900000000000001</v>
      </c>
      <c r="O964" s="4">
        <f t="shared" si="1157"/>
        <v>0.9900000000000001</v>
      </c>
      <c r="P964" s="4">
        <f t="shared" si="1155"/>
        <v>0.99</v>
      </c>
      <c r="Q964" s="4">
        <f t="shared" si="1155"/>
        <v>0.98999999999999988</v>
      </c>
      <c r="S964" s="3"/>
    </row>
    <row r="965" spans="2:19" x14ac:dyDescent="0.5">
      <c r="B965" s="5" t="str">
        <f t="shared" si="1139"/>
        <v>SPS1</v>
      </c>
      <c r="C965" s="5" t="str">
        <f t="shared" si="1140"/>
        <v>CH</v>
      </c>
      <c r="D965" t="s">
        <v>706</v>
      </c>
      <c r="E965" t="s">
        <v>240</v>
      </c>
      <c r="F965" s="4" t="str">
        <f t="shared" si="1153"/>
        <v>-</v>
      </c>
      <c r="G965" s="4" t="str">
        <f t="shared" si="1153"/>
        <v>-</v>
      </c>
      <c r="H965" s="4" t="str">
        <f t="shared" si="1153"/>
        <v>-</v>
      </c>
      <c r="I965" s="4">
        <f t="shared" si="1153"/>
        <v>0.99</v>
      </c>
      <c r="J965" s="4">
        <f t="shared" si="1153"/>
        <v>0.9900000000000001</v>
      </c>
      <c r="K965" s="4">
        <f t="shared" si="1153"/>
        <v>0.9900000000000001</v>
      </c>
      <c r="L965" s="4">
        <f t="shared" ref="L965:O965" si="1158">IFERROR(L942/L910,"-")</f>
        <v>0.9900000000000001</v>
      </c>
      <c r="M965" s="4">
        <f t="shared" si="1158"/>
        <v>0.99</v>
      </c>
      <c r="N965" s="4">
        <f t="shared" si="1158"/>
        <v>0.98999999999999988</v>
      </c>
      <c r="O965" s="4">
        <f t="shared" si="1158"/>
        <v>0.99000000000000021</v>
      </c>
      <c r="P965" s="4">
        <f t="shared" si="1155"/>
        <v>0.99</v>
      </c>
      <c r="Q965" s="4">
        <f t="shared" si="1155"/>
        <v>0.98999999999999988</v>
      </c>
      <c r="S965" s="3"/>
    </row>
    <row r="966" spans="2:19" x14ac:dyDescent="0.5">
      <c r="B966" s="5" t="str">
        <f t="shared" si="1139"/>
        <v>SPS1</v>
      </c>
      <c r="C966" s="5" t="str">
        <f t="shared" si="1140"/>
        <v>CH</v>
      </c>
      <c r="D966" t="s">
        <v>707</v>
      </c>
      <c r="E966" t="s">
        <v>240</v>
      </c>
      <c r="F966" s="4" t="str">
        <f t="shared" si="1153"/>
        <v>-</v>
      </c>
      <c r="G966" s="4" t="str">
        <f t="shared" si="1153"/>
        <v>-</v>
      </c>
      <c r="H966" s="4" t="str">
        <f t="shared" si="1153"/>
        <v>-</v>
      </c>
      <c r="I966" s="4">
        <f t="shared" si="1153"/>
        <v>0.99</v>
      </c>
      <c r="J966" s="4">
        <f t="shared" si="1153"/>
        <v>0.9900000000000001</v>
      </c>
      <c r="K966" s="4">
        <f t="shared" si="1153"/>
        <v>0.99</v>
      </c>
      <c r="L966" s="4">
        <f t="shared" ref="L966:O966" si="1159">IFERROR(L943/L911,"-")</f>
        <v>0.99</v>
      </c>
      <c r="M966" s="4">
        <f t="shared" si="1159"/>
        <v>0.99</v>
      </c>
      <c r="N966" s="4">
        <f t="shared" si="1159"/>
        <v>0.99</v>
      </c>
      <c r="O966" s="4">
        <f t="shared" si="1159"/>
        <v>0.9900000000000001</v>
      </c>
      <c r="P966" s="4">
        <f t="shared" si="1155"/>
        <v>0.98999999999999988</v>
      </c>
      <c r="Q966" s="4">
        <f t="shared" si="1155"/>
        <v>0.98999999999999988</v>
      </c>
      <c r="S966" s="3"/>
    </row>
    <row r="967" spans="2:19" x14ac:dyDescent="0.5">
      <c r="B967" s="5" t="str">
        <f t="shared" si="1139"/>
        <v>SPS1</v>
      </c>
      <c r="C967" s="5" t="str">
        <f t="shared" si="1140"/>
        <v>CH</v>
      </c>
      <c r="D967" t="s">
        <v>995</v>
      </c>
      <c r="E967" t="s">
        <v>240</v>
      </c>
      <c r="F967" s="4">
        <f t="shared" si="1153"/>
        <v>0.99000000000000099</v>
      </c>
      <c r="G967" s="4">
        <f t="shared" si="1153"/>
        <v>0.99</v>
      </c>
      <c r="H967" s="4">
        <f t="shared" si="1153"/>
        <v>0.99000000000000055</v>
      </c>
      <c r="I967" s="4">
        <f t="shared" si="1153"/>
        <v>0.98999999999999932</v>
      </c>
      <c r="J967" s="4">
        <f t="shared" si="1153"/>
        <v>0.9899999999999991</v>
      </c>
      <c r="K967" s="4">
        <f t="shared" si="1153"/>
        <v>0.99000000000000055</v>
      </c>
      <c r="L967" s="4">
        <f t="shared" ref="L967:O967" si="1160">IFERROR(L944/L912,"-")</f>
        <v>0.99000000000000088</v>
      </c>
      <c r="M967" s="4">
        <f t="shared" si="1160"/>
        <v>0.99000000000000088</v>
      </c>
      <c r="N967" s="4">
        <f t="shared" si="1160"/>
        <v>0.99000000000000121</v>
      </c>
      <c r="O967" s="4">
        <f t="shared" si="1160"/>
        <v>0.99000000000000021</v>
      </c>
      <c r="P967" s="4">
        <f t="shared" si="1155"/>
        <v>0.9900000000000001</v>
      </c>
      <c r="Q967" s="4">
        <f t="shared" si="1155"/>
        <v>0.99000000000000066</v>
      </c>
      <c r="S967" s="3"/>
    </row>
    <row r="968" spans="2:19" x14ac:dyDescent="0.5">
      <c r="B968" s="5" t="str">
        <f t="shared" si="1139"/>
        <v>SPS1</v>
      </c>
      <c r="C968" s="5" t="str">
        <f t="shared" si="1140"/>
        <v>CH</v>
      </c>
      <c r="D968" t="s">
        <v>996</v>
      </c>
      <c r="E968" t="s">
        <v>240</v>
      </c>
      <c r="F968" s="4">
        <f t="shared" ref="F968:K968" si="1161">IFERROR(F946/F913,"-")</f>
        <v>0.71999999999999986</v>
      </c>
      <c r="G968" s="4">
        <f t="shared" si="1161"/>
        <v>0.71999999999999964</v>
      </c>
      <c r="H968" s="4">
        <f t="shared" si="1161"/>
        <v>0.71999999999999975</v>
      </c>
      <c r="I968" s="4">
        <f t="shared" si="1161"/>
        <v>0.71999999999999986</v>
      </c>
      <c r="J968" s="4">
        <f t="shared" si="1161"/>
        <v>0.71999999999999953</v>
      </c>
      <c r="K968" s="4">
        <f t="shared" si="1161"/>
        <v>0.71999999999999909</v>
      </c>
      <c r="L968" s="4">
        <f t="shared" ref="L968:O968" si="1162">IFERROR(L946/L913,"-")</f>
        <v>0.71999999999999942</v>
      </c>
      <c r="M968" s="4">
        <f t="shared" si="1162"/>
        <v>0.72</v>
      </c>
      <c r="N968" s="4">
        <f t="shared" si="1162"/>
        <v>0.7200000000000002</v>
      </c>
      <c r="O968" s="4">
        <f t="shared" si="1162"/>
        <v>0.72000000000000042</v>
      </c>
      <c r="P968" s="4">
        <f>IFERROR(P946/P913,"-")</f>
        <v>0.72000000000000075</v>
      </c>
      <c r="Q968" s="4">
        <f>IFERROR(Q946/Q913,"-")</f>
        <v>0.72000000000000086</v>
      </c>
      <c r="S968" s="3"/>
    </row>
    <row r="969" spans="2:19" x14ac:dyDescent="0.5">
      <c r="B969" s="5" t="str">
        <f t="shared" si="1139"/>
        <v>SPS1</v>
      </c>
      <c r="C969" s="5" t="str">
        <f t="shared" si="1140"/>
        <v>CH</v>
      </c>
      <c r="D969" t="s">
        <v>997</v>
      </c>
      <c r="E969" t="s">
        <v>240</v>
      </c>
      <c r="F969" s="4">
        <f t="shared" ref="F969:K969" si="1163">IFERROR(F948/F916,"-")</f>
        <v>0.90000000000000058</v>
      </c>
      <c r="G969" s="4">
        <f t="shared" si="1163"/>
        <v>0.90000000000000058</v>
      </c>
      <c r="H969" s="4">
        <f t="shared" si="1163"/>
        <v>0.89999999999999936</v>
      </c>
      <c r="I969" s="4">
        <f t="shared" si="1163"/>
        <v>0.8999999999999998</v>
      </c>
      <c r="J969" s="4">
        <f t="shared" si="1163"/>
        <v>0.9</v>
      </c>
      <c r="K969" s="4">
        <f t="shared" si="1163"/>
        <v>0.9</v>
      </c>
      <c r="L969" s="4">
        <f t="shared" ref="L969:O969" si="1164">IFERROR(L948/L916,"-")</f>
        <v>0.90000000000000024</v>
      </c>
      <c r="M969" s="4">
        <f t="shared" si="1164"/>
        <v>0.9000000000000008</v>
      </c>
      <c r="N969" s="4">
        <f t="shared" si="1164"/>
        <v>0.89999999999999925</v>
      </c>
      <c r="O969" s="4">
        <f t="shared" si="1164"/>
        <v>0.9</v>
      </c>
      <c r="P969" s="4">
        <f>IFERROR(P948/P916,"-")</f>
        <v>0.89999999999999936</v>
      </c>
      <c r="Q969" s="4">
        <f>IFERROR(Q948/Q916,"-")</f>
        <v>0.90000000000000024</v>
      </c>
      <c r="S969" s="3"/>
    </row>
    <row r="970" spans="2:19" x14ac:dyDescent="0.5">
      <c r="B970" s="5" t="str">
        <f t="shared" si="1139"/>
        <v>SPS1</v>
      </c>
      <c r="C970" s="5" t="str">
        <f t="shared" si="1140"/>
        <v>CH</v>
      </c>
      <c r="D970" t="s">
        <v>998</v>
      </c>
      <c r="E970" t="s">
        <v>240</v>
      </c>
      <c r="F970" s="4">
        <f t="shared" ref="F970:K970" si="1165">IFERROR(F950/F918,"-")</f>
        <v>1</v>
      </c>
      <c r="G970" s="4">
        <f t="shared" si="1165"/>
        <v>1</v>
      </c>
      <c r="H970" s="4">
        <f t="shared" si="1165"/>
        <v>1</v>
      </c>
      <c r="I970" s="4">
        <f t="shared" si="1165"/>
        <v>1</v>
      </c>
      <c r="J970" s="4">
        <f t="shared" si="1165"/>
        <v>1</v>
      </c>
      <c r="K970" s="4">
        <f t="shared" si="1165"/>
        <v>1</v>
      </c>
      <c r="L970" s="4">
        <f t="shared" ref="L970:O970" si="1166">IFERROR(L950/L918,"-")</f>
        <v>1</v>
      </c>
      <c r="M970" s="4">
        <f t="shared" si="1166"/>
        <v>1</v>
      </c>
      <c r="N970" s="4">
        <f t="shared" si="1166"/>
        <v>1</v>
      </c>
      <c r="O970" s="4">
        <f t="shared" si="1166"/>
        <v>1</v>
      </c>
      <c r="P970" s="4">
        <f>IFERROR(P950/P918,"-")</f>
        <v>1</v>
      </c>
      <c r="Q970" s="4">
        <f>IFERROR(Q950/Q918,"-")</f>
        <v>1</v>
      </c>
      <c r="S970" s="3"/>
    </row>
    <row r="971" spans="2:19" x14ac:dyDescent="0.5">
      <c r="B971" s="5" t="str">
        <f t="shared" si="1139"/>
        <v>SPS1</v>
      </c>
      <c r="C971" s="5" t="str">
        <f t="shared" si="1140"/>
        <v>CH</v>
      </c>
      <c r="D971" t="s">
        <v>999</v>
      </c>
      <c r="E971" t="s">
        <v>240</v>
      </c>
      <c r="F971" s="4" t="str">
        <f t="shared" ref="F971:K971" si="1167">IFERROR(F952/F922,"-")</f>
        <v>-</v>
      </c>
      <c r="G971" s="4" t="str">
        <f t="shared" si="1167"/>
        <v>-</v>
      </c>
      <c r="H971" s="4" t="str">
        <f t="shared" si="1167"/>
        <v>-</v>
      </c>
      <c r="I971" s="4">
        <f t="shared" si="1167"/>
        <v>0.33896027609248447</v>
      </c>
      <c r="J971" s="4">
        <f t="shared" si="1167"/>
        <v>0.37445066981391206</v>
      </c>
      <c r="K971" s="4">
        <f t="shared" si="1167"/>
        <v>0.43879268923049652</v>
      </c>
      <c r="L971" s="4">
        <f t="shared" ref="L971:O971" si="1168">IFERROR(L952/L922,"-")</f>
        <v>0.39658136402848321</v>
      </c>
      <c r="M971" s="4">
        <f t="shared" si="1168"/>
        <v>0.46550108481106195</v>
      </c>
      <c r="N971" s="4">
        <f t="shared" si="1168"/>
        <v>0.45936577310348498</v>
      </c>
      <c r="O971" s="4">
        <f t="shared" si="1168"/>
        <v>0.69507968413267007</v>
      </c>
      <c r="P971" s="4">
        <f>IFERROR(P952/P922,"-")</f>
        <v>0.71972749032592398</v>
      </c>
      <c r="Q971" s="4">
        <f>IFERROR(Q952/Q922,"-")</f>
        <v>0.68700711133740688</v>
      </c>
      <c r="S971" s="3"/>
    </row>
    <row r="972" spans="2:19" x14ac:dyDescent="0.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217.23727654402427</v>
      </c>
      <c r="G972" s="3">
        <f>[1]Residential!C$26</f>
        <v>218.06537870537286</v>
      </c>
      <c r="H972" s="3">
        <f>[1]Residential!D$26</f>
        <v>216.24592258247145</v>
      </c>
      <c r="I972" s="3">
        <f>[1]Residential!E$26</f>
        <v>215.24808692435559</v>
      </c>
      <c r="J972" s="3">
        <f>[1]Residential!F$26</f>
        <v>213.89232520251906</v>
      </c>
      <c r="K972" s="3">
        <f>[1]Residential!G$26</f>
        <v>210.78205937488909</v>
      </c>
      <c r="L972" s="3">
        <f>[1]Residential!H$26</f>
        <v>207.33706734773492</v>
      </c>
      <c r="M972" s="3">
        <f>[1]Residential!I$26</f>
        <v>203.89713185963728</v>
      </c>
      <c r="N972" s="3">
        <f>[1]Residential!J$26</f>
        <v>200.64858797891486</v>
      </c>
      <c r="O972" s="3">
        <f>[1]Residential!K$26</f>
        <v>196.6275826889125</v>
      </c>
      <c r="P972" s="3">
        <f>[1]Residential!L$26</f>
        <v>196.39009293628158</v>
      </c>
      <c r="Q972" s="3">
        <f>[1]Residential!M$26</f>
        <v>184.24872921128861</v>
      </c>
      <c r="S972" s="3"/>
    </row>
    <row r="973" spans="2:19" x14ac:dyDescent="0.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69.470078791348726</v>
      </c>
      <c r="G973" s="1">
        <f>[1]Residential!C$15</f>
        <v>70.028443123374331</v>
      </c>
      <c r="H973" s="1">
        <f>[1]Residential!D$15</f>
        <v>71.037238341893442</v>
      </c>
      <c r="I973" s="1">
        <f>[1]Residential!E$15</f>
        <v>67.649887036513491</v>
      </c>
      <c r="J973" s="1">
        <f>[1]Residential!F$15</f>
        <v>67.7110090632533</v>
      </c>
      <c r="K973" s="1">
        <f>[1]Residential!G$15</f>
        <v>66.698311402679934</v>
      </c>
      <c r="L973" s="1">
        <f>[1]Residential!H$15</f>
        <v>65.614670238575286</v>
      </c>
      <c r="M973" s="1">
        <f>[1]Residential!I$15</f>
        <v>64.524970348575252</v>
      </c>
      <c r="N973" s="1">
        <f>[1]Residential!J$15</f>
        <v>64.147905400908613</v>
      </c>
      <c r="O973" s="1">
        <f>[1]Residential!K$15</f>
        <v>67.584218618935836</v>
      </c>
      <c r="P973" s="1">
        <f>[1]Residential!L$15</f>
        <v>70.128488005209334</v>
      </c>
      <c r="Q973" s="1">
        <f>[1]Residential!M$15</f>
        <v>77.751410586961697</v>
      </c>
      <c r="S973" s="3"/>
    </row>
    <row r="974" spans="2:19" x14ac:dyDescent="0.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15.333242254205457</v>
      </c>
      <c r="G974" s="1">
        <f t="shared" ref="G974:K974" si="1169">SUM(G975:G976)</f>
        <v>15.081947547133964</v>
      </c>
      <c r="H974" s="1">
        <f t="shared" si="1169"/>
        <v>15.945286968007949</v>
      </c>
      <c r="I974" s="1">
        <f t="shared" si="1169"/>
        <v>14.057240652874103</v>
      </c>
      <c r="J974" s="1">
        <f t="shared" si="1169"/>
        <v>14.392858915255879</v>
      </c>
      <c r="K974" s="1">
        <f t="shared" si="1169"/>
        <v>13.410278723351123</v>
      </c>
      <c r="L974" s="1">
        <f t="shared" ref="L974:O974" si="1170">SUM(L975:L976)</f>
        <v>11.927106094335079</v>
      </c>
      <c r="M974" s="1">
        <f t="shared" si="1170"/>
        <v>10.715057483199907</v>
      </c>
      <c r="N974" s="1">
        <f t="shared" si="1170"/>
        <v>8.7933472452235559</v>
      </c>
      <c r="O974" s="1">
        <f t="shared" si="1170"/>
        <v>8.7499520698847739</v>
      </c>
      <c r="P974" s="1">
        <f>SUM(P975:P976)</f>
        <v>8.6927693633647216</v>
      </c>
      <c r="Q974" s="1">
        <f>SUM(Q975:Q976)</f>
        <v>8.5863294256044309</v>
      </c>
      <c r="S974" s="3"/>
    </row>
    <row r="975" spans="2:19" x14ac:dyDescent="0.5">
      <c r="B975" s="5" t="str">
        <f>B974</f>
        <v>SPS1</v>
      </c>
      <c r="C975" s="5" t="str">
        <f t="shared" ref="C975" si="1171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9.3768766530968914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8.1042623065384447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8.5650713983679179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6.3186841331139298</v>
      </c>
      <c r="J975" s="1" cm="1">
        <f t="array" ref="J975">SUMPRODUCT(([1]OUT_FinalEnergyCons!$B$4:$B$10000="Var_Fin")*1,ISNUMBER(SEARCH("R*_ELC",[1]OUT_FinalEnergyCons!$C$4:$C$10000))*1, (ISNUMBER(SEARCH("RH*-SHELCBR",[1]OUT_FinalEnergyCons!$A$4:$A$10000)))*1,[1]OUT_FinalEnergyCons!H$4:H$10000)</f>
        <v>5.6484545820507073</v>
      </c>
      <c r="K975" s="1" cm="1">
        <f t="array" ref="K975">SUMPRODUCT(([1]OUT_FinalEnergyCons!$B$4:$B$10000="Var_Fin")*1,ISNUMBER(SEARCH("R*_ELC",[1]OUT_FinalEnergyCons!$C$4:$C$10000))*1, (ISNUMBER(SEARCH("RH*-SHELCBR",[1]OUT_FinalEnergyCons!$A$4:$A$10000)))*1,[1]OUT_FinalEnergyCons!I$4:I$10000)</f>
        <v>4.9412966426468534</v>
      </c>
      <c r="L975" s="1" cm="1">
        <f t="array" ref="L975">SUMPRODUCT(([1]OUT_FinalEnergyCons!$B$4:$B$10000="Var_Fin")*1,ISNUMBER(SEARCH("R*_ELC",[1]OUT_FinalEnergyCons!$C$4:$C$10000))*1, (ISNUMBER(SEARCH("RH*-SHELCBR",[1]OUT_FinalEnergyCons!$A$4:$A$10000)))*1,[1]OUT_FinalEnergyCons!J$4:J$10000)</f>
        <v>3.6809729045100013</v>
      </c>
      <c r="M975" s="1" cm="1">
        <f t="array" ref="M975">SUMPRODUCT(([1]OUT_FinalEnergyCons!$B$4:$B$10000="Var_Fin")*1,ISNUMBER(SEARCH("R*_ELC",[1]OUT_FinalEnergyCons!$C$4:$C$10000))*1, (ISNUMBER(SEARCH("RH*-SHELCBR",[1]OUT_FinalEnergyCons!$A$4:$A$10000)))*1,[1]OUT_FinalEnergyCons!K$4:K$10000)</f>
        <v>2.6074520731988882</v>
      </c>
      <c r="N975" s="1" cm="1">
        <f t="array" ref="N975">SUMPRODUCT(([1]OUT_FinalEnergyCons!$B$4:$B$10000="Var_Fin")*1,ISNUMBER(SEARCH("R*_ELC",[1]OUT_FinalEnergyCons!$C$4:$C$10000))*1, (ISNUMBER(SEARCH("RH*-SHELCBR",[1]OUT_FinalEnergyCons!$A$4:$A$10000)))*1,[1]OUT_FinalEnergyCons!L$4:L$10000)</f>
        <v>0.68573763338084726</v>
      </c>
      <c r="O975" s="1" cm="1">
        <f t="array" ref="O975">SUMPRODUCT(([1]OUT_FinalEnergyCons!$B$4:$B$10000="Var_Fin")*1,ISNUMBER(SEARCH("R*_ELC",[1]OUT_FinalEnergyCons!$C$4:$C$10000))*1, (ISNUMBER(SEARCH("RH*-SHELCBR",[1]OUT_FinalEnergyCons!$A$4:$A$10000)))*1,[1]OUT_FinalEnergyCons!M$4:M$10000)</f>
        <v>0.64230202674517489</v>
      </c>
      <c r="P975" s="1" cm="1">
        <f t="array" ref="P975">SUMPRODUCT(([1]OUT_FinalEnergyCons!$B$4:$B$10000="Var_Fin")*1,ISNUMBER(SEARCH("R*_ELC",[1]OUT_FinalEnergyCons!$C$4:$C$10000))*1, (ISNUMBER(SEARCH("RH*-SHELCBR",[1]OUT_FinalEnergyCons!$A$4:$A$10000)))*1,[1]OUT_FinalEnergyCons!N$4:N$10000)</f>
        <v>0.58480242298817087</v>
      </c>
      <c r="Q975" s="1" cm="1">
        <f t="array" ref="Q975">SUMPRODUCT(([1]OUT_FinalEnergyCons!$B$4:$B$10000="Var_Fin")*1,ISNUMBER(SEARCH("R*_ELC",[1]OUT_FinalEnergyCons!$C$4:$C$10000))*1, (ISNUMBER(SEARCH("RH*-SHELCBR",[1]OUT_FinalEnergyCons!$A$4:$A$10000)))*1,[1]OUT_FinalEnergyCons!O$4:O$10000)</f>
        <v>0.47828573359682991</v>
      </c>
      <c r="S975" s="3"/>
    </row>
    <row r="976" spans="2:19" x14ac:dyDescent="0.5">
      <c r="B976" s="5" t="str">
        <f t="shared" ref="B976:B980" si="1172">B975</f>
        <v>SPS1</v>
      </c>
      <c r="C976" s="5" t="str">
        <f t="shared" ref="C976:C980" si="1173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5.9563656011085655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6.9776852405955205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7.38021556964003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7.7385565197601736</v>
      </c>
      <c r="J976" s="1" cm="1">
        <f t="array" ref="J976">SUMPRODUCT(([1]OUT_FinalEnergyCons!$B$4:$B$10000="Var_Fin")*1,ISNUMBER(SEARCH("R*_ELC",[1]OUT_FinalEnergyCons!$C$4:$C$10000))*1, (ISNUMBER(SEARCH("RH*-SHELCHP",[1]OUT_FinalEnergyCons!$A$4:$A$10000)))*1,[1]OUT_FinalEnergyCons!H$4:H$10000)</f>
        <v>8.7444043332051713</v>
      </c>
      <c r="K976" s="1" cm="1">
        <f t="array" ref="K976">SUMPRODUCT(([1]OUT_FinalEnergyCons!$B$4:$B$10000="Var_Fin")*1,ISNUMBER(SEARCH("R*_ELC",[1]OUT_FinalEnergyCons!$C$4:$C$10000))*1, (ISNUMBER(SEARCH("RH*-SHELCHP",[1]OUT_FinalEnergyCons!$A$4:$A$10000)))*1,[1]OUT_FinalEnergyCons!I$4:I$10000)</f>
        <v>8.4689820807042686</v>
      </c>
      <c r="L976" s="1" cm="1">
        <f t="array" ref="L976">SUMPRODUCT(([1]OUT_FinalEnergyCons!$B$4:$B$10000="Var_Fin")*1,ISNUMBER(SEARCH("R*_ELC",[1]OUT_FinalEnergyCons!$C$4:$C$10000))*1, (ISNUMBER(SEARCH("RH*-SHELCHP",[1]OUT_FinalEnergyCons!$A$4:$A$10000)))*1,[1]OUT_FinalEnergyCons!J$4:J$10000)</f>
        <v>8.2461331898250769</v>
      </c>
      <c r="M976" s="1" cm="1">
        <f t="array" ref="M976">SUMPRODUCT(([1]OUT_FinalEnergyCons!$B$4:$B$10000="Var_Fin")*1,ISNUMBER(SEARCH("R*_ELC",[1]OUT_FinalEnergyCons!$C$4:$C$10000))*1, (ISNUMBER(SEARCH("RH*-SHELCHP",[1]OUT_FinalEnergyCons!$A$4:$A$10000)))*1,[1]OUT_FinalEnergyCons!K$4:K$10000)</f>
        <v>8.1076054100010175</v>
      </c>
      <c r="N976" s="1" cm="1">
        <f t="array" ref="N976">SUMPRODUCT(([1]OUT_FinalEnergyCons!$B$4:$B$10000="Var_Fin")*1,ISNUMBER(SEARCH("R*_ELC",[1]OUT_FinalEnergyCons!$C$4:$C$10000))*1, (ISNUMBER(SEARCH("RH*-SHELCHP",[1]OUT_FinalEnergyCons!$A$4:$A$10000)))*1,[1]OUT_FinalEnergyCons!L$4:L$10000)</f>
        <v>8.1076096118427081</v>
      </c>
      <c r="O976" s="1" cm="1">
        <f t="array" ref="O976">SUMPRODUCT(([1]OUT_FinalEnergyCons!$B$4:$B$10000="Var_Fin")*1,ISNUMBER(SEARCH("R*_ELC",[1]OUT_FinalEnergyCons!$C$4:$C$10000))*1, (ISNUMBER(SEARCH("RH*-SHELCHP",[1]OUT_FinalEnergyCons!$A$4:$A$10000)))*1,[1]OUT_FinalEnergyCons!M$4:M$10000)</f>
        <v>8.1076500431395981</v>
      </c>
      <c r="P976" s="1" cm="1">
        <f t="array" ref="P976">SUMPRODUCT(([1]OUT_FinalEnergyCons!$B$4:$B$10000="Var_Fin")*1,ISNUMBER(SEARCH("R*_ELC",[1]OUT_FinalEnergyCons!$C$4:$C$10000))*1, (ISNUMBER(SEARCH("RH*-SHELCHP",[1]OUT_FinalEnergyCons!$A$4:$A$10000)))*1,[1]OUT_FinalEnergyCons!N$4:N$10000)</f>
        <v>8.1079669403765511</v>
      </c>
      <c r="Q976" s="1" cm="1">
        <f t="array" ref="Q976">SUMPRODUCT(([1]OUT_FinalEnergyCons!$B$4:$B$10000="Var_Fin")*1,ISNUMBER(SEARCH("R*_ELC",[1]OUT_FinalEnergyCons!$C$4:$C$10000))*1, (ISNUMBER(SEARCH("RH*-SHELCHP",[1]OUT_FinalEnergyCons!$A$4:$A$10000)))*1,[1]OUT_FinalEnergyCons!O$4:O$10000)</f>
        <v>8.1080436920076018</v>
      </c>
      <c r="S976" s="3"/>
    </row>
    <row r="977" spans="2:19" x14ac:dyDescent="0.5">
      <c r="B977" s="5" t="str">
        <f t="shared" si="1172"/>
        <v>SPS1</v>
      </c>
      <c r="C977" s="5" t="str">
        <f t="shared" si="1173"/>
        <v>CH</v>
      </c>
      <c r="D977" t="s">
        <v>1002</v>
      </c>
      <c r="E977" t="s">
        <v>8</v>
      </c>
      <c r="F977" s="1">
        <f>SUM(F978:F979)</f>
        <v>9.5599310275882257</v>
      </c>
      <c r="G977" s="1">
        <f t="shared" ref="G977:K977" si="1174">SUM(G978:G979)</f>
        <v>10.085315317621045</v>
      </c>
      <c r="H977" s="1">
        <f t="shared" si="1174"/>
        <v>10.429237042789206</v>
      </c>
      <c r="I977" s="1">
        <f t="shared" si="1174"/>
        <v>8.5271423128772348</v>
      </c>
      <c r="J977" s="1">
        <f t="shared" si="1174"/>
        <v>7.7501747277438158</v>
      </c>
      <c r="K977" s="1">
        <f t="shared" si="1174"/>
        <v>7.1009625170695561</v>
      </c>
      <c r="L977" s="1">
        <f t="shared" ref="L977:O977" si="1175">SUM(L978:L979)</f>
        <v>6.4083354751573243</v>
      </c>
      <c r="M977" s="1">
        <f t="shared" si="1175"/>
        <v>4.9958038271592766</v>
      </c>
      <c r="N977" s="1">
        <f t="shared" si="1175"/>
        <v>3.9529835903221477</v>
      </c>
      <c r="O977" s="1">
        <f t="shared" si="1175"/>
        <v>3.9636794788299761</v>
      </c>
      <c r="P977" s="1">
        <f>SUM(P978:P979)</f>
        <v>3.432745319122199</v>
      </c>
      <c r="Q977" s="1">
        <f>SUM(Q978:Q979)</f>
        <v>3.7837866631872807</v>
      </c>
      <c r="S977" s="3"/>
    </row>
    <row r="978" spans="2:19" x14ac:dyDescent="0.5">
      <c r="B978" s="5" t="str">
        <f t="shared" si="1172"/>
        <v>SPS1</v>
      </c>
      <c r="C978" s="5" t="str">
        <f t="shared" si="1173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8.4110252704223214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8.7988778712339588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8.6874538439756854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6.4246992560594585</v>
      </c>
      <c r="J978" s="1" cm="1">
        <f t="array" ref="J978">SUMPRODUCT(([1]OUT_FinalEnergyCons!$B$4:$B$10000="Var_Fin")*1,ISNUMBER(SEARCH("R*_ELC",[1]OUT_FinalEnergyCons!$C$4:$C$10000))*1, (ISNUMBER(SEARCH("RH*-wHELCBR",[1]OUT_FinalEnergyCons!$A$4:$A$10000)))*1,[1]OUT_FinalEnergyCons!H$4:H$10000)</f>
        <v>5.0943439307729745</v>
      </c>
      <c r="K978" s="1" cm="1">
        <f t="array" ref="K978">SUMPRODUCT(([1]OUT_FinalEnergyCons!$B$4:$B$10000="Var_Fin")*1,ISNUMBER(SEARCH("R*_ELC",[1]OUT_FinalEnergyCons!$C$4:$C$10000))*1, (ISNUMBER(SEARCH("RH*-wHELCBR",[1]OUT_FinalEnergyCons!$A$4:$A$10000)))*1,[1]OUT_FinalEnergyCons!I$4:I$10000)</f>
        <v>4.429032287413305</v>
      </c>
      <c r="L978" s="1" cm="1">
        <f t="array" ref="L978">SUMPRODUCT(([1]OUT_FinalEnergyCons!$B$4:$B$10000="Var_Fin")*1,ISNUMBER(SEARCH("R*_ELC",[1]OUT_FinalEnergyCons!$C$4:$C$10000))*1, (ISNUMBER(SEARCH("RH*-wHELCBR",[1]OUT_FinalEnergyCons!$A$4:$A$10000)))*1,[1]OUT_FinalEnergyCons!J$4:J$10000)</f>
        <v>3.6738263534438267</v>
      </c>
      <c r="M978" s="1" cm="1">
        <f t="array" ref="M978">SUMPRODUCT(([1]OUT_FinalEnergyCons!$B$4:$B$10000="Var_Fin")*1,ISNUMBER(SEARCH("R*_ELC",[1]OUT_FinalEnergyCons!$C$4:$C$10000))*1, (ISNUMBER(SEARCH("RH*-wHELCBR",[1]OUT_FinalEnergyCons!$A$4:$A$10000)))*1,[1]OUT_FinalEnergyCons!K$4:K$10000)</f>
        <v>2.3086408974697172</v>
      </c>
      <c r="N978" s="1" cm="1">
        <f t="array" ref="N978">SUMPRODUCT(([1]OUT_FinalEnergyCons!$B$4:$B$10000="Var_Fin")*1,ISNUMBER(SEARCH("R*_ELC",[1]OUT_FinalEnergyCons!$C$4:$C$10000))*1, (ISNUMBER(SEARCH("RH*-wHELCBR",[1]OUT_FinalEnergyCons!$A$4:$A$10000)))*1,[1]OUT_FinalEnergyCons!L$4:L$10000)</f>
        <v>0.60713627371318435</v>
      </c>
      <c r="O978" s="1" cm="1">
        <f t="array" ref="O978">SUMPRODUCT(([1]OUT_FinalEnergyCons!$B$4:$B$10000="Var_Fin")*1,ISNUMBER(SEARCH("R*_ELC",[1]OUT_FinalEnergyCons!$C$4:$C$10000))*1, (ISNUMBER(SEARCH("RH*-wHELCBR",[1]OUT_FinalEnergyCons!$A$4:$A$10000)))*1,[1]OUT_FinalEnergyCons!M$4:M$10000)</f>
        <v>0.56866789569190501</v>
      </c>
      <c r="P978" s="1" cm="1">
        <f t="array" ref="P978">SUMPRODUCT(([1]OUT_FinalEnergyCons!$B$4:$B$10000="Var_Fin")*1,ISNUMBER(SEARCH("R*_ELC",[1]OUT_FinalEnergyCons!$C$4:$C$10000))*1, (ISNUMBER(SEARCH("RH*-wHELCBR",[1]OUT_FinalEnergyCons!$A$4:$A$10000)))*1,[1]OUT_FinalEnergyCons!N$4:N$10000)</f>
        <v>0.51777411857770606</v>
      </c>
      <c r="Q978" s="1" cm="1">
        <f t="array" ref="Q978">SUMPRODUCT(([1]OUT_FinalEnergyCons!$B$4:$B$10000="Var_Fin")*1,ISNUMBER(SEARCH("R*_ELC",[1]OUT_FinalEnergyCons!$C$4:$C$10000))*1, (ISNUMBER(SEARCH("RH*-wHELCBR",[1]OUT_FinalEnergyCons!$A$4:$A$10000)))*1,[1]OUT_FinalEnergyCons!O$4:O$10000)</f>
        <v>0.42345986058232554</v>
      </c>
      <c r="S978" s="3"/>
    </row>
    <row r="979" spans="2:19" x14ac:dyDescent="0.5">
      <c r="B979" s="5" t="str">
        <f t="shared" si="1172"/>
        <v>SPS1</v>
      </c>
      <c r="C979" s="5" t="str">
        <f t="shared" si="1173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1.1489057571659036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1.2864374463870876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1.7417831988135202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2.1024430568177772</v>
      </c>
      <c r="J979" s="1" cm="1">
        <f t="array" ref="J979">SUMPRODUCT(([1]OUT_FinalEnergyCons!$B$4:$B$10000="Var_Fin")*1,ISNUMBER(SEARCH("R*_ELC",[1]OUT_FinalEnergyCons!$C$4:$C$10000))*1, (ISNUMBER(SEARCH("RH*-wHELCHP",[1]OUT_FinalEnergyCons!$A$4:$A$10000)))*1,[1]OUT_FinalEnergyCons!H$4:H$10000)</f>
        <v>2.6558307969708412</v>
      </c>
      <c r="K979" s="1" cm="1">
        <f t="array" ref="K979">SUMPRODUCT(([1]OUT_FinalEnergyCons!$B$4:$B$10000="Var_Fin")*1,ISNUMBER(SEARCH("R*_ELC",[1]OUT_FinalEnergyCons!$C$4:$C$10000))*1, (ISNUMBER(SEARCH("RH*-wHELCHP",[1]OUT_FinalEnergyCons!$A$4:$A$10000)))*1,[1]OUT_FinalEnergyCons!I$4:I$10000)</f>
        <v>2.671930229656251</v>
      </c>
      <c r="L979" s="1" cm="1">
        <f t="array" ref="L979">SUMPRODUCT(([1]OUT_FinalEnergyCons!$B$4:$B$10000="Var_Fin")*1,ISNUMBER(SEARCH("R*_ELC",[1]OUT_FinalEnergyCons!$C$4:$C$10000))*1, (ISNUMBER(SEARCH("RH*-wHELCHP",[1]OUT_FinalEnergyCons!$A$4:$A$10000)))*1,[1]OUT_FinalEnergyCons!J$4:J$10000)</f>
        <v>2.7345091217134976</v>
      </c>
      <c r="M979" s="1" cm="1">
        <f t="array" ref="M979">SUMPRODUCT(([1]OUT_FinalEnergyCons!$B$4:$B$10000="Var_Fin")*1,ISNUMBER(SEARCH("R*_ELC",[1]OUT_FinalEnergyCons!$C$4:$C$10000))*1, (ISNUMBER(SEARCH("RH*-wHELCHP",[1]OUT_FinalEnergyCons!$A$4:$A$10000)))*1,[1]OUT_FinalEnergyCons!K$4:K$10000)</f>
        <v>2.6871629296895589</v>
      </c>
      <c r="N979" s="1" cm="1">
        <f t="array" ref="N979">SUMPRODUCT(([1]OUT_FinalEnergyCons!$B$4:$B$10000="Var_Fin")*1,ISNUMBER(SEARCH("R*_ELC",[1]OUT_FinalEnergyCons!$C$4:$C$10000))*1, (ISNUMBER(SEARCH("RH*-wHELCHP",[1]OUT_FinalEnergyCons!$A$4:$A$10000)))*1,[1]OUT_FinalEnergyCons!L$4:L$10000)</f>
        <v>3.3458473166089635</v>
      </c>
      <c r="O979" s="1" cm="1">
        <f t="array" ref="O979">SUMPRODUCT(([1]OUT_FinalEnergyCons!$B$4:$B$10000="Var_Fin")*1,ISNUMBER(SEARCH("R*_ELC",[1]OUT_FinalEnergyCons!$C$4:$C$10000))*1, (ISNUMBER(SEARCH("RH*-wHELCHP",[1]OUT_FinalEnergyCons!$A$4:$A$10000)))*1,[1]OUT_FinalEnergyCons!M$4:M$10000)</f>
        <v>3.3950115831380709</v>
      </c>
      <c r="P979" s="1" cm="1">
        <f t="array" ref="P979">SUMPRODUCT(([1]OUT_FinalEnergyCons!$B$4:$B$10000="Var_Fin")*1,ISNUMBER(SEARCH("R*_ELC",[1]OUT_FinalEnergyCons!$C$4:$C$10000))*1, (ISNUMBER(SEARCH("RH*-wHELCHP",[1]OUT_FinalEnergyCons!$A$4:$A$10000)))*1,[1]OUT_FinalEnergyCons!N$4:N$10000)</f>
        <v>2.914971200544493</v>
      </c>
      <c r="Q979" s="1" cm="1">
        <f t="array" ref="Q979">SUMPRODUCT(([1]OUT_FinalEnergyCons!$B$4:$B$10000="Var_Fin")*1,ISNUMBER(SEARCH("R*_ELC",[1]OUT_FinalEnergyCons!$C$4:$C$10000))*1, (ISNUMBER(SEARCH("RH*-wHELCHP",[1]OUT_FinalEnergyCons!$A$4:$A$10000)))*1,[1]OUT_FinalEnergyCons!O$4:O$10000)</f>
        <v>3.3603268026049551</v>
      </c>
      <c r="S979" s="3"/>
    </row>
    <row r="980" spans="2:19" x14ac:dyDescent="0.5">
      <c r="B980" s="5" t="str">
        <f t="shared" si="1172"/>
        <v>SPS1</v>
      </c>
      <c r="C980" s="5" t="str">
        <f t="shared" si="1173"/>
        <v>CH</v>
      </c>
      <c r="D980" t="s">
        <v>1003</v>
      </c>
      <c r="E980" t="s">
        <v>8</v>
      </c>
      <c r="F980" s="1">
        <f>[1]Residential!B$3-([1]Residential!B$10-[1]Residential!B$244)</f>
        <v>44.576905509555033</v>
      </c>
      <c r="G980" s="1">
        <f>[1]Residential!C$3-([1]Residential!C$10-[1]Residential!C$244)</f>
        <v>44.861180258619314</v>
      </c>
      <c r="H980" s="1">
        <f>[1]Residential!D$3-([1]Residential!D$10-[1]Residential!D$244)</f>
        <v>44.662714331096282</v>
      </c>
      <c r="I980" s="1">
        <f>[1]Residential!E$3-([1]Residential!E$10-[1]Residential!E$244)</f>
        <v>45.065504070762152</v>
      </c>
      <c r="J980" s="1">
        <f>[1]Residential!F$3-([1]Residential!F$10-[1]Residential!F$244)</f>
        <v>45.567975420253603</v>
      </c>
      <c r="K980" s="1">
        <f>[1]Residential!G$3-([1]Residential!G$10-[1]Residential!G$244)</f>
        <v>46.187070162259261</v>
      </c>
      <c r="L980" s="1">
        <f>[1]Residential!H$3-([1]Residential!H$10-[1]Residential!H$244)</f>
        <v>47.27922866908289</v>
      </c>
      <c r="M980" s="1">
        <f>[1]Residential!I$3-([1]Residential!I$10-[1]Residential!I$244)</f>
        <v>48.814109038216067</v>
      </c>
      <c r="N980" s="1">
        <f>[1]Residential!J$3-([1]Residential!J$10-[1]Residential!J$244)</f>
        <v>51.401574565362914</v>
      </c>
      <c r="O980" s="1">
        <f>[1]Residential!K$3-([1]Residential!K$10-[1]Residential!K$244)</f>
        <v>54.870587070221092</v>
      </c>
      <c r="P980" s="1">
        <f>[1]Residential!L$3-([1]Residential!L$10-[1]Residential!L$244)</f>
        <v>58.002973322722418</v>
      </c>
      <c r="Q980" s="1">
        <f>[1]Residential!M$3-([1]Residential!M$10-[1]Residential!M$244)</f>
        <v>65.381294498169979</v>
      </c>
      <c r="S980" s="3"/>
    </row>
    <row r="981" spans="2:19" x14ac:dyDescent="0.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60.23184517818018</v>
      </c>
      <c r="G981" s="1">
        <f>SUM([1]Residential!C$16:C$17)</f>
        <v>51.319999495851931</v>
      </c>
      <c r="H981" s="1">
        <f>SUM([1]Residential!D$16:D$17)</f>
        <v>44.654149401007913</v>
      </c>
      <c r="I981" s="1">
        <f>SUM([1]Residential!E$16:E$17)</f>
        <v>45.869608516192521</v>
      </c>
      <c r="J981" s="1">
        <f>SUM([1]Residential!F$16:F$17)</f>
        <v>36.753131070456547</v>
      </c>
      <c r="K981" s="1">
        <f>SUM([1]Residential!G$16:G$17)</f>
        <v>33.661432463916263</v>
      </c>
      <c r="L981" s="1">
        <f>SUM([1]Residential!H$16:H$17)</f>
        <v>32.475762736034198</v>
      </c>
      <c r="M981" s="1">
        <f>SUM([1]Residential!I$16:I$17)</f>
        <v>27.874092973315001</v>
      </c>
      <c r="N981" s="1">
        <f>SUM([1]Residential!J$16:J$17)</f>
        <v>26.000019165321124</v>
      </c>
      <c r="O981" s="1">
        <f>SUM([1]Residential!K$16:K$17)</f>
        <v>22.344822977537788</v>
      </c>
      <c r="P981" s="1">
        <f>SUM([1]Residential!L$16:L$17)</f>
        <v>16.732167764976651</v>
      </c>
      <c r="Q981" s="1">
        <f>SUM([1]Residential!M$16:M$17)</f>
        <v>6.4539195698131637</v>
      </c>
      <c r="S981" s="3"/>
    </row>
    <row r="982" spans="2:19" x14ac:dyDescent="0.5">
      <c r="B982" s="5" t="str">
        <f t="shared" ref="B982:B993" si="1176">B981</f>
        <v>SPS1</v>
      </c>
      <c r="C982" s="5" t="str">
        <f t="shared" ref="C982:C993" si="1177">C981</f>
        <v>CH</v>
      </c>
      <c r="D982" t="s">
        <v>1004</v>
      </c>
      <c r="E982" t="s">
        <v>8</v>
      </c>
      <c r="F982" s="1">
        <f>[1]Residential!B$16</f>
        <v>60.23184517818018</v>
      </c>
      <c r="G982" s="1">
        <f>[1]Residential!C$16</f>
        <v>51.319999495851931</v>
      </c>
      <c r="H982" s="1">
        <f>[1]Residential!D$16</f>
        <v>44.65406085770487</v>
      </c>
      <c r="I982" s="1">
        <f>[1]Residential!E$16</f>
        <v>45.869399796282714</v>
      </c>
      <c r="J982" s="1">
        <f>[1]Residential!F$16</f>
        <v>36.752690127281475</v>
      </c>
      <c r="K982" s="1">
        <f>[1]Residential!G$16</f>
        <v>33.661215363592959</v>
      </c>
      <c r="L982" s="1">
        <f>[1]Residential!H$16</f>
        <v>32.475552505715022</v>
      </c>
      <c r="M982" s="1">
        <f>[1]Residential!I$16</f>
        <v>27.873638153353191</v>
      </c>
      <c r="N982" s="1">
        <f>[1]Residential!J$16</f>
        <v>25.999800029141507</v>
      </c>
      <c r="O982" s="1">
        <f>[1]Residential!K$16</f>
        <v>22.34436792327234</v>
      </c>
      <c r="P982" s="1">
        <f>[1]Residential!L$16</f>
        <v>16.731822790558073</v>
      </c>
      <c r="Q982" s="1">
        <f>[1]Residential!M$16</f>
        <v>6.4531276267266344</v>
      </c>
      <c r="S982" s="3"/>
    </row>
    <row r="983" spans="2:19" x14ac:dyDescent="0.5">
      <c r="B983" s="5" t="str">
        <f t="shared" si="1176"/>
        <v>SPS1</v>
      </c>
      <c r="C983" s="5" t="str">
        <f t="shared" si="1177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8.8543303043680626E-5</v>
      </c>
      <c r="I983" s="1">
        <f>[1]Residential!E$17</f>
        <v>2.0871990980760846E-4</v>
      </c>
      <c r="J983" s="1">
        <f>[1]Residential!F$17</f>
        <v>4.4094317507066609E-4</v>
      </c>
      <c r="K983" s="1">
        <f>[1]Residential!G$17</f>
        <v>2.1710032330792114E-4</v>
      </c>
      <c r="L983" s="1">
        <f>[1]Residential!H$17</f>
        <v>2.1023031917350623E-4</v>
      </c>
      <c r="M983" s="1">
        <f>[1]Residential!I$17</f>
        <v>4.5481996180986892E-4</v>
      </c>
      <c r="N983" s="1">
        <f>[1]Residential!J$17</f>
        <v>2.1913617961604061E-4</v>
      </c>
      <c r="O983" s="1">
        <f>[1]Residential!K$17</f>
        <v>4.5505426544869681E-4</v>
      </c>
      <c r="P983" s="1">
        <f>[1]Residential!L$17</f>
        <v>3.4497441857642066E-4</v>
      </c>
      <c r="Q983" s="1">
        <f>[1]Residential!M$17</f>
        <v>7.9194308652922121E-4</v>
      </c>
      <c r="S983" s="3"/>
    </row>
    <row r="984" spans="2:19" x14ac:dyDescent="0.5">
      <c r="B984" s="5" t="str">
        <f t="shared" si="1176"/>
        <v>SPS1</v>
      </c>
      <c r="C984" s="5" t="str">
        <f t="shared" si="1177"/>
        <v>CH</v>
      </c>
      <c r="D984" t="s">
        <v>1006</v>
      </c>
      <c r="E984" t="s">
        <v>8</v>
      </c>
      <c r="F984" s="1">
        <f>SUM(F986,F988)</f>
        <v>50.371429628892329</v>
      </c>
      <c r="G984" s="1">
        <f t="shared" ref="G984:K984" si="1178">SUM(G986,G988)</f>
        <v>43.011096325637126</v>
      </c>
      <c r="H984" s="1">
        <f t="shared" si="1178"/>
        <v>42.949860890888928</v>
      </c>
      <c r="I984" s="1">
        <f t="shared" si="1178"/>
        <v>43.180330990711383</v>
      </c>
      <c r="J984" s="1">
        <f t="shared" si="1178"/>
        <v>35.975905154617692</v>
      </c>
      <c r="K984" s="1">
        <f t="shared" si="1178"/>
        <v>33.654333492003182</v>
      </c>
      <c r="L984" s="1">
        <f t="shared" ref="L984:O984" si="1179">SUM(L986,L988)</f>
        <v>32.468669573173017</v>
      </c>
      <c r="M984" s="1">
        <f t="shared" si="1179"/>
        <v>27.867416911582211</v>
      </c>
      <c r="N984" s="1">
        <f t="shared" si="1179"/>
        <v>25.990770741630115</v>
      </c>
      <c r="O984" s="1">
        <f t="shared" si="1179"/>
        <v>22.330855830281578</v>
      </c>
      <c r="P984" s="1">
        <f>SUM(P986,P988)</f>
        <v>16.720479763735188</v>
      </c>
      <c r="Q984" s="1">
        <f>SUM(Q986,Q988)</f>
        <v>6.420810442625088</v>
      </c>
      <c r="S984" s="3"/>
    </row>
    <row r="985" spans="2:19" x14ac:dyDescent="0.5">
      <c r="B985" s="5" t="str">
        <f t="shared" si="1176"/>
        <v>SPS1</v>
      </c>
      <c r="C985" s="5" t="str">
        <f t="shared" si="1177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50.371429628892329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43.011096325637126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42.949860890888928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43.180330990711383</v>
      </c>
      <c r="J985" s="1" cm="1">
        <f t="array" ref="J985">SUMPRODUCT(([1]OUT_FinalEnergyCons!$B$4:$B$10000="Var_Fin")*1, ([1]OUT_FinalEnergyCons!$C$4:$C$10000="RLFO")*1,(ISNUMBER(SEARCH("RH*-SHLFOBR",[1]OUT_FinalEnergyCons!$A$4:$A$10000)))*1,[1]OUT_FinalEnergyCons!H$4:H$10000)</f>
        <v>35.975905154617692</v>
      </c>
      <c r="K985" s="1" cm="1">
        <f t="array" ref="K985">SUMPRODUCT(([1]OUT_FinalEnergyCons!$B$4:$B$10000="Var_Fin")*1, ([1]OUT_FinalEnergyCons!$C$4:$C$10000="RLFO")*1,(ISNUMBER(SEARCH("RH*-SHLFOBR",[1]OUT_FinalEnergyCons!$A$4:$A$10000)))*1,[1]OUT_FinalEnergyCons!I$4:I$10000)</f>
        <v>33.654333492003182</v>
      </c>
      <c r="L985" s="1" cm="1">
        <f t="array" ref="L985">SUMPRODUCT(([1]OUT_FinalEnergyCons!$B$4:$B$10000="Var_Fin")*1, ([1]OUT_FinalEnergyCons!$C$4:$C$10000="RLFO")*1,(ISNUMBER(SEARCH("RH*-SHLFOBR",[1]OUT_FinalEnergyCons!$A$4:$A$10000)))*1,[1]OUT_FinalEnergyCons!J$4:J$10000)</f>
        <v>32.468669573173017</v>
      </c>
      <c r="M985" s="1" cm="1">
        <f t="array" ref="M985">SUMPRODUCT(([1]OUT_FinalEnergyCons!$B$4:$B$10000="Var_Fin")*1, ([1]OUT_FinalEnergyCons!$C$4:$C$10000="RLFO")*1,(ISNUMBER(SEARCH("RH*-SHLFOBR",[1]OUT_FinalEnergyCons!$A$4:$A$10000)))*1,[1]OUT_FinalEnergyCons!K$4:K$10000)</f>
        <v>27.867416911582211</v>
      </c>
      <c r="N985" s="1" cm="1">
        <f t="array" ref="N985">SUMPRODUCT(([1]OUT_FinalEnergyCons!$B$4:$B$10000="Var_Fin")*1, ([1]OUT_FinalEnergyCons!$C$4:$C$10000="RLFO")*1,(ISNUMBER(SEARCH("RH*-SHLFOBR",[1]OUT_FinalEnergyCons!$A$4:$A$10000)))*1,[1]OUT_FinalEnergyCons!L$4:L$10000)</f>
        <v>25.990770741630115</v>
      </c>
      <c r="O985" s="1" cm="1">
        <f t="array" ref="O985">SUMPRODUCT(([1]OUT_FinalEnergyCons!$B$4:$B$10000="Var_Fin")*1, ([1]OUT_FinalEnergyCons!$C$4:$C$10000="RLFO")*1,(ISNUMBER(SEARCH("RH*-SHLFOBR",[1]OUT_FinalEnergyCons!$A$4:$A$10000)))*1,[1]OUT_FinalEnergyCons!M$4:M$10000)</f>
        <v>22.330855830281578</v>
      </c>
      <c r="P985" s="1" cm="1">
        <f t="array" ref="P985">SUMPRODUCT(([1]OUT_FinalEnergyCons!$B$4:$B$10000="Var_Fin")*1, ([1]OUT_FinalEnergyCons!$C$4:$C$10000="RLFO")*1,(ISNUMBER(SEARCH("RH*-SHLFOBR",[1]OUT_FinalEnergyCons!$A$4:$A$10000)))*1,[1]OUT_FinalEnergyCons!N$4:N$10000)</f>
        <v>16.720479763735188</v>
      </c>
      <c r="Q985" s="1" cm="1">
        <f t="array" ref="Q985">SUMPRODUCT(([1]OUT_FinalEnergyCons!$B$4:$B$10000="Var_Fin")*1, ([1]OUT_FinalEnergyCons!$C$4:$C$10000="RLFO")*1,(ISNUMBER(SEARCH("RH*-SHLFOBR",[1]OUT_FinalEnergyCons!$A$4:$A$10000)))*1,[1]OUT_FinalEnergyCons!O$4:O$10000)</f>
        <v>6.420810442625088</v>
      </c>
      <c r="S985" s="3"/>
    </row>
    <row r="986" spans="2:19" x14ac:dyDescent="0.5">
      <c r="B986" s="5" t="str">
        <f t="shared" si="1176"/>
        <v>SPS1</v>
      </c>
      <c r="C986" s="5" t="str">
        <f t="shared" si="1177"/>
        <v>CH</v>
      </c>
      <c r="D986" t="s">
        <v>1007</v>
      </c>
      <c r="E986" t="s">
        <v>8</v>
      </c>
      <c r="F986" s="1">
        <f>F987</f>
        <v>50.371429628892329</v>
      </c>
      <c r="G986" s="1">
        <f t="shared" ref="G986:O986" si="1180">G987</f>
        <v>43.011096325637126</v>
      </c>
      <c r="H986" s="1">
        <f t="shared" si="1180"/>
        <v>42.949775726965768</v>
      </c>
      <c r="I986" s="1">
        <f t="shared" si="1180"/>
        <v>43.180134507787692</v>
      </c>
      <c r="J986" s="1">
        <f t="shared" si="1180"/>
        <v>35.975473536157367</v>
      </c>
      <c r="K986" s="1">
        <f t="shared" si="1180"/>
        <v>33.654116437464886</v>
      </c>
      <c r="L986" s="1">
        <f t="shared" si="1180"/>
        <v>32.468459388771095</v>
      </c>
      <c r="M986" s="1">
        <f t="shared" si="1180"/>
        <v>27.866962200553314</v>
      </c>
      <c r="N986" s="1">
        <f t="shared" si="1180"/>
        <v>25.990551683399065</v>
      </c>
      <c r="O986" s="1">
        <f t="shared" si="1180"/>
        <v>22.3304010604583</v>
      </c>
      <c r="P986" s="1">
        <f>P987</f>
        <v>16.720135030293243</v>
      </c>
      <c r="Q986" s="1">
        <f>Q987</f>
        <v>6.4200225622703755</v>
      </c>
      <c r="S986" s="3"/>
    </row>
    <row r="987" spans="2:19" x14ac:dyDescent="0.5">
      <c r="B987" s="5" t="str">
        <f t="shared" si="1176"/>
        <v>SPS1</v>
      </c>
      <c r="C987" s="5" t="str">
        <f t="shared" si="1177"/>
        <v>CH</v>
      </c>
      <c r="D987" t="s">
        <v>709</v>
      </c>
      <c r="E987" t="s">
        <v>8</v>
      </c>
      <c r="F987" s="1">
        <f>F985*IFERROR(F982/F981,0)</f>
        <v>50.371429628892329</v>
      </c>
      <c r="G987" s="1">
        <f t="shared" ref="G987:K987" si="1181">G985*IFERROR(G982/G981,0)</f>
        <v>43.011096325637126</v>
      </c>
      <c r="H987" s="1">
        <f t="shared" si="1181"/>
        <v>42.949775726965768</v>
      </c>
      <c r="I987" s="1">
        <f t="shared" si="1181"/>
        <v>43.180134507787692</v>
      </c>
      <c r="J987" s="1">
        <f t="shared" si="1181"/>
        <v>35.975473536157367</v>
      </c>
      <c r="K987" s="1">
        <f t="shared" si="1181"/>
        <v>33.654116437464886</v>
      </c>
      <c r="L987" s="1">
        <f t="shared" ref="L987:O987" si="1182">L985*IFERROR(L982/L981,0)</f>
        <v>32.468459388771095</v>
      </c>
      <c r="M987" s="1">
        <f t="shared" si="1182"/>
        <v>27.866962200553314</v>
      </c>
      <c r="N987" s="1">
        <f t="shared" si="1182"/>
        <v>25.990551683399065</v>
      </c>
      <c r="O987" s="1">
        <f t="shared" si="1182"/>
        <v>22.3304010604583</v>
      </c>
      <c r="P987" s="1">
        <f>P985*IFERROR(P982/P981,0)</f>
        <v>16.720135030293243</v>
      </c>
      <c r="Q987" s="1">
        <f>Q985*IFERROR(Q982/Q981,0)</f>
        <v>6.4200225622703755</v>
      </c>
      <c r="S987" s="3"/>
    </row>
    <row r="988" spans="2:19" x14ac:dyDescent="0.5">
      <c r="B988" s="5" t="str">
        <f t="shared" si="1176"/>
        <v>SPS1</v>
      </c>
      <c r="C988" s="5" t="str">
        <f t="shared" si="1177"/>
        <v>CH</v>
      </c>
      <c r="D988" t="s">
        <v>1008</v>
      </c>
      <c r="E988" t="s">
        <v>8</v>
      </c>
      <c r="F988" s="1">
        <f>F989</f>
        <v>0</v>
      </c>
      <c r="G988" s="1">
        <f t="shared" ref="G988:O988" si="1183">G989</f>
        <v>0</v>
      </c>
      <c r="H988" s="1">
        <f t="shared" si="1183"/>
        <v>8.5163923159825572E-5</v>
      </c>
      <c r="I988" s="1">
        <f t="shared" si="1183"/>
        <v>1.9648292369112141E-4</v>
      </c>
      <c r="J988" s="1">
        <f t="shared" si="1183"/>
        <v>4.3161846032546691E-4</v>
      </c>
      <c r="K988" s="1">
        <f t="shared" si="1183"/>
        <v>2.1705453829667931E-4</v>
      </c>
      <c r="L988" s="1">
        <f t="shared" si="1183"/>
        <v>2.1018440192221988E-4</v>
      </c>
      <c r="M988" s="1">
        <f t="shared" si="1183"/>
        <v>4.5471102889749204E-4</v>
      </c>
      <c r="N988" s="1">
        <f t="shared" si="1183"/>
        <v>2.190582310497291E-4</v>
      </c>
      <c r="O988" s="1">
        <f t="shared" si="1183"/>
        <v>4.5476982327841142E-4</v>
      </c>
      <c r="P988" s="1">
        <f>P989</f>
        <v>3.4473344194552169E-4</v>
      </c>
      <c r="Q988" s="1">
        <f>Q989</f>
        <v>7.8788035471255569E-4</v>
      </c>
      <c r="S988" s="3"/>
    </row>
    <row r="989" spans="2:19" x14ac:dyDescent="0.5">
      <c r="B989" s="5" t="str">
        <f t="shared" si="1176"/>
        <v>SPS1</v>
      </c>
      <c r="C989" s="5" t="str">
        <f t="shared" si="1177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84">G985-G987</f>
        <v>0</v>
      </c>
      <c r="H989" s="1">
        <f t="shared" si="1184"/>
        <v>8.5163923159825572E-5</v>
      </c>
      <c r="I989" s="1">
        <f t="shared" si="1184"/>
        <v>1.9648292369112141E-4</v>
      </c>
      <c r="J989" s="1">
        <f t="shared" si="1184"/>
        <v>4.3161846032546691E-4</v>
      </c>
      <c r="K989" s="1">
        <f t="shared" si="1184"/>
        <v>2.1705453829667931E-4</v>
      </c>
      <c r="L989" s="1">
        <f t="shared" ref="L989:O989" si="1185">L985-L987</f>
        <v>2.1018440192221988E-4</v>
      </c>
      <c r="M989" s="1">
        <f t="shared" si="1185"/>
        <v>4.5471102889749204E-4</v>
      </c>
      <c r="N989" s="1">
        <f t="shared" si="1185"/>
        <v>2.190582310497291E-4</v>
      </c>
      <c r="O989" s="1">
        <f t="shared" si="1185"/>
        <v>4.5476982327841142E-4</v>
      </c>
      <c r="P989" s="1">
        <f>P985-P987</f>
        <v>3.4473344194552169E-4</v>
      </c>
      <c r="Q989" s="1">
        <f>Q985-Q987</f>
        <v>7.8788035471255569E-4</v>
      </c>
      <c r="S989" s="3"/>
    </row>
    <row r="990" spans="2:19" x14ac:dyDescent="0.5">
      <c r="B990" s="5" t="str">
        <f t="shared" si="1176"/>
        <v>SPS1</v>
      </c>
      <c r="C990" s="5" t="str">
        <f t="shared" si="1177"/>
        <v>CH</v>
      </c>
      <c r="D990" t="s">
        <v>1009</v>
      </c>
      <c r="E990" t="s">
        <v>8</v>
      </c>
      <c r="F990" s="1">
        <f>F991</f>
        <v>9.8604155492878505</v>
      </c>
      <c r="G990" s="1">
        <f t="shared" ref="G990:O990" si="1186">G991</f>
        <v>8.3089031702148048</v>
      </c>
      <c r="H990" s="1">
        <f t="shared" si="1186"/>
        <v>1.7042885101189913</v>
      </c>
      <c r="I990" s="1">
        <f t="shared" si="1186"/>
        <v>2.6892775254811454</v>
      </c>
      <c r="J990" s="1">
        <f t="shared" si="1186"/>
        <v>0.77722591583884837</v>
      </c>
      <c r="K990" s="1">
        <f t="shared" si="1186"/>
        <v>7.0989719130839513E-3</v>
      </c>
      <c r="L990" s="1">
        <f t="shared" si="1186"/>
        <v>7.0931628611722829E-3</v>
      </c>
      <c r="M990" s="1">
        <f t="shared" si="1186"/>
        <v>6.6760617327878951E-3</v>
      </c>
      <c r="N990" s="1">
        <f t="shared" si="1186"/>
        <v>9.2484236910019002E-3</v>
      </c>
      <c r="O990" s="1">
        <f t="shared" si="1186"/>
        <v>1.3967147256213019E-2</v>
      </c>
      <c r="P990" s="1">
        <f>P991</f>
        <v>1.1688001241462935E-2</v>
      </c>
      <c r="Q990" s="1">
        <f>Q991</f>
        <v>3.3109127188075779E-2</v>
      </c>
      <c r="S990" s="3"/>
    </row>
    <row r="991" spans="2:19" x14ac:dyDescent="0.5">
      <c r="B991" s="5" t="str">
        <f t="shared" si="1176"/>
        <v>SPS1</v>
      </c>
      <c r="C991" s="5" t="str">
        <f t="shared" si="1177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9.8604155492878505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8.3089031702148048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1.7042885101189913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2.6892775254811454</v>
      </c>
      <c r="J991" s="1" cm="1">
        <f t="array" ref="J991">SUMPRODUCT(([1]OUT_FinalEnergyCons!$B$4:$B$10000="Var_Fin")*1, ([1]OUT_FinalEnergyCons!$C$4:$C$10000="RLFO")*1,(ISNUMBER(SEARCH("RH*-wHLFOBR",[1]OUT_FinalEnergyCons!$A$4:$A$10000)))*1,[1]OUT_FinalEnergyCons!H$4:H$10000)</f>
        <v>0.77722591583884837</v>
      </c>
      <c r="K991" s="1" cm="1">
        <f t="array" ref="K991">SUMPRODUCT(([1]OUT_FinalEnergyCons!$B$4:$B$10000="Var_Fin")*1, ([1]OUT_FinalEnergyCons!$C$4:$C$10000="RLFO")*1,(ISNUMBER(SEARCH("RH*-wHLFOBR",[1]OUT_FinalEnergyCons!$A$4:$A$10000)))*1,[1]OUT_FinalEnergyCons!I$4:I$10000)</f>
        <v>7.0989719130839513E-3</v>
      </c>
      <c r="L991" s="1" cm="1">
        <f t="array" ref="L991">SUMPRODUCT(([1]OUT_FinalEnergyCons!$B$4:$B$10000="Var_Fin")*1, ([1]OUT_FinalEnergyCons!$C$4:$C$10000="RLFO")*1,(ISNUMBER(SEARCH("RH*-wHLFOBR",[1]OUT_FinalEnergyCons!$A$4:$A$10000)))*1,[1]OUT_FinalEnergyCons!J$4:J$10000)</f>
        <v>7.0931628611722829E-3</v>
      </c>
      <c r="M991" s="1" cm="1">
        <f t="array" ref="M991">SUMPRODUCT(([1]OUT_FinalEnergyCons!$B$4:$B$10000="Var_Fin")*1, ([1]OUT_FinalEnergyCons!$C$4:$C$10000="RLFO")*1,(ISNUMBER(SEARCH("RH*-wHLFOBR",[1]OUT_FinalEnergyCons!$A$4:$A$10000)))*1,[1]OUT_FinalEnergyCons!K$4:K$10000)</f>
        <v>6.6760617327878951E-3</v>
      </c>
      <c r="N991" s="1" cm="1">
        <f t="array" ref="N991">SUMPRODUCT(([1]OUT_FinalEnergyCons!$B$4:$B$10000="Var_Fin")*1, ([1]OUT_FinalEnergyCons!$C$4:$C$10000="RLFO")*1,(ISNUMBER(SEARCH("RH*-wHLFOBR",[1]OUT_FinalEnergyCons!$A$4:$A$10000)))*1,[1]OUT_FinalEnergyCons!L$4:L$10000)</f>
        <v>9.2484236910019002E-3</v>
      </c>
      <c r="O991" s="1" cm="1">
        <f t="array" ref="O991">SUMPRODUCT(([1]OUT_FinalEnergyCons!$B$4:$B$10000="Var_Fin")*1, ([1]OUT_FinalEnergyCons!$C$4:$C$10000="RLFO")*1,(ISNUMBER(SEARCH("RH*-wHLFOBR",[1]OUT_FinalEnergyCons!$A$4:$A$10000)))*1,[1]OUT_FinalEnergyCons!M$4:M$10000)</f>
        <v>1.3967147256213019E-2</v>
      </c>
      <c r="P991" s="1" cm="1">
        <f t="array" ref="P991">SUMPRODUCT(([1]OUT_FinalEnergyCons!$B$4:$B$10000="Var_Fin")*1, ([1]OUT_FinalEnergyCons!$C$4:$C$10000="RLFO")*1,(ISNUMBER(SEARCH("RH*-wHLFOBR",[1]OUT_FinalEnergyCons!$A$4:$A$10000)))*1,[1]OUT_FinalEnergyCons!N$4:N$10000)</f>
        <v>1.1688001241462935E-2</v>
      </c>
      <c r="Q991" s="1" cm="1">
        <f t="array" ref="Q991">SUMPRODUCT(([1]OUT_FinalEnergyCons!$B$4:$B$10000="Var_Fin")*1, ([1]OUT_FinalEnergyCons!$C$4:$C$10000="RLFO")*1,(ISNUMBER(SEARCH("RH*-wHLFOBR",[1]OUT_FinalEnergyCons!$A$4:$A$10000)))*1,[1]OUT_FinalEnergyCons!O$4:O$10000)</f>
        <v>3.3109127188075779E-2</v>
      </c>
      <c r="S991" s="3"/>
    </row>
    <row r="992" spans="2:19" x14ac:dyDescent="0.5">
      <c r="B992" s="5" t="str">
        <f t="shared" si="1176"/>
        <v>SPS1</v>
      </c>
      <c r="C992" s="5" t="str">
        <f t="shared" si="1177"/>
        <v>CH</v>
      </c>
      <c r="D992" t="s">
        <v>712</v>
      </c>
      <c r="E992" t="s">
        <v>8</v>
      </c>
      <c r="F992" s="1">
        <f>IFERROR(F982/F981,0)*F991</f>
        <v>9.8604155492878505</v>
      </c>
      <c r="G992" s="1">
        <f t="shared" ref="G992:K992" si="1187">IFERROR(G982/G981,0)*G991</f>
        <v>8.3089031702148048</v>
      </c>
      <c r="H992" s="1">
        <f t="shared" si="1187"/>
        <v>1.7042851307391118</v>
      </c>
      <c r="I992" s="1">
        <f t="shared" si="1187"/>
        <v>2.6892652884950294</v>
      </c>
      <c r="J992" s="1">
        <f t="shared" si="1187"/>
        <v>0.77721659112410724</v>
      </c>
      <c r="K992" s="1">
        <f t="shared" si="1187"/>
        <v>7.0989261280717088E-3</v>
      </c>
      <c r="L992" s="1">
        <f t="shared" ref="L992:O992" si="1188">IFERROR(L982/L981,0)*L991</f>
        <v>7.09311694391687E-3</v>
      </c>
      <c r="M992" s="1">
        <f t="shared" si="1188"/>
        <v>6.6759527998749837E-3</v>
      </c>
      <c r="N992" s="1">
        <f t="shared" si="1188"/>
        <v>9.2483457424349311E-3</v>
      </c>
      <c r="O992" s="1">
        <f t="shared" si="1188"/>
        <v>1.396686281404306E-2</v>
      </c>
      <c r="P992" s="1">
        <f>IFERROR(P982/P981,0)*P991</f>
        <v>1.1687760264831022E-2</v>
      </c>
      <c r="Q992" s="1">
        <f>IFERROR(Q982/Q981,0)*Q991</f>
        <v>3.3105064456259249E-2</v>
      </c>
      <c r="S992" s="3"/>
    </row>
    <row r="993" spans="2:19" x14ac:dyDescent="0.5">
      <c r="B993" s="5" t="str">
        <f t="shared" si="1176"/>
        <v>SPS1</v>
      </c>
      <c r="C993" s="5" t="str">
        <f t="shared" si="1177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89">G991-G992</f>
        <v>0</v>
      </c>
      <c r="H993" s="1">
        <f t="shared" si="1189"/>
        <v>3.3793798794867769E-6</v>
      </c>
      <c r="I993" s="1">
        <f t="shared" si="1189"/>
        <v>1.2236986115965465E-5</v>
      </c>
      <c r="J993" s="1">
        <f t="shared" si="1189"/>
        <v>9.3247147411323894E-6</v>
      </c>
      <c r="K993" s="1">
        <f t="shared" si="1189"/>
        <v>4.5785012242442746E-8</v>
      </c>
      <c r="L993" s="1">
        <f t="shared" ref="L993:O993" si="1190">L991-L992</f>
        <v>4.5917255412850078E-8</v>
      </c>
      <c r="M993" s="1">
        <f t="shared" si="1190"/>
        <v>1.0893291291138446E-7</v>
      </c>
      <c r="N993" s="1">
        <f t="shared" si="1190"/>
        <v>7.794856696913266E-8</v>
      </c>
      <c r="O993" s="1">
        <f t="shared" si="1190"/>
        <v>2.8444216995833493E-7</v>
      </c>
      <c r="P993" s="1">
        <f>P991-P992</f>
        <v>2.4097663191280372E-7</v>
      </c>
      <c r="Q993" s="1">
        <f>Q991-Q992</f>
        <v>4.0627318165301074E-6</v>
      </c>
      <c r="S993" s="3"/>
    </row>
    <row r="994" spans="2:19" x14ac:dyDescent="0.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47.001972067970314</v>
      </c>
      <c r="G994" s="1">
        <f t="shared" ref="G994:K994" si="1191">SUM(G995:G996)</f>
        <v>48.190803036324859</v>
      </c>
      <c r="H994" s="1">
        <f t="shared" si="1191"/>
        <v>51.102219785861635</v>
      </c>
      <c r="I994" s="1">
        <f t="shared" si="1191"/>
        <v>52.658117147159246</v>
      </c>
      <c r="J994" s="1">
        <f t="shared" si="1191"/>
        <v>54.881198166595588</v>
      </c>
      <c r="K994" s="1">
        <f t="shared" si="1191"/>
        <v>53.868951656019171</v>
      </c>
      <c r="L994" s="1">
        <f t="shared" ref="L994:O994" si="1192">SUM(L995:L996)</f>
        <v>52.915206161841162</v>
      </c>
      <c r="M994" s="1">
        <f t="shared" si="1192"/>
        <v>53.004859435683628</v>
      </c>
      <c r="N994" s="1">
        <f t="shared" si="1192"/>
        <v>50.64227758537146</v>
      </c>
      <c r="O994" s="1">
        <f t="shared" si="1192"/>
        <v>47.747512371499518</v>
      </c>
      <c r="P994" s="1">
        <f>SUM(P995:P996)</f>
        <v>48.989060105993325</v>
      </c>
      <c r="Q994" s="1">
        <f>SUM(Q995:Q996)</f>
        <v>41.402225920719516</v>
      </c>
      <c r="S994" s="3"/>
    </row>
    <row r="995" spans="2:19" x14ac:dyDescent="0.5">
      <c r="B995" s="5" t="str">
        <f t="shared" ref="B995:B1055" si="1193">B994</f>
        <v>SPS1</v>
      </c>
      <c r="C995" s="5" t="str">
        <f t="shared" ref="C995:C1055" si="1194">C994</f>
        <v>CH</v>
      </c>
      <c r="D995" t="s">
        <v>1010</v>
      </c>
      <c r="E995" t="s">
        <v>8</v>
      </c>
      <c r="F995" s="1">
        <f>[1]Residential!B$18</f>
        <v>46.691843038374067</v>
      </c>
      <c r="G995" s="1">
        <f>[1]Residential!C$18</f>
        <v>48.189532197934092</v>
      </c>
      <c r="H995" s="1">
        <f>[1]Residential!D$18</f>
        <v>51.100956990412698</v>
      </c>
      <c r="I995" s="1">
        <f>[1]Residential!E$18</f>
        <v>52.656891865957618</v>
      </c>
      <c r="J995" s="1">
        <f>[1]Residential!F$18</f>
        <v>54.87997169152834</v>
      </c>
      <c r="K995" s="1">
        <f>[1]Residential!G$18</f>
        <v>53.86772659466947</v>
      </c>
      <c r="L995" s="1">
        <f>[1]Residential!H$18</f>
        <v>52.913975567337921</v>
      </c>
      <c r="M995" s="1">
        <f>[1]Residential!I$18</f>
        <v>53.003623324517257</v>
      </c>
      <c r="N995" s="1">
        <f>[1]Residential!J$18</f>
        <v>50.641048778243949</v>
      </c>
      <c r="O995" s="1">
        <f>[1]Residential!K$18</f>
        <v>47.746274049229321</v>
      </c>
      <c r="P995" s="1">
        <f>[1]Residential!L$18</f>
        <v>48.987819029292673</v>
      </c>
      <c r="Q995" s="1">
        <f>[1]Residential!M$18</f>
        <v>41.400879440204221</v>
      </c>
      <c r="S995" s="3"/>
    </row>
    <row r="996" spans="2:19" x14ac:dyDescent="0.5">
      <c r="B996" s="5" t="str">
        <f t="shared" si="1193"/>
        <v>SPS1</v>
      </c>
      <c r="C996" s="5" t="str">
        <f t="shared" si="1194"/>
        <v>CH</v>
      </c>
      <c r="D996" t="s">
        <v>1011</v>
      </c>
      <c r="E996" t="s">
        <v>8</v>
      </c>
      <c r="F996" s="1">
        <f>[1]Residential!B$19</f>
        <v>0.31012902959624739</v>
      </c>
      <c r="G996" s="1">
        <f>[1]Residential!C$19</f>
        <v>1.2708383907632564E-3</v>
      </c>
      <c r="H996" s="1">
        <f>[1]Residential!D$19</f>
        <v>1.2627954489386791E-3</v>
      </c>
      <c r="I996" s="1">
        <f>[1]Residential!E$19</f>
        <v>1.2252812016298109E-3</v>
      </c>
      <c r="J996" s="1">
        <f>[1]Residential!F$19</f>
        <v>1.226475067249578E-3</v>
      </c>
      <c r="K996" s="1">
        <f>[1]Residential!G$19</f>
        <v>1.2250613496979864E-3</v>
      </c>
      <c r="L996" s="1">
        <f>[1]Residential!H$19</f>
        <v>1.2305945032375456E-3</v>
      </c>
      <c r="M996" s="1">
        <f>[1]Residential!I$19</f>
        <v>1.236111166372119E-3</v>
      </c>
      <c r="N996" s="1">
        <f>[1]Residential!J$19</f>
        <v>1.2288071275139258E-3</v>
      </c>
      <c r="O996" s="1">
        <f>[1]Residential!K$19</f>
        <v>1.238322270197415E-3</v>
      </c>
      <c r="P996" s="1">
        <f>[1]Residential!L$19</f>
        <v>1.2410767006539938E-3</v>
      </c>
      <c r="Q996" s="1">
        <f>[1]Residential!M$19</f>
        <v>1.3464805152972857E-3</v>
      </c>
      <c r="S996" s="3"/>
    </row>
    <row r="997" spans="2:19" x14ac:dyDescent="0.5">
      <c r="B997" s="5" t="str">
        <f t="shared" si="1193"/>
        <v>SPS1</v>
      </c>
      <c r="C997" s="5" t="str">
        <f t="shared" si="1194"/>
        <v>CH</v>
      </c>
      <c r="D997" t="s">
        <v>1012</v>
      </c>
      <c r="E997" t="s">
        <v>8</v>
      </c>
      <c r="F997" s="1">
        <f>SUM(F998:F999)</f>
        <v>38.494685591662702</v>
      </c>
      <c r="G997" s="1">
        <f t="shared" ref="G997:K997" si="1195">SUM(G998:G999)</f>
        <v>41.365504973106965</v>
      </c>
      <c r="H997" s="1">
        <f t="shared" si="1195"/>
        <v>39.240114415442271</v>
      </c>
      <c r="I997" s="1">
        <f t="shared" si="1195"/>
        <v>40.793875865087863</v>
      </c>
      <c r="J997" s="1">
        <f t="shared" si="1195"/>
        <v>42.09037683104107</v>
      </c>
      <c r="K997" s="1">
        <f t="shared" si="1195"/>
        <v>41.006425027910986</v>
      </c>
      <c r="L997" s="1">
        <f t="shared" ref="L997:O997" si="1196">SUM(L998:L999)</f>
        <v>40.246951608351118</v>
      </c>
      <c r="M997" s="1">
        <f t="shared" si="1196"/>
        <v>40.183787476056921</v>
      </c>
      <c r="N997" s="1">
        <f t="shared" si="1196"/>
        <v>38.354244195360415</v>
      </c>
      <c r="O997" s="1">
        <f t="shared" si="1196"/>
        <v>36.184178398881798</v>
      </c>
      <c r="P997" s="1">
        <f>SUM(P998:P999)</f>
        <v>37.010793920449707</v>
      </c>
      <c r="Q997" s="1">
        <f>SUM(Q998:Q999)</f>
        <v>31.206737258964331</v>
      </c>
      <c r="S997" s="3"/>
    </row>
    <row r="998" spans="2:19" x14ac:dyDescent="0.5">
      <c r="B998" s="5" t="str">
        <f t="shared" si="1193"/>
        <v>SPS1</v>
      </c>
      <c r="C998" s="5" t="str">
        <f t="shared" si="1194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38.494685591662702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41.365504973106965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39.233247790704965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40.787119328413553</v>
      </c>
      <c r="J998" s="1" cm="1">
        <f t="array" ref="J998">SUMPRODUCT(([1]OUT_FinalEnergyCons!$B$4:$B$10000="Var_Fin")*1,([1]OUT_FinalEnergyCons!$C$4:$C$10000="RNGA")*1, (ISNUMBER(SEARCH("RH*-SHNGABR",[1]OUT_FinalEnergyCons!$A$4:$A$10000)))*1,[1]OUT_FinalEnergyCons!H$4:H$10000)</f>
        <v>40.924032495296224</v>
      </c>
      <c r="K998" s="1" cm="1">
        <f t="array" ref="K998">SUMPRODUCT(([1]OUT_FinalEnergyCons!$B$4:$B$10000="Var_Fin")*1,([1]OUT_FinalEnergyCons!$C$4:$C$10000="RNGA")*1, (ISNUMBER(SEARCH("RH*-SHNGABR",[1]OUT_FinalEnergyCons!$A$4:$A$10000)))*1,[1]OUT_FinalEnergyCons!I$4:I$10000)</f>
        <v>38.877725245200409</v>
      </c>
      <c r="L998" s="1" cm="1">
        <f t="array" ref="L998">SUMPRODUCT(([1]OUT_FinalEnergyCons!$B$4:$B$10000="Var_Fin")*1,([1]OUT_FinalEnergyCons!$C$4:$C$10000="RNGA")*1, (ISNUMBER(SEARCH("RH*-SHNGABR",[1]OUT_FinalEnergyCons!$A$4:$A$10000)))*1,[1]OUT_FinalEnergyCons!J$4:J$10000)</f>
        <v>37.716340394118973</v>
      </c>
      <c r="M998" s="1" cm="1">
        <f t="array" ref="M998">SUMPRODUCT(([1]OUT_FinalEnergyCons!$B$4:$B$10000="Var_Fin")*1,([1]OUT_FinalEnergyCons!$C$4:$C$10000="RNGA")*1, (ISNUMBER(SEARCH("RH*-SHNGABR",[1]OUT_FinalEnergyCons!$A$4:$A$10000)))*1,[1]OUT_FinalEnergyCons!K$4:K$10000)</f>
        <v>36.573460458219152</v>
      </c>
      <c r="N998" s="1" cm="1">
        <f t="array" ref="N998">SUMPRODUCT(([1]OUT_FinalEnergyCons!$B$4:$B$10000="Var_Fin")*1,([1]OUT_FinalEnergyCons!$C$4:$C$10000="RNGA")*1, (ISNUMBER(SEARCH("RH*-SHNGABR",[1]OUT_FinalEnergyCons!$A$4:$A$10000)))*1,[1]OUT_FinalEnergyCons!L$4:L$10000)</f>
        <v>34.494509520597092</v>
      </c>
      <c r="O998" s="1" cm="1">
        <f t="array" ref="O998">SUMPRODUCT(([1]OUT_FinalEnergyCons!$B$4:$B$10000="Var_Fin")*1,([1]OUT_FinalEnergyCons!$C$4:$C$10000="RNGA")*1, (ISNUMBER(SEARCH("RH*-SHNGABR",[1]OUT_FinalEnergyCons!$A$4:$A$10000)))*1,[1]OUT_FinalEnergyCons!M$4:M$10000)</f>
        <v>32.144826443445908</v>
      </c>
      <c r="P998" s="1" cm="1">
        <f t="array" ref="P998">SUMPRODUCT(([1]OUT_FinalEnergyCons!$B$4:$B$10000="Var_Fin")*1,([1]OUT_FinalEnergyCons!$C$4:$C$10000="RNGA")*1, (ISNUMBER(SEARCH("RH*-SHNGABR",[1]OUT_FinalEnergyCons!$A$4:$A$10000)))*1,[1]OUT_FinalEnergyCons!N$4:N$10000)</f>
        <v>31.484171807485691</v>
      </c>
      <c r="Q998" s="1" cm="1">
        <f t="array" ref="Q998">SUMPRODUCT(([1]OUT_FinalEnergyCons!$B$4:$B$10000="Var_Fin")*1,([1]OUT_FinalEnergyCons!$C$4:$C$10000="RNGA")*1, (ISNUMBER(SEARCH("RH*-SHNGABR",[1]OUT_FinalEnergyCons!$A$4:$A$10000)))*1,[1]OUT_FinalEnergyCons!O$4:O$10000)</f>
        <v>25.675924237178027</v>
      </c>
      <c r="S998" s="3"/>
    </row>
    <row r="999" spans="2:19" x14ac:dyDescent="0.5">
      <c r="B999" s="5" t="str">
        <f t="shared" si="1193"/>
        <v>SPS1</v>
      </c>
      <c r="C999" s="5" t="str">
        <f t="shared" si="1194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6.8666247373034249E-3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6.7565366743072685E-3</v>
      </c>
      <c r="J999" s="1" cm="1">
        <f t="array" ref="J999">SUMPRODUCT(([1]OUT_FinalEnergyCons!$B$4:$B$10000="Var_Fin")*1, ([1]OUT_FinalEnergyCons!$C$4:$C$10000="RNGA")*1,ISNUMBER(SEARCH("RH*-SHngahp",[1]OUT_FinalEnergyCons!$A$4:$A$10000))*1,[1]OUT_FinalEnergyCons!H$4:H$10000)</f>
        <v>1.1663443357448426</v>
      </c>
      <c r="K999" s="1" cm="1">
        <f t="array" ref="K999">SUMPRODUCT(([1]OUT_FinalEnergyCons!$B$4:$B$10000="Var_Fin")*1, ([1]OUT_FinalEnergyCons!$C$4:$C$10000="RNGA")*1,ISNUMBER(SEARCH("RH*-SHngahp",[1]OUT_FinalEnergyCons!$A$4:$A$10000))*1,[1]OUT_FinalEnergyCons!I$4:I$10000)</f>
        <v>2.1286997827105734</v>
      </c>
      <c r="L999" s="1" cm="1">
        <f t="array" ref="L999">SUMPRODUCT(([1]OUT_FinalEnergyCons!$B$4:$B$10000="Var_Fin")*1, ([1]OUT_FinalEnergyCons!$C$4:$C$10000="RNGA")*1,ISNUMBER(SEARCH("RH*-SHngahp",[1]OUT_FinalEnergyCons!$A$4:$A$10000))*1,[1]OUT_FinalEnergyCons!J$4:J$10000)</f>
        <v>2.5306112142321466</v>
      </c>
      <c r="M999" s="1" cm="1">
        <f t="array" ref="M999">SUMPRODUCT(([1]OUT_FinalEnergyCons!$B$4:$B$10000="Var_Fin")*1, ([1]OUT_FinalEnergyCons!$C$4:$C$10000="RNGA")*1,ISNUMBER(SEARCH("RH*-SHngahp",[1]OUT_FinalEnergyCons!$A$4:$A$10000))*1,[1]OUT_FinalEnergyCons!K$4:K$10000)</f>
        <v>3.6103270178377707</v>
      </c>
      <c r="N999" s="1" cm="1">
        <f t="array" ref="N999">SUMPRODUCT(([1]OUT_FinalEnergyCons!$B$4:$B$10000="Var_Fin")*1, ([1]OUT_FinalEnergyCons!$C$4:$C$10000="RNGA")*1,ISNUMBER(SEARCH("RH*-SHngahp",[1]OUT_FinalEnergyCons!$A$4:$A$10000))*1,[1]OUT_FinalEnergyCons!L$4:L$10000)</f>
        <v>3.8597346747633225</v>
      </c>
      <c r="O999" s="1" cm="1">
        <f t="array" ref="O999">SUMPRODUCT(([1]OUT_FinalEnergyCons!$B$4:$B$10000="Var_Fin")*1, ([1]OUT_FinalEnergyCons!$C$4:$C$10000="RNGA")*1,ISNUMBER(SEARCH("RH*-SHngahp",[1]OUT_FinalEnergyCons!$A$4:$A$10000))*1,[1]OUT_FinalEnergyCons!M$4:M$10000)</f>
        <v>4.0393519554358894</v>
      </c>
      <c r="P999" s="1" cm="1">
        <f t="array" ref="P999">SUMPRODUCT(([1]OUT_FinalEnergyCons!$B$4:$B$10000="Var_Fin")*1, ([1]OUT_FinalEnergyCons!$C$4:$C$10000="RNGA")*1,ISNUMBER(SEARCH("RH*-SHngahp",[1]OUT_FinalEnergyCons!$A$4:$A$10000))*1,[1]OUT_FinalEnergyCons!N$4:N$10000)</f>
        <v>5.5266221129640174</v>
      </c>
      <c r="Q999" s="1" cm="1">
        <f t="array" ref="Q999">SUMPRODUCT(([1]OUT_FinalEnergyCons!$B$4:$B$10000="Var_Fin")*1, ([1]OUT_FinalEnergyCons!$C$4:$C$10000="RNGA")*1,ISNUMBER(SEARCH("RH*-SHngahp",[1]OUT_FinalEnergyCons!$A$4:$A$10000))*1,[1]OUT_FinalEnergyCons!O$4:O$10000)</f>
        <v>5.5308130217863063</v>
      </c>
      <c r="S999" s="3"/>
    </row>
    <row r="1000" spans="2:19" x14ac:dyDescent="0.5">
      <c r="B1000" s="5" t="str">
        <f t="shared" si="1193"/>
        <v>SPS1</v>
      </c>
      <c r="C1000" s="5" t="str">
        <f t="shared" si="1194"/>
        <v>CH</v>
      </c>
      <c r="D1000" t="s">
        <v>1013</v>
      </c>
      <c r="E1000" t="s">
        <v>8</v>
      </c>
      <c r="F1000" s="1">
        <f>SUM(F1001:F1002)</f>
        <v>38.240689451460526</v>
      </c>
      <c r="G1000" s="1">
        <f t="shared" ref="G1000:K1000" si="1197">SUM(G1001:G1002)</f>
        <v>41.364414124470692</v>
      </c>
      <c r="H1000" s="1">
        <f t="shared" si="1197"/>
        <v>39.239144746451224</v>
      </c>
      <c r="I1000" s="1">
        <f t="shared" si="1197"/>
        <v>40.79292664829191</v>
      </c>
      <c r="J1000" s="1">
        <f t="shared" si="1197"/>
        <v>42.08943620293018</v>
      </c>
      <c r="K1000" s="1">
        <f t="shared" si="1197"/>
        <v>41.005492479850432</v>
      </c>
      <c r="L1000" s="1">
        <f t="shared" ref="L1000:O1000" si="1198">SUM(L1001:L1002)</f>
        <v>40.246015626409182</v>
      </c>
      <c r="M1000" s="1">
        <f t="shared" si="1198"/>
        <v>40.182850361442618</v>
      </c>
      <c r="N1000" s="1">
        <f t="shared" si="1198"/>
        <v>38.353313550632635</v>
      </c>
      <c r="O1000" s="1">
        <f t="shared" si="1198"/>
        <v>36.18323996938642</v>
      </c>
      <c r="P1000" s="1">
        <f>SUM(P1001:P1002)</f>
        <v>37.009856298174284</v>
      </c>
      <c r="Q1000" s="1">
        <f>SUM(Q1001:Q1002)</f>
        <v>31.205722355472293</v>
      </c>
      <c r="S1000" s="3"/>
    </row>
    <row r="1001" spans="2:19" x14ac:dyDescent="0.5">
      <c r="B1001" s="5" t="str">
        <f t="shared" si="1193"/>
        <v>SPS1</v>
      </c>
      <c r="C1001" s="5" t="str">
        <f t="shared" si="1194"/>
        <v>CH</v>
      </c>
      <c r="D1001" t="s">
        <v>716</v>
      </c>
      <c r="E1001" t="s">
        <v>8</v>
      </c>
      <c r="F1001" s="1">
        <f>F998-F1004</f>
        <v>38.240689451460526</v>
      </c>
      <c r="G1001" s="1">
        <f t="shared" ref="G1001:K1001" si="1199">G998-G1004</f>
        <v>41.364414124470692</v>
      </c>
      <c r="H1001" s="1">
        <f t="shared" si="1199"/>
        <v>39.232278291396227</v>
      </c>
      <c r="I1001" s="1">
        <f t="shared" si="1199"/>
        <v>40.786170268832819</v>
      </c>
      <c r="J1001" s="1">
        <f t="shared" si="1199"/>
        <v>40.923117932437108</v>
      </c>
      <c r="K1001" s="1">
        <f t="shared" si="1199"/>
        <v>38.876841106989104</v>
      </c>
      <c r="L1001" s="1">
        <f t="shared" ref="L1001:O1001" si="1200">L998-L1004</f>
        <v>37.715463263998203</v>
      </c>
      <c r="M1001" s="1">
        <f t="shared" si="1200"/>
        <v>36.572607539008601</v>
      </c>
      <c r="N1001" s="1">
        <f t="shared" si="1200"/>
        <v>34.493672530217118</v>
      </c>
      <c r="O1001" s="1">
        <f t="shared" si="1200"/>
        <v>32.14399277374293</v>
      </c>
      <c r="P1001" s="1">
        <f>P998-P1004</f>
        <v>31.483374195284412</v>
      </c>
      <c r="Q1001" s="1">
        <f>Q998-Q1004</f>
        <v>25.67508920642959</v>
      </c>
      <c r="S1001" s="3"/>
    </row>
    <row r="1002" spans="2:19" x14ac:dyDescent="0.5">
      <c r="B1002" s="5" t="str">
        <f t="shared" si="1193"/>
        <v>SPS1</v>
      </c>
      <c r="C1002" s="5" t="str">
        <f t="shared" si="1194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201">G999-G1005</f>
        <v>0</v>
      </c>
      <c r="H1002" s="1">
        <f t="shared" si="1201"/>
        <v>6.8664550549979563E-3</v>
      </c>
      <c r="I1002" s="1">
        <f t="shared" si="1201"/>
        <v>6.7563794590891095E-3</v>
      </c>
      <c r="J1002" s="1">
        <f t="shared" si="1201"/>
        <v>1.1663182704930732</v>
      </c>
      <c r="K1002" s="1">
        <f t="shared" si="1201"/>
        <v>2.1286513728613237</v>
      </c>
      <c r="L1002" s="1">
        <f t="shared" ref="L1002:O1002" si="1202">L999-L1005</f>
        <v>2.5305523624109796</v>
      </c>
      <c r="M1002" s="1">
        <f t="shared" si="1202"/>
        <v>3.6102428224340186</v>
      </c>
      <c r="N1002" s="1">
        <f t="shared" si="1202"/>
        <v>3.8596410204155167</v>
      </c>
      <c r="O1002" s="1">
        <f t="shared" si="1202"/>
        <v>4.0392471956434912</v>
      </c>
      <c r="P1002" s="1">
        <f>P999-P1005</f>
        <v>5.5264821028898723</v>
      </c>
      <c r="Q1002" s="1">
        <f>Q999-Q1005</f>
        <v>5.5306331490427043</v>
      </c>
      <c r="S1002" s="3"/>
    </row>
    <row r="1003" spans="2:19" x14ac:dyDescent="0.5">
      <c r="B1003" s="5" t="str">
        <f t="shared" si="1193"/>
        <v>SPS1</v>
      </c>
      <c r="C1003" s="5" t="str">
        <f t="shared" si="1194"/>
        <v>CH</v>
      </c>
      <c r="D1003" t="s">
        <v>1014</v>
      </c>
      <c r="E1003" t="s">
        <v>8</v>
      </c>
      <c r="F1003" s="1">
        <f>SUM(F1004:F1005)</f>
        <v>0.25399614020217709</v>
      </c>
      <c r="G1003" s="1">
        <f t="shared" ref="G1003:K1003" si="1203">SUM(G1004:G1005)</f>
        <v>1.090848636274183E-3</v>
      </c>
      <c r="H1003" s="1">
        <f t="shared" si="1203"/>
        <v>9.6966899103985871E-4</v>
      </c>
      <c r="I1003" s="1">
        <f t="shared" si="1203"/>
        <v>9.4921679594859362E-4</v>
      </c>
      <c r="J1003" s="1">
        <f t="shared" si="1203"/>
        <v>9.4062811088246791E-4</v>
      </c>
      <c r="K1003" s="1">
        <f t="shared" si="1203"/>
        <v>9.3254806055556041E-4</v>
      </c>
      <c r="L1003" s="1">
        <f t="shared" ref="L1003:O1003" si="1204">SUM(L1004:L1005)</f>
        <v>9.3598194193600945E-4</v>
      </c>
      <c r="M1003" s="1">
        <f t="shared" si="1204"/>
        <v>9.3711461430342786E-4</v>
      </c>
      <c r="N1003" s="1">
        <f t="shared" si="1204"/>
        <v>9.3064472778140752E-4</v>
      </c>
      <c r="O1003" s="1">
        <f t="shared" si="1204"/>
        <v>9.3842949537361166E-4</v>
      </c>
      <c r="P1003" s="1">
        <f>SUM(P1004:P1005)</f>
        <v>9.3762227542220483E-4</v>
      </c>
      <c r="Q1003" s="1">
        <f>SUM(Q1004:Q1005)</f>
        <v>1.0149034920407262E-3</v>
      </c>
      <c r="S1003" s="3"/>
    </row>
    <row r="1004" spans="2:19" x14ac:dyDescent="0.5">
      <c r="B1004" s="5" t="str">
        <f t="shared" si="1193"/>
        <v>SPS1</v>
      </c>
      <c r="C1004" s="5" t="str">
        <f t="shared" si="1194"/>
        <v>CH</v>
      </c>
      <c r="D1004" t="s">
        <v>717</v>
      </c>
      <c r="E1004" t="s">
        <v>8</v>
      </c>
      <c r="F1004" s="1">
        <f>F998*IFERROR(F$996/F$994,0)</f>
        <v>0.25399614020217709</v>
      </c>
      <c r="G1004" s="1">
        <f t="shared" ref="G1004:K1004" si="1205">G998*IFERROR(G996/G994,0)</f>
        <v>1.090848636274183E-3</v>
      </c>
      <c r="H1004" s="1">
        <f t="shared" si="1205"/>
        <v>9.6949930873438991E-4</v>
      </c>
      <c r="I1004" s="1">
        <f t="shared" si="1205"/>
        <v>9.4905958073043426E-4</v>
      </c>
      <c r="J1004" s="1">
        <f t="shared" si="1205"/>
        <v>9.1456285911306482E-4</v>
      </c>
      <c r="K1004" s="1">
        <f t="shared" si="1205"/>
        <v>8.8413821130582399E-4</v>
      </c>
      <c r="L1004" s="1">
        <f t="shared" ref="L1004:O1004" si="1206">L998*IFERROR(L996/L994,0)</f>
        <v>8.7713012076874944E-4</v>
      </c>
      <c r="M1004" s="1">
        <f t="shared" si="1206"/>
        <v>8.5291921055144992E-4</v>
      </c>
      <c r="N1004" s="1">
        <f t="shared" si="1206"/>
        <v>8.3699037997553706E-4</v>
      </c>
      <c r="O1004" s="1">
        <f t="shared" si="1206"/>
        <v>8.3366970297514022E-4</v>
      </c>
      <c r="P1004" s="1">
        <f>P998*IFERROR(P996/P994,0)</f>
        <v>7.9761220127751511E-4</v>
      </c>
      <c r="Q1004" s="1">
        <f>Q998*IFERROR(Q996/Q994,0)</f>
        <v>8.3503074843877196E-4</v>
      </c>
      <c r="S1004" s="3"/>
    </row>
    <row r="1005" spans="2:19" x14ac:dyDescent="0.5">
      <c r="B1005" s="5" t="str">
        <f t="shared" si="1193"/>
        <v>SPS1</v>
      </c>
      <c r="C1005" s="5" t="str">
        <f t="shared" si="1194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207">G999*IFERROR(G$996/G$994,0)</f>
        <v>0</v>
      </c>
      <c r="H1005" s="1">
        <f t="shared" si="1207"/>
        <v>1.6968230546876454E-7</v>
      </c>
      <c r="I1005" s="1">
        <f t="shared" si="1207"/>
        <v>1.5721521815934709E-7</v>
      </c>
      <c r="J1005" s="1">
        <f t="shared" si="1207"/>
        <v>2.6065251769403145E-5</v>
      </c>
      <c r="K1005" s="1">
        <f t="shared" si="1207"/>
        <v>4.8409849249736388E-5</v>
      </c>
      <c r="L1005" s="1">
        <f t="shared" ref="L1005:O1005" si="1208">L999*IFERROR(L$996/L$994,0)</f>
        <v>5.885182116726E-5</v>
      </c>
      <c r="M1005" s="1">
        <f t="shared" si="1208"/>
        <v>8.4195403751977939E-5</v>
      </c>
      <c r="N1005" s="1">
        <f t="shared" si="1208"/>
        <v>9.3654347805870443E-5</v>
      </c>
      <c r="O1005" s="1">
        <f t="shared" si="1208"/>
        <v>1.0475979239847148E-4</v>
      </c>
      <c r="P1005" s="1">
        <f>P999*IFERROR(P$996/P$994,0)</f>
        <v>1.4001007414468972E-4</v>
      </c>
      <c r="Q1005" s="1">
        <f>Q999*IFERROR(Q$996/Q$994,0)</f>
        <v>1.7987274360195421E-4</v>
      </c>
      <c r="S1005" s="3"/>
    </row>
    <row r="1006" spans="2:19" x14ac:dyDescent="0.5">
      <c r="B1006" s="5" t="str">
        <f t="shared" si="1193"/>
        <v>SPS1</v>
      </c>
      <c r="C1006" s="5" t="str">
        <f t="shared" si="1194"/>
        <v>CH</v>
      </c>
      <c r="D1006" t="s">
        <v>1015</v>
      </c>
      <c r="E1006" t="s">
        <v>8</v>
      </c>
      <c r="F1006" s="1">
        <f>SUM(F1007:F1008)</f>
        <v>8.5072864763076126</v>
      </c>
      <c r="G1006" s="1">
        <f t="shared" ref="G1006:K1006" si="1209">SUM(G1007:G1008)</f>
        <v>6.8252980632178932</v>
      </c>
      <c r="H1006" s="1">
        <f t="shared" si="1209"/>
        <v>11.862105370419366</v>
      </c>
      <c r="I1006" s="1">
        <f t="shared" si="1209"/>
        <v>11.864241282071385</v>
      </c>
      <c r="J1006" s="1">
        <f t="shared" si="1209"/>
        <v>12.790821335554522</v>
      </c>
      <c r="K1006" s="1">
        <f t="shared" si="1209"/>
        <v>12.862526628108188</v>
      </c>
      <c r="L1006" s="1">
        <f t="shared" ref="L1006:O1006" si="1210">SUM(L1007:L1008)</f>
        <v>12.668254553490042</v>
      </c>
      <c r="M1006" s="1">
        <f t="shared" si="1210"/>
        <v>12.821071959626705</v>
      </c>
      <c r="N1006" s="1">
        <f t="shared" si="1210"/>
        <v>12.288033390011046</v>
      </c>
      <c r="O1006" s="1">
        <f t="shared" si="1210"/>
        <v>11.56333397261772</v>
      </c>
      <c r="P1006" s="1">
        <f>SUM(P1007:P1008)</f>
        <v>11.978266185543617</v>
      </c>
      <c r="Q1006" s="1">
        <f>SUM(Q1007:Q1008)</f>
        <v>10.195488661755183</v>
      </c>
      <c r="S1006" s="3"/>
    </row>
    <row r="1007" spans="2:19" x14ac:dyDescent="0.5">
      <c r="B1007" s="5" t="str">
        <f t="shared" si="1193"/>
        <v>SPS1</v>
      </c>
      <c r="C1007" s="5" t="str">
        <f t="shared" si="1194"/>
        <v>CH</v>
      </c>
      <c r="D1007" t="s">
        <v>719</v>
      </c>
      <c r="E1007" t="s">
        <v>8</v>
      </c>
      <c r="F1007" s="1">
        <f>F994-F998-F999-F1008</f>
        <v>8.5072864763076126</v>
      </c>
      <c r="G1007" s="1">
        <f t="shared" ref="G1007:K1007" si="1211">G994-G998-G999-G1008</f>
        <v>6.8252980632178932</v>
      </c>
      <c r="H1007" s="1">
        <f t="shared" si="1211"/>
        <v>11.860487392034731</v>
      </c>
      <c r="I1007" s="1">
        <f t="shared" si="1211"/>
        <v>11.862407457262833</v>
      </c>
      <c r="J1007" s="1">
        <f t="shared" si="1211"/>
        <v>12.504323548186559</v>
      </c>
      <c r="K1007" s="1">
        <f t="shared" si="1211"/>
        <v>12.139404356638888</v>
      </c>
      <c r="L1007" s="1">
        <f t="shared" ref="L1007:O1007" si="1212">L994-L998-L999-L1008</f>
        <v>11.702024097385019</v>
      </c>
      <c r="M1007" s="1">
        <f t="shared" si="1212"/>
        <v>11.268968720376785</v>
      </c>
      <c r="N1007" s="1">
        <f t="shared" si="1212"/>
        <v>10.628634831893114</v>
      </c>
      <c r="O1007" s="1">
        <f t="shared" si="1212"/>
        <v>9.8267354519397312</v>
      </c>
      <c r="P1007" s="1">
        <f>P994-P998-P999-P1008</f>
        <v>9.6030529578299593</v>
      </c>
      <c r="Q1007" s="1">
        <f>Q994-Q998-Q999-Q1008</f>
        <v>7.8176749706952187</v>
      </c>
      <c r="S1007" s="3"/>
    </row>
    <row r="1008" spans="2:19" x14ac:dyDescent="0.5">
      <c r="B1008" s="5" t="str">
        <f t="shared" si="1193"/>
        <v>SPS1</v>
      </c>
      <c r="C1008" s="5" t="str">
        <f t="shared" si="1194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1.6179783846345893E-3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1.8338248085517136E-3</v>
      </c>
      <c r="J1008" s="1" cm="1">
        <f t="array" ref="J1008">SUMPRODUCT(([1]OUT_FinalEnergyCons!$B$4:$B$10000="Var_Fin")*1, ([1]OUT_FinalEnergyCons!$C$4:$C$10000="RNGA")*1,ISNUMBER(SEARCH("RH*-wHngahp",[1]OUT_FinalEnergyCons!$A$4:$A$10000))*1,[1]OUT_FinalEnergyCons!H$4:H$10000)</f>
        <v>0.28649778736796366</v>
      </c>
      <c r="K1008" s="1" cm="1">
        <f t="array" ref="K1008">SUMPRODUCT(([1]OUT_FinalEnergyCons!$B$4:$B$10000="Var_Fin")*1, ([1]OUT_FinalEnergyCons!$C$4:$C$10000="RNGA")*1,ISNUMBER(SEARCH("RH*-wHngahp",[1]OUT_FinalEnergyCons!$A$4:$A$10000))*1,[1]OUT_FinalEnergyCons!I$4:I$10000)</f>
        <v>0.72312227146929964</v>
      </c>
      <c r="L1008" s="1" cm="1">
        <f t="array" ref="L1008">SUMPRODUCT(([1]OUT_FinalEnergyCons!$B$4:$B$10000="Var_Fin")*1, ([1]OUT_FinalEnergyCons!$C$4:$C$10000="RNGA")*1,ISNUMBER(SEARCH("RH*-wHngahp",[1]OUT_FinalEnergyCons!$A$4:$A$10000))*1,[1]OUT_FinalEnergyCons!J$4:J$10000)</f>
        <v>0.96623045610502367</v>
      </c>
      <c r="M1008" s="1" cm="1">
        <f t="array" ref="M1008">SUMPRODUCT(([1]OUT_FinalEnergyCons!$B$4:$B$10000="Var_Fin")*1, ([1]OUT_FinalEnergyCons!$C$4:$C$10000="RNGA")*1,ISNUMBER(SEARCH("RH*-wHngahp",[1]OUT_FinalEnergyCons!$A$4:$A$10000))*1,[1]OUT_FinalEnergyCons!K$4:K$10000)</f>
        <v>1.5521032392499194</v>
      </c>
      <c r="N1008" s="1" cm="1">
        <f t="array" ref="N1008">SUMPRODUCT(([1]OUT_FinalEnergyCons!$B$4:$B$10000="Var_Fin")*1, ([1]OUT_FinalEnergyCons!$C$4:$C$10000="RNGA")*1,ISNUMBER(SEARCH("RH*-wHngahp",[1]OUT_FinalEnergyCons!$A$4:$A$10000))*1,[1]OUT_FinalEnergyCons!L$4:L$10000)</f>
        <v>1.6593985581179322</v>
      </c>
      <c r="O1008" s="1" cm="1">
        <f t="array" ref="O1008">SUMPRODUCT(([1]OUT_FinalEnergyCons!$B$4:$B$10000="Var_Fin")*1, ([1]OUT_FinalEnergyCons!$C$4:$C$10000="RNGA")*1,ISNUMBER(SEARCH("RH*-wHngahp",[1]OUT_FinalEnergyCons!$A$4:$A$10000))*1,[1]OUT_FinalEnergyCons!M$4:M$10000)</f>
        <v>1.7365985206779881</v>
      </c>
      <c r="P1008" s="1" cm="1">
        <f t="array" ref="P1008">SUMPRODUCT(([1]OUT_FinalEnergyCons!$B$4:$B$10000="Var_Fin")*1, ([1]OUT_FinalEnergyCons!$C$4:$C$10000="RNGA")*1,ISNUMBER(SEARCH("RH*-wHngahp",[1]OUT_FinalEnergyCons!$A$4:$A$10000))*1,[1]OUT_FinalEnergyCons!N$4:N$10000)</f>
        <v>2.3752132277136591</v>
      </c>
      <c r="Q1008" s="1" cm="1">
        <f t="array" ref="Q1008">SUMPRODUCT(([1]OUT_FinalEnergyCons!$B$4:$B$10000="Var_Fin")*1, ([1]OUT_FinalEnergyCons!$C$4:$C$10000="RNGA")*1,ISNUMBER(SEARCH("RH*-wHngahp",[1]OUT_FinalEnergyCons!$A$4:$A$10000))*1,[1]OUT_FinalEnergyCons!O$4:O$10000)</f>
        <v>2.377813691059965</v>
      </c>
      <c r="S1008" s="3"/>
    </row>
    <row r="1009" spans="2:19" x14ac:dyDescent="0.5">
      <c r="B1009" s="5" t="str">
        <f t="shared" si="1193"/>
        <v>SPS1</v>
      </c>
      <c r="C1009" s="5" t="str">
        <f t="shared" si="1194"/>
        <v>CH</v>
      </c>
      <c r="D1009" t="s">
        <v>1016</v>
      </c>
      <c r="E1009" t="s">
        <v>8</v>
      </c>
      <c r="F1009" s="1">
        <f>SUM(F1010:F1011)</f>
        <v>8.4511535869135415</v>
      </c>
      <c r="G1009" s="1">
        <f t="shared" ref="G1009:K1009" si="1213">SUM(G1010:G1011)</f>
        <v>6.825118073463404</v>
      </c>
      <c r="H1009" s="1">
        <f t="shared" si="1213"/>
        <v>11.861812243961467</v>
      </c>
      <c r="I1009" s="1">
        <f t="shared" si="1213"/>
        <v>11.863965217665703</v>
      </c>
      <c r="J1009" s="1">
        <f t="shared" si="1213"/>
        <v>12.790535488598154</v>
      </c>
      <c r="K1009" s="1">
        <f t="shared" si="1213"/>
        <v>12.862234114819046</v>
      </c>
      <c r="L1009" s="1">
        <f t="shared" ref="L1009:O1009" si="1214">SUM(L1010:L1011)</f>
        <v>12.667959940928741</v>
      </c>
      <c r="M1009" s="1">
        <f t="shared" si="1214"/>
        <v>12.820772963074635</v>
      </c>
      <c r="N1009" s="1">
        <f t="shared" si="1214"/>
        <v>12.287735227611314</v>
      </c>
      <c r="O1009" s="1">
        <f t="shared" si="1214"/>
        <v>11.563034079842897</v>
      </c>
      <c r="P1009" s="1">
        <f>SUM(P1010:P1011)</f>
        <v>11.977962731118387</v>
      </c>
      <c r="Q1009" s="1">
        <f>SUM(Q1010:Q1011)</f>
        <v>10.195157084731926</v>
      </c>
      <c r="S1009" s="3"/>
    </row>
    <row r="1010" spans="2:19" x14ac:dyDescent="0.5">
      <c r="B1010" s="5" t="str">
        <f t="shared" si="1193"/>
        <v>SPS1</v>
      </c>
      <c r="C1010" s="5" t="str">
        <f t="shared" si="1194"/>
        <v>CH</v>
      </c>
      <c r="D1010" t="s">
        <v>718</v>
      </c>
      <c r="E1010" t="s">
        <v>8</v>
      </c>
      <c r="F1010" s="1">
        <f>F1007-F1013</f>
        <v>8.4511535869135415</v>
      </c>
      <c r="G1010" s="1">
        <f t="shared" ref="G1010:K1010" si="1215">G1007-G1013</f>
        <v>6.825118073463404</v>
      </c>
      <c r="H1010" s="1">
        <f t="shared" si="1215"/>
        <v>11.860194305558965</v>
      </c>
      <c r="I1010" s="1">
        <f t="shared" si="1215"/>
        <v>11.862131435527706</v>
      </c>
      <c r="J1010" s="1">
        <f t="shared" si="1215"/>
        <v>12.504044103830804</v>
      </c>
      <c r="K1010" s="1">
        <f t="shared" si="1215"/>
        <v>12.139128288242743</v>
      </c>
      <c r="L1010" s="1">
        <f t="shared" ref="L1010:O1010" si="1216">L1007-L1013</f>
        <v>11.701751955451243</v>
      </c>
      <c r="M1010" s="1">
        <f t="shared" si="1216"/>
        <v>11.268705919980423</v>
      </c>
      <c r="N1010" s="1">
        <f t="shared" si="1216"/>
        <v>10.628376933890499</v>
      </c>
      <c r="O1010" s="1">
        <f t="shared" si="1216"/>
        <v>9.8264805975033624</v>
      </c>
      <c r="P1010" s="1">
        <f>P1007-P1013</f>
        <v>9.6028096764676452</v>
      </c>
      <c r="Q1010" s="1">
        <f>Q1007-Q1013</f>
        <v>7.8174207247751291</v>
      </c>
      <c r="S1010" s="3"/>
    </row>
    <row r="1011" spans="2:19" x14ac:dyDescent="0.5">
      <c r="B1011" s="5" t="str">
        <f t="shared" si="1193"/>
        <v>SPS1</v>
      </c>
      <c r="C1011" s="5" t="str">
        <f t="shared" si="1194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217">G1008-G1014</f>
        <v>0</v>
      </c>
      <c r="H1011" s="1">
        <f t="shared" si="1217"/>
        <v>1.6179384025017357E-3</v>
      </c>
      <c r="I1011" s="1">
        <f t="shared" si="1217"/>
        <v>1.8337821379970729E-3</v>
      </c>
      <c r="J1011" s="1">
        <f t="shared" si="1217"/>
        <v>0.28649138476735059</v>
      </c>
      <c r="K1011" s="1">
        <f t="shared" si="1217"/>
        <v>0.72310582657630196</v>
      </c>
      <c r="L1011" s="1">
        <f t="shared" ref="L1011:O1011" si="1218">L1008-L1014</f>
        <v>0.96620798547749731</v>
      </c>
      <c r="M1011" s="1">
        <f t="shared" si="1218"/>
        <v>1.5520670430942118</v>
      </c>
      <c r="N1011" s="1">
        <f t="shared" si="1218"/>
        <v>1.6593582937208153</v>
      </c>
      <c r="O1011" s="1">
        <f t="shared" si="1218"/>
        <v>1.7365534823395337</v>
      </c>
      <c r="P1011" s="1">
        <f>P1008-P1014</f>
        <v>2.3751530546507422</v>
      </c>
      <c r="Q1011" s="1">
        <f>Q1008-Q1014</f>
        <v>2.3777363599567978</v>
      </c>
      <c r="S1011" s="3"/>
    </row>
    <row r="1012" spans="2:19" x14ac:dyDescent="0.5">
      <c r="B1012" s="5" t="str">
        <f t="shared" si="1193"/>
        <v>SPS1</v>
      </c>
      <c r="C1012" s="5" t="str">
        <f t="shared" si="1194"/>
        <v>CH</v>
      </c>
      <c r="D1012" t="s">
        <v>1017</v>
      </c>
      <c r="E1012" t="s">
        <v>8</v>
      </c>
      <c r="F1012" s="1">
        <f t="shared" ref="F1012:K1012" si="1219">SUM(F1013:F1014)</f>
        <v>5.6132889394070289E-2</v>
      </c>
      <c r="G1012" s="1">
        <f t="shared" si="1219"/>
        <v>1.7998975448907327E-4</v>
      </c>
      <c r="H1012" s="1">
        <f t="shared" si="1219"/>
        <v>2.9312645789882042E-4</v>
      </c>
      <c r="I1012" s="1">
        <f t="shared" si="1219"/>
        <v>2.7606440568121732E-4</v>
      </c>
      <c r="J1012" s="1">
        <f t="shared" si="1219"/>
        <v>2.8584695636711004E-4</v>
      </c>
      <c r="K1012" s="1">
        <f t="shared" si="1219"/>
        <v>2.9251328914242609E-4</v>
      </c>
      <c r="L1012" s="1">
        <f t="shared" ref="L1012:O1012" si="1220">SUM(L1013:L1014)</f>
        <v>2.9461256130153615E-4</v>
      </c>
      <c r="M1012" s="1">
        <f t="shared" si="1220"/>
        <v>2.989965520686911E-4</v>
      </c>
      <c r="N1012" s="1">
        <f t="shared" si="1220"/>
        <v>2.9816239973251844E-4</v>
      </c>
      <c r="O1012" s="1">
        <f t="shared" si="1220"/>
        <v>2.9989277482380332E-4</v>
      </c>
      <c r="P1012" s="1">
        <f>SUM(P1013:P1014)</f>
        <v>3.0345442523178911E-4</v>
      </c>
      <c r="Q1012" s="1">
        <f>SUM(Q1013:Q1014)</f>
        <v>3.3157702325655971E-4</v>
      </c>
      <c r="S1012" s="3"/>
    </row>
    <row r="1013" spans="2:19" x14ac:dyDescent="0.5">
      <c r="B1013" s="5" t="str">
        <f t="shared" si="1193"/>
        <v>SPS1</v>
      </c>
      <c r="C1013" s="5" t="str">
        <f t="shared" si="1194"/>
        <v>CH</v>
      </c>
      <c r="D1013" t="s">
        <v>738</v>
      </c>
      <c r="E1013" t="s">
        <v>8</v>
      </c>
      <c r="F1013" s="1">
        <f>F1007*IFERROR(F$996/F$994,0)</f>
        <v>5.6132889394070289E-2</v>
      </c>
      <c r="G1013" s="1">
        <f t="shared" ref="G1013:K1013" si="1221">G1007*IFERROR(G$996/G$994,0)</f>
        <v>1.7998975448907327E-4</v>
      </c>
      <c r="H1013" s="1">
        <f t="shared" si="1221"/>
        <v>2.9308647576596674E-4</v>
      </c>
      <c r="I1013" s="1">
        <f t="shared" si="1221"/>
        <v>2.7602173512657668E-4</v>
      </c>
      <c r="J1013" s="1">
        <f t="shared" si="1221"/>
        <v>2.7944435575401241E-4</v>
      </c>
      <c r="K1013" s="1">
        <f t="shared" si="1221"/>
        <v>2.7606839614470111E-4</v>
      </c>
      <c r="L1013" s="1">
        <f t="shared" ref="L1013:O1013" si="1222">L1007*IFERROR(L$996/L$994,0)</f>
        <v>2.7214193377517111E-4</v>
      </c>
      <c r="M1013" s="1">
        <f t="shared" si="1222"/>
        <v>2.6280039636098347E-4</v>
      </c>
      <c r="N1013" s="1">
        <f t="shared" si="1222"/>
        <v>2.578980026156191E-4</v>
      </c>
      <c r="O1013" s="1">
        <f t="shared" si="1222"/>
        <v>2.5485443636931552E-4</v>
      </c>
      <c r="P1013" s="1">
        <f>P1007*IFERROR(P$996/P$994,0)</f>
        <v>2.4328136231483076E-4</v>
      </c>
      <c r="Q1013" s="1">
        <f>Q1007*IFERROR(Q$996/Q$994,0)</f>
        <v>2.5424592008954134E-4</v>
      </c>
      <c r="S1013" s="3"/>
    </row>
    <row r="1014" spans="2:19" x14ac:dyDescent="0.5">
      <c r="B1014" s="5" t="str">
        <f t="shared" si="1193"/>
        <v>SPS1</v>
      </c>
      <c r="C1014" s="5" t="str">
        <f t="shared" si="1194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223">G1008*IFERROR(G$996/G$994,0)</f>
        <v>0</v>
      </c>
      <c r="H1014" s="1">
        <f t="shared" si="1223"/>
        <v>3.9982132853708185E-8</v>
      </c>
      <c r="I1014" s="1">
        <f t="shared" si="1223"/>
        <v>4.2670554640634697E-8</v>
      </c>
      <c r="J1014" s="1">
        <f t="shared" si="1223"/>
        <v>6.4026006130976501E-6</v>
      </c>
      <c r="K1014" s="1">
        <f t="shared" si="1223"/>
        <v>1.6444892997724957E-5</v>
      </c>
      <c r="L1014" s="1">
        <f t="shared" ref="L1014:O1014" si="1224">L1008*IFERROR(L$996/L$994,0)</f>
        <v>2.2470627526365035E-5</v>
      </c>
      <c r="M1014" s="1">
        <f t="shared" si="1224"/>
        <v>3.6196155707707657E-5</v>
      </c>
      <c r="N1014" s="1">
        <f t="shared" si="1224"/>
        <v>4.0264397116899341E-5</v>
      </c>
      <c r="O1014" s="1">
        <f t="shared" si="1224"/>
        <v>4.5038338454487809E-5</v>
      </c>
      <c r="P1014" s="1">
        <f>P1008*IFERROR(P$996/P$994,0)</f>
        <v>6.0173062916958367E-5</v>
      </c>
      <c r="Q1014" s="1">
        <f>Q1008*IFERROR(Q$996/Q$994,0)</f>
        <v>7.7331103167018367E-5</v>
      </c>
      <c r="S1014" s="3"/>
    </row>
    <row r="1015" spans="2:19" x14ac:dyDescent="0.5">
      <c r="B1015" s="5" t="str">
        <f t="shared" si="1193"/>
        <v>SPS1</v>
      </c>
      <c r="C1015" s="5" t="str">
        <f t="shared" si="1194"/>
        <v>CH</v>
      </c>
      <c r="D1015" t="s">
        <v>1018</v>
      </c>
      <c r="E1015" t="s">
        <v>8</v>
      </c>
      <c r="F1015" s="1">
        <f>[1]Residential!B$20</f>
        <v>0.1000010444685473</v>
      </c>
      <c r="G1015" s="1">
        <f>[1]Residential!C$20</f>
        <v>0.10000095719254458</v>
      </c>
      <c r="H1015" s="1">
        <f>[1]Residential!D$20</f>
        <v>2.0707598660939116E-3</v>
      </c>
      <c r="I1015" s="1">
        <f>[1]Residential!E$20</f>
        <v>1.7640105665481622E-3</v>
      </c>
      <c r="J1015" s="1">
        <f>[1]Residential!F$20</f>
        <v>7.1936823714398919E-4</v>
      </c>
      <c r="K1015" s="1">
        <f>[1]Residential!G$20</f>
        <v>0</v>
      </c>
      <c r="L1015" s="1">
        <f>[1]Residential!H$20</f>
        <v>0</v>
      </c>
      <c r="M1015" s="1">
        <f>[1]Residential!I$20</f>
        <v>0</v>
      </c>
      <c r="N1015" s="1">
        <f>[1]Residential!J$20</f>
        <v>0</v>
      </c>
      <c r="O1015" s="1">
        <f>[1]Residential!K$20</f>
        <v>0</v>
      </c>
      <c r="P1015" s="1">
        <f>[1]Residential!L$20</f>
        <v>0</v>
      </c>
      <c r="Q1015" s="1">
        <f>[1]Residential!M$20</f>
        <v>0</v>
      </c>
      <c r="S1015" s="3"/>
    </row>
    <row r="1016" spans="2:19" x14ac:dyDescent="0.5">
      <c r="B1016" s="5" t="str">
        <f t="shared" si="1193"/>
        <v>SPS1</v>
      </c>
      <c r="C1016" s="5" t="str">
        <f t="shared" si="1194"/>
        <v>CH</v>
      </c>
      <c r="D1016" t="s">
        <v>1019</v>
      </c>
      <c r="E1016" t="s">
        <v>8</v>
      </c>
      <c r="F1016" s="1">
        <f>F1015</f>
        <v>0.1000010444685473</v>
      </c>
      <c r="G1016" s="1">
        <f t="shared" ref="G1016:G1017" si="1225">G1015</f>
        <v>0.10000095719254458</v>
      </c>
      <c r="H1016" s="1">
        <f t="shared" ref="H1016:H1017" si="1226">H1015</f>
        <v>2.0707598660939116E-3</v>
      </c>
      <c r="I1016" s="1">
        <f t="shared" ref="I1016:I1017" si="1227">I1015</f>
        <v>1.7640105665481622E-3</v>
      </c>
      <c r="J1016" s="1">
        <f t="shared" ref="J1016:J1017" si="1228">J1015</f>
        <v>7.1936823714398919E-4</v>
      </c>
      <c r="K1016" s="1">
        <f t="shared" ref="K1016:K1017" si="1229">K1015</f>
        <v>0</v>
      </c>
      <c r="L1016" s="1">
        <f t="shared" ref="L1016:O1016" si="1230">L1015</f>
        <v>0</v>
      </c>
      <c r="M1016" s="1">
        <f t="shared" si="1230"/>
        <v>0</v>
      </c>
      <c r="N1016" s="1">
        <f t="shared" si="1230"/>
        <v>0</v>
      </c>
      <c r="O1016" s="1">
        <f t="shared" si="1230"/>
        <v>0</v>
      </c>
      <c r="P1016" s="1">
        <f>P1015</f>
        <v>0</v>
      </c>
      <c r="Q1016" s="1">
        <f>Q1015</f>
        <v>0</v>
      </c>
      <c r="S1016" s="3"/>
    </row>
    <row r="1017" spans="2:19" x14ac:dyDescent="0.5">
      <c r="B1017" s="5" t="str">
        <f t="shared" si="1193"/>
        <v>SPS1</v>
      </c>
      <c r="C1017" s="5" t="str">
        <f t="shared" si="1194"/>
        <v>CH</v>
      </c>
      <c r="D1017" t="s">
        <v>764</v>
      </c>
      <c r="E1017" t="s">
        <v>8</v>
      </c>
      <c r="F1017" s="1">
        <f t="shared" ref="F1017" si="1231">F1016</f>
        <v>0.1000010444685473</v>
      </c>
      <c r="G1017" s="1">
        <f t="shared" si="1225"/>
        <v>0.10000095719254458</v>
      </c>
      <c r="H1017" s="1">
        <f t="shared" si="1226"/>
        <v>2.0707598660939116E-3</v>
      </c>
      <c r="I1017" s="1">
        <f t="shared" si="1227"/>
        <v>1.7640105665481622E-3</v>
      </c>
      <c r="J1017" s="1">
        <f t="shared" si="1228"/>
        <v>7.1936823714398919E-4</v>
      </c>
      <c r="K1017" s="1">
        <f t="shared" si="1229"/>
        <v>0</v>
      </c>
      <c r="L1017" s="1">
        <f t="shared" ref="L1017:O1017" si="1232">L1016</f>
        <v>0</v>
      </c>
      <c r="M1017" s="1">
        <f t="shared" si="1232"/>
        <v>0</v>
      </c>
      <c r="N1017" s="1">
        <f t="shared" si="1232"/>
        <v>0</v>
      </c>
      <c r="O1017" s="1">
        <f t="shared" si="1232"/>
        <v>0</v>
      </c>
      <c r="P1017" s="1">
        <f>P1016</f>
        <v>0</v>
      </c>
      <c r="Q1017" s="1">
        <f>Q1016</f>
        <v>0</v>
      </c>
      <c r="S1017" s="3"/>
    </row>
    <row r="1018" spans="2:19" x14ac:dyDescent="0.5">
      <c r="B1018" s="5" t="str">
        <f t="shared" si="1193"/>
        <v>SPS1</v>
      </c>
      <c r="C1018" s="5" t="str">
        <f t="shared" si="1194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S1018" s="3"/>
    </row>
    <row r="1019" spans="2:19" x14ac:dyDescent="0.5">
      <c r="B1019" s="5" t="str">
        <f t="shared" si="1193"/>
        <v>SPS1</v>
      </c>
      <c r="C1019" s="5" t="str">
        <f t="shared" si="1194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S1019" s="3"/>
    </row>
    <row r="1020" spans="2:19" x14ac:dyDescent="0.5">
      <c r="B1020" s="5" t="str">
        <f t="shared" si="1193"/>
        <v>SPS1</v>
      </c>
      <c r="C1020" s="5" t="str">
        <f t="shared" si="1194"/>
        <v>CH</v>
      </c>
      <c r="D1020" t="s">
        <v>1021</v>
      </c>
      <c r="E1020" t="s">
        <v>8</v>
      </c>
      <c r="F1020" s="1">
        <f>F1021+F1023</f>
        <v>13.723009805682237</v>
      </c>
      <c r="G1020" s="1">
        <f t="shared" ref="G1020:K1020" si="1233">G1021+G1023</f>
        <v>13.922393101503287</v>
      </c>
      <c r="H1020" s="1">
        <f t="shared" si="1233"/>
        <v>12.11437311774683</v>
      </c>
      <c r="I1020" s="1">
        <f t="shared" si="1233"/>
        <v>9.5673805848563234</v>
      </c>
      <c r="J1020" s="1">
        <f t="shared" si="1233"/>
        <v>8.8874903305798512</v>
      </c>
      <c r="K1020" s="1">
        <f t="shared" si="1233"/>
        <v>7.7992520501319156</v>
      </c>
      <c r="L1020" s="1">
        <f t="shared" ref="L1020:O1020" si="1234">L1021+L1023</f>
        <v>6.8841572290305191</v>
      </c>
      <c r="M1020" s="1">
        <f t="shared" si="1234"/>
        <v>5.7007200313610902</v>
      </c>
      <c r="N1020" s="1">
        <f t="shared" si="1234"/>
        <v>5.4234884366374487</v>
      </c>
      <c r="O1020" s="1">
        <f t="shared" si="1234"/>
        <v>4.5777073504534798</v>
      </c>
      <c r="P1020" s="1">
        <f>P1021+P1023</f>
        <v>4.2666355835501975</v>
      </c>
      <c r="Q1020" s="1">
        <f>Q1021+Q1023</f>
        <v>2.6673922253365303</v>
      </c>
      <c r="S1020" s="3"/>
    </row>
    <row r="1021" spans="2:19" x14ac:dyDescent="0.5">
      <c r="B1021" s="5" t="str">
        <f t="shared" si="1193"/>
        <v>SPS1</v>
      </c>
      <c r="C1021" s="5" t="str">
        <f t="shared" si="1194"/>
        <v>CH</v>
      </c>
      <c r="D1021" t="s">
        <v>1022</v>
      </c>
      <c r="E1021" t="s">
        <v>8</v>
      </c>
      <c r="F1021" s="1">
        <f>F1022</f>
        <v>12.682058313323228</v>
      </c>
      <c r="G1021" s="1">
        <f t="shared" ref="G1021:O1021" si="1235">G1022</f>
        <v>12.727909830718412</v>
      </c>
      <c r="H1021" s="1">
        <f t="shared" si="1235"/>
        <v>11.4444014058114</v>
      </c>
      <c r="I1021" s="1">
        <f t="shared" si="1235"/>
        <v>9.0383217469356332</v>
      </c>
      <c r="J1021" s="1">
        <f t="shared" si="1235"/>
        <v>8.3960325726368659</v>
      </c>
      <c r="K1021" s="1">
        <f t="shared" si="1235"/>
        <v>7.3679705219107641</v>
      </c>
      <c r="L1021" s="1">
        <f t="shared" si="1235"/>
        <v>6.5034640331646116</v>
      </c>
      <c r="M1021" s="1">
        <f t="shared" si="1235"/>
        <v>5.3854476233938726</v>
      </c>
      <c r="N1021" s="1">
        <f t="shared" si="1235"/>
        <v>5.1235634376082233</v>
      </c>
      <c r="O1021" s="1">
        <f t="shared" si="1235"/>
        <v>4.3244886544674728</v>
      </c>
      <c r="P1021" s="1">
        <f>P1022</f>
        <v>4.0306562385962934</v>
      </c>
      <c r="Q1021" s="1">
        <f>Q1022</f>
        <v>2.5195636184585766</v>
      </c>
      <c r="S1021" s="3"/>
    </row>
    <row r="1022" spans="2:19" x14ac:dyDescent="0.5">
      <c r="B1022" s="5" t="str">
        <f t="shared" si="1193"/>
        <v>SPS1</v>
      </c>
      <c r="C1022" s="5" t="str">
        <f t="shared" si="1194"/>
        <v>CH</v>
      </c>
      <c r="D1022" t="s">
        <v>766</v>
      </c>
      <c r="E1022" t="s">
        <v>8</v>
      </c>
      <c r="F1022" s="1">
        <f>[1]Residential!B$22-F1024-F1025</f>
        <v>12.682058313323228</v>
      </c>
      <c r="G1022" s="1">
        <f>[1]Residential!C$22-G1024-G1025</f>
        <v>12.727909830718412</v>
      </c>
      <c r="H1022" s="1">
        <f>[1]Residential!D$22-H1024-H1025</f>
        <v>11.4444014058114</v>
      </c>
      <c r="I1022" s="1">
        <f>[1]Residential!E$22-I1024-I1025</f>
        <v>9.0383217469356332</v>
      </c>
      <c r="J1022" s="1">
        <f>[1]Residential!F$22-J1024-J1025</f>
        <v>8.3960325726368659</v>
      </c>
      <c r="K1022" s="1">
        <f>[1]Residential!G$22-K1024-K1025</f>
        <v>7.3679705219107641</v>
      </c>
      <c r="L1022" s="1">
        <f>[1]Residential!H$22-L1024-L1025</f>
        <v>6.5034640331646116</v>
      </c>
      <c r="M1022" s="1">
        <f>[1]Residential!I$22-M1024-M1025</f>
        <v>5.3854476233938726</v>
      </c>
      <c r="N1022" s="1">
        <f>[1]Residential!J$22-N1024-N1025</f>
        <v>5.1235634376082233</v>
      </c>
      <c r="O1022" s="1">
        <f>[1]Residential!K$22-O1024-O1025</f>
        <v>4.3244886544674728</v>
      </c>
      <c r="P1022" s="1">
        <f>[1]Residential!L$22-P1024-P1025</f>
        <v>4.0306562385962934</v>
      </c>
      <c r="Q1022" s="1">
        <f>[1]Residential!M$22-Q1024-Q1025</f>
        <v>2.5195636184585766</v>
      </c>
      <c r="S1022" s="3"/>
    </row>
    <row r="1023" spans="2:19" x14ac:dyDescent="0.5">
      <c r="B1023" s="5" t="str">
        <f t="shared" si="1193"/>
        <v>SPS1</v>
      </c>
      <c r="C1023" s="5" t="str">
        <f t="shared" si="1194"/>
        <v>CH</v>
      </c>
      <c r="D1023" t="s">
        <v>1023</v>
      </c>
      <c r="E1023" t="s">
        <v>8</v>
      </c>
      <c r="F1023" s="1">
        <f>F1024</f>
        <v>1.0409514923590091</v>
      </c>
      <c r="G1023" s="1">
        <f t="shared" ref="G1023" si="1236">G1024</f>
        <v>1.1944832707848747</v>
      </c>
      <c r="H1023" s="1">
        <f t="shared" ref="H1023" si="1237">H1024</f>
        <v>0.66997171193542948</v>
      </c>
      <c r="I1023" s="1">
        <f t="shared" ref="I1023" si="1238">I1024</f>
        <v>0.52905883792068997</v>
      </c>
      <c r="J1023" s="1">
        <f t="shared" ref="J1023" si="1239">J1024</f>
        <v>0.49145775794298474</v>
      </c>
      <c r="K1023" s="1">
        <f t="shared" ref="K1023:O1023" si="1240">K1024</f>
        <v>0.43128152822115173</v>
      </c>
      <c r="L1023" s="1">
        <f t="shared" si="1240"/>
        <v>0.38069319586590716</v>
      </c>
      <c r="M1023" s="1">
        <f t="shared" si="1240"/>
        <v>0.31527240796721734</v>
      </c>
      <c r="N1023" s="1">
        <f t="shared" si="1240"/>
        <v>0.29992499902922581</v>
      </c>
      <c r="O1023" s="1">
        <f t="shared" si="1240"/>
        <v>0.25321869598600716</v>
      </c>
      <c r="P1023" s="1">
        <f>P1024</f>
        <v>0.23597934495390388</v>
      </c>
      <c r="Q1023" s="1">
        <f>Q1024</f>
        <v>0.14782860687795393</v>
      </c>
      <c r="S1023" s="3"/>
    </row>
    <row r="1024" spans="2:19" x14ac:dyDescent="0.5">
      <c r="B1024" s="5" t="str">
        <f t="shared" si="1193"/>
        <v>SPS1</v>
      </c>
      <c r="C1024" s="5" t="str">
        <f t="shared" si="1194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1.0409514923590091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1.1944832707848747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0.66997171193542948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0.52905883792068997</v>
      </c>
      <c r="J1024" s="1" cm="1">
        <f t="array" ref="J1024">SUMPRODUCT(([1]OUT_FinalEnergyCons!$B$4:$B$10000="Var_Fin")*1, ISNUMBER(SEARCH("WOD",[1]OUT_FinalEnergyCons!$C$4:$C$10000))*1,(ISNUMBER(SEARCH("RH*-wHWODBR",[1]OUT_FinalEnergyCons!$A$4:$A$10000)))*1,[1]OUT_FinalEnergyCons!H$4:H$10000)</f>
        <v>0.49145775794298474</v>
      </c>
      <c r="K1024" s="1" cm="1">
        <f t="array" ref="K1024">SUMPRODUCT(([1]OUT_FinalEnergyCons!$B$4:$B$10000="Var_Fin")*1, ISNUMBER(SEARCH("WOD",[1]OUT_FinalEnergyCons!$C$4:$C$10000))*1,(ISNUMBER(SEARCH("RH*-wHWODBR",[1]OUT_FinalEnergyCons!$A$4:$A$10000)))*1,[1]OUT_FinalEnergyCons!I$4:I$10000)</f>
        <v>0.43128152822115173</v>
      </c>
      <c r="L1024" s="1" cm="1">
        <f t="array" ref="L1024">SUMPRODUCT(([1]OUT_FinalEnergyCons!$B$4:$B$10000="Var_Fin")*1, ISNUMBER(SEARCH("WOD",[1]OUT_FinalEnergyCons!$C$4:$C$10000))*1,(ISNUMBER(SEARCH("RH*-wHWODBR",[1]OUT_FinalEnergyCons!$A$4:$A$10000)))*1,[1]OUT_FinalEnergyCons!J$4:J$10000)</f>
        <v>0.38069319586590716</v>
      </c>
      <c r="M1024" s="1" cm="1">
        <f t="array" ref="M1024">SUMPRODUCT(([1]OUT_FinalEnergyCons!$B$4:$B$10000="Var_Fin")*1, ISNUMBER(SEARCH("WOD",[1]OUT_FinalEnergyCons!$C$4:$C$10000))*1,(ISNUMBER(SEARCH("RH*-wHWODBR",[1]OUT_FinalEnergyCons!$A$4:$A$10000)))*1,[1]OUT_FinalEnergyCons!K$4:K$10000)</f>
        <v>0.31527240796721734</v>
      </c>
      <c r="N1024" s="1" cm="1">
        <f t="array" ref="N1024">SUMPRODUCT(([1]OUT_FinalEnergyCons!$B$4:$B$10000="Var_Fin")*1, ISNUMBER(SEARCH("WOD",[1]OUT_FinalEnergyCons!$C$4:$C$10000))*1,(ISNUMBER(SEARCH("RH*-wHWODBR",[1]OUT_FinalEnergyCons!$A$4:$A$10000)))*1,[1]OUT_FinalEnergyCons!L$4:L$10000)</f>
        <v>0.29992499902922581</v>
      </c>
      <c r="O1024" s="1" cm="1">
        <f t="array" ref="O1024">SUMPRODUCT(([1]OUT_FinalEnergyCons!$B$4:$B$10000="Var_Fin")*1, ISNUMBER(SEARCH("WOD",[1]OUT_FinalEnergyCons!$C$4:$C$10000))*1,(ISNUMBER(SEARCH("RH*-wHWODBR",[1]OUT_FinalEnergyCons!$A$4:$A$10000)))*1,[1]OUT_FinalEnergyCons!M$4:M$10000)</f>
        <v>0.25321869598600716</v>
      </c>
      <c r="P1024" s="1" cm="1">
        <f t="array" ref="P1024">SUMPRODUCT(([1]OUT_FinalEnergyCons!$B$4:$B$10000="Var_Fin")*1, ISNUMBER(SEARCH("WOD",[1]OUT_FinalEnergyCons!$C$4:$C$10000))*1,(ISNUMBER(SEARCH("RH*-wHWODBR",[1]OUT_FinalEnergyCons!$A$4:$A$10000)))*1,[1]OUT_FinalEnergyCons!N$4:N$10000)</f>
        <v>0.23597934495390388</v>
      </c>
      <c r="Q1024" s="1" cm="1">
        <f t="array" ref="Q1024">SUMPRODUCT(([1]OUT_FinalEnergyCons!$B$4:$B$10000="Var_Fin")*1, ISNUMBER(SEARCH("WOD",[1]OUT_FinalEnergyCons!$C$4:$C$10000))*1,(ISNUMBER(SEARCH("RH*-wHWODBR",[1]OUT_FinalEnergyCons!$A$4:$A$10000)))*1,[1]OUT_FinalEnergyCons!O$4:O$10000)</f>
        <v>0.14782860687795393</v>
      </c>
      <c r="S1024" s="3"/>
    </row>
    <row r="1025" spans="2:19" x14ac:dyDescent="0.5">
      <c r="B1025" s="5" t="str">
        <f t="shared" si="1193"/>
        <v>SPS1</v>
      </c>
      <c r="C1025" s="5" t="str">
        <f t="shared" si="1194"/>
        <v>CH</v>
      </c>
      <c r="D1025" t="s">
        <v>1024</v>
      </c>
      <c r="E1025" t="s">
        <v>8</v>
      </c>
      <c r="F1025" s="1">
        <f>F1026+F1028</f>
        <v>3.2682200707794431</v>
      </c>
      <c r="G1025" s="1">
        <f t="shared" ref="G1025:K1025" si="1241">G1026+G1028</f>
        <v>3.8319876654690201</v>
      </c>
      <c r="H1025" s="1">
        <f t="shared" si="1241"/>
        <v>3.7274998156925601</v>
      </c>
      <c r="I1025" s="1">
        <f t="shared" si="1241"/>
        <v>3.8802423888240081</v>
      </c>
      <c r="J1025" s="1">
        <f t="shared" si="1241"/>
        <v>4.0152680274807917</v>
      </c>
      <c r="K1025" s="1">
        <f t="shared" si="1241"/>
        <v>4.1161414531699387</v>
      </c>
      <c r="L1025" s="1">
        <f t="shared" ref="L1025:O1025" si="1242">L1026+L1028</f>
        <v>4.1965128939603407</v>
      </c>
      <c r="M1025" s="1">
        <f t="shared" si="1242"/>
        <v>4.2603234995852031</v>
      </c>
      <c r="N1025" s="1">
        <f t="shared" si="1242"/>
        <v>4.3100706350720932</v>
      </c>
      <c r="O1025" s="1">
        <f t="shared" si="1242"/>
        <v>4.3543628793198259</v>
      </c>
      <c r="P1025" s="1">
        <f>P1026+P1028</f>
        <v>4.354365727524236</v>
      </c>
      <c r="Q1025" s="1">
        <f>Q1026+Q1028</f>
        <v>4.3546807404117986</v>
      </c>
      <c r="S1025" s="3"/>
    </row>
    <row r="1026" spans="2:19" x14ac:dyDescent="0.5">
      <c r="B1026" s="5" t="str">
        <f t="shared" si="1193"/>
        <v>SPS1</v>
      </c>
      <c r="C1026" s="5" t="str">
        <f t="shared" si="1194"/>
        <v>CH</v>
      </c>
      <c r="D1026" t="s">
        <v>1025</v>
      </c>
      <c r="E1026" t="s">
        <v>8</v>
      </c>
      <c r="F1026" s="1">
        <f>F1027</f>
        <v>2.9965490708973892</v>
      </c>
      <c r="G1026" s="1">
        <f t="shared" ref="G1026:O1026" si="1243">G1027</f>
        <v>3.5202477452081316</v>
      </c>
      <c r="H1026" s="1">
        <f t="shared" si="1243"/>
        <v>3.5213755038091263</v>
      </c>
      <c r="I1026" s="1">
        <f t="shared" si="1243"/>
        <v>3.6656693214899816</v>
      </c>
      <c r="J1026" s="1">
        <f t="shared" si="1243"/>
        <v>3.7932290012752254</v>
      </c>
      <c r="K1026" s="1">
        <f t="shared" si="1243"/>
        <v>3.8885257118770742</v>
      </c>
      <c r="L1026" s="1">
        <f t="shared" si="1243"/>
        <v>3.9644499787171412</v>
      </c>
      <c r="M1026" s="1">
        <f t="shared" si="1243"/>
        <v>4.0247194709410739</v>
      </c>
      <c r="N1026" s="1">
        <f t="shared" si="1243"/>
        <v>4.0717269993925447</v>
      </c>
      <c r="O1026" s="1">
        <f t="shared" si="1243"/>
        <v>4.1135553424493985</v>
      </c>
      <c r="P1026" s="1">
        <f>P1027</f>
        <v>4.1135665961774253</v>
      </c>
      <c r="Q1026" s="1">
        <f>Q1027</f>
        <v>4.1138254918749961</v>
      </c>
      <c r="S1026" s="3"/>
    </row>
    <row r="1027" spans="2:19" x14ac:dyDescent="0.5">
      <c r="B1027" s="5" t="str">
        <f t="shared" si="1193"/>
        <v>SPS1</v>
      </c>
      <c r="C1027" s="5" t="str">
        <f t="shared" si="1194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2.9965490708973892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3.5202477452081316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3.5213755038091263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3.6656693214899816</v>
      </c>
      <c r="J1027" s="1" cm="1">
        <f t="array" ref="J1027">SUMPRODUCT(([1]OUT_FinalEnergyCons!$B$4:$B$10000="Var_Fin")*1, ISNUMBER(SEARCH("RPLT",[1]OUT_FinalEnergyCons!$C$4:$C$10000))*1,(ISNUMBER(SEARCH("RH*-SHPLTBR",[1]OUT_FinalEnergyCons!$A$4:$A$10000)))*1,[1]OUT_FinalEnergyCons!H$4:H$10000)</f>
        <v>3.7932290012752254</v>
      </c>
      <c r="K1027" s="1" cm="1">
        <f t="array" ref="K1027">SUMPRODUCT(([1]OUT_FinalEnergyCons!$B$4:$B$10000="Var_Fin")*1, ISNUMBER(SEARCH("RPLT",[1]OUT_FinalEnergyCons!$C$4:$C$10000))*1,(ISNUMBER(SEARCH("RH*-SHPLTBR",[1]OUT_FinalEnergyCons!$A$4:$A$10000)))*1,[1]OUT_FinalEnergyCons!I$4:I$10000)</f>
        <v>3.8885257118770742</v>
      </c>
      <c r="L1027" s="1" cm="1">
        <f t="array" ref="L1027">SUMPRODUCT(([1]OUT_FinalEnergyCons!$B$4:$B$10000="Var_Fin")*1, ISNUMBER(SEARCH("RPLT",[1]OUT_FinalEnergyCons!$C$4:$C$10000))*1,(ISNUMBER(SEARCH("RH*-SHPLTBR",[1]OUT_FinalEnergyCons!$A$4:$A$10000)))*1,[1]OUT_FinalEnergyCons!J$4:J$10000)</f>
        <v>3.9644499787171412</v>
      </c>
      <c r="M1027" s="1" cm="1">
        <f t="array" ref="M1027">SUMPRODUCT(([1]OUT_FinalEnergyCons!$B$4:$B$10000="Var_Fin")*1, ISNUMBER(SEARCH("RPLT",[1]OUT_FinalEnergyCons!$C$4:$C$10000))*1,(ISNUMBER(SEARCH("RH*-SHPLTBR",[1]OUT_FinalEnergyCons!$A$4:$A$10000)))*1,[1]OUT_FinalEnergyCons!K$4:K$10000)</f>
        <v>4.0247194709410739</v>
      </c>
      <c r="N1027" s="1" cm="1">
        <f t="array" ref="N1027">SUMPRODUCT(([1]OUT_FinalEnergyCons!$B$4:$B$10000="Var_Fin")*1, ISNUMBER(SEARCH("RPLT",[1]OUT_FinalEnergyCons!$C$4:$C$10000))*1,(ISNUMBER(SEARCH("RH*-SHPLTBR",[1]OUT_FinalEnergyCons!$A$4:$A$10000)))*1,[1]OUT_FinalEnergyCons!L$4:L$10000)</f>
        <v>4.0717269993925447</v>
      </c>
      <c r="O1027" s="1" cm="1">
        <f t="array" ref="O1027">SUMPRODUCT(([1]OUT_FinalEnergyCons!$B$4:$B$10000="Var_Fin")*1, ISNUMBER(SEARCH("RPLT",[1]OUT_FinalEnergyCons!$C$4:$C$10000))*1,(ISNUMBER(SEARCH("RH*-SHPLTBR",[1]OUT_FinalEnergyCons!$A$4:$A$10000)))*1,[1]OUT_FinalEnergyCons!M$4:M$10000)</f>
        <v>4.1135553424493985</v>
      </c>
      <c r="P1027" s="1" cm="1">
        <f t="array" ref="P1027">SUMPRODUCT(([1]OUT_FinalEnergyCons!$B$4:$B$10000="Var_Fin")*1, ISNUMBER(SEARCH("RPLT",[1]OUT_FinalEnergyCons!$C$4:$C$10000))*1,(ISNUMBER(SEARCH("RH*-SHPLTBR",[1]OUT_FinalEnergyCons!$A$4:$A$10000)))*1,[1]OUT_FinalEnergyCons!N$4:N$10000)</f>
        <v>4.1135665961774253</v>
      </c>
      <c r="Q1027" s="1" cm="1">
        <f t="array" ref="Q1027">SUMPRODUCT(([1]OUT_FinalEnergyCons!$B$4:$B$10000="Var_Fin")*1, ISNUMBER(SEARCH("RPLT",[1]OUT_FinalEnergyCons!$C$4:$C$10000))*1,(ISNUMBER(SEARCH("RH*-SHPLTBR",[1]OUT_FinalEnergyCons!$A$4:$A$10000)))*1,[1]OUT_FinalEnergyCons!O$4:O$10000)</f>
        <v>4.1138254918749961</v>
      </c>
      <c r="S1027" s="3"/>
    </row>
    <row r="1028" spans="2:19" x14ac:dyDescent="0.5">
      <c r="B1028" s="5" t="str">
        <f t="shared" si="1193"/>
        <v>SPS1</v>
      </c>
      <c r="C1028" s="5" t="str">
        <f t="shared" si="1194"/>
        <v>CH</v>
      </c>
      <c r="D1028" t="s">
        <v>1026</v>
      </c>
      <c r="E1028" t="s">
        <v>8</v>
      </c>
      <c r="F1028" s="1">
        <f>F1029</f>
        <v>0.27167099988205401</v>
      </c>
      <c r="G1028" s="1">
        <f t="shared" ref="G1028:O1028" si="1244">G1029</f>
        <v>0.31173992026088865</v>
      </c>
      <c r="H1028" s="1">
        <f t="shared" si="1244"/>
        <v>0.20612431188343361</v>
      </c>
      <c r="I1028" s="1">
        <f t="shared" si="1244"/>
        <v>0.21457306733402651</v>
      </c>
      <c r="J1028" s="1">
        <f t="shared" si="1244"/>
        <v>0.22203902620556629</v>
      </c>
      <c r="K1028" s="1">
        <f t="shared" si="1244"/>
        <v>0.22761574129286474</v>
      </c>
      <c r="L1028" s="1">
        <f t="shared" si="1244"/>
        <v>0.2320629152431995</v>
      </c>
      <c r="M1028" s="1">
        <f t="shared" si="1244"/>
        <v>0.23560402864412916</v>
      </c>
      <c r="N1028" s="1">
        <f t="shared" si="1244"/>
        <v>0.23834363567954889</v>
      </c>
      <c r="O1028" s="1">
        <f t="shared" si="1244"/>
        <v>0.2408075368704278</v>
      </c>
      <c r="P1028" s="1">
        <f>P1029</f>
        <v>0.24079913134681036</v>
      </c>
      <c r="Q1028" s="1">
        <f>Q1029</f>
        <v>0.24085524853680212</v>
      </c>
      <c r="S1028" s="3"/>
    </row>
    <row r="1029" spans="2:19" x14ac:dyDescent="0.5">
      <c r="B1029" s="5" t="str">
        <f t="shared" si="1193"/>
        <v>SPS1</v>
      </c>
      <c r="C1029" s="5" t="str">
        <f t="shared" si="1194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0.27167099988205401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0.31173992026088865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0.20612431188343361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0.21457306733402651</v>
      </c>
      <c r="J1029" s="1" cm="1">
        <f t="array" ref="J1029">SUMPRODUCT(([1]OUT_FinalEnergyCons!$B$4:$B$10000="Var_Fin")*1, ISNUMBER(SEARCH("PLT",[1]OUT_FinalEnergyCons!$C$4:$C$10000))*1,(ISNUMBER(SEARCH("RH*-wHPLTBR",[1]OUT_FinalEnergyCons!$A$4:$A$10000)))*1,[1]OUT_FinalEnergyCons!H$4:H$10000)</f>
        <v>0.22203902620556629</v>
      </c>
      <c r="K1029" s="1" cm="1">
        <f t="array" ref="K1029">SUMPRODUCT(([1]OUT_FinalEnergyCons!$B$4:$B$10000="Var_Fin")*1, ISNUMBER(SEARCH("PLT",[1]OUT_FinalEnergyCons!$C$4:$C$10000))*1,(ISNUMBER(SEARCH("RH*-wHPLTBR",[1]OUT_FinalEnergyCons!$A$4:$A$10000)))*1,[1]OUT_FinalEnergyCons!I$4:I$10000)</f>
        <v>0.22761574129286474</v>
      </c>
      <c r="L1029" s="1" cm="1">
        <f t="array" ref="L1029">SUMPRODUCT(([1]OUT_FinalEnergyCons!$B$4:$B$10000="Var_Fin")*1, ISNUMBER(SEARCH("PLT",[1]OUT_FinalEnergyCons!$C$4:$C$10000))*1,(ISNUMBER(SEARCH("RH*-wHPLTBR",[1]OUT_FinalEnergyCons!$A$4:$A$10000)))*1,[1]OUT_FinalEnergyCons!J$4:J$10000)</f>
        <v>0.2320629152431995</v>
      </c>
      <c r="M1029" s="1" cm="1">
        <f t="array" ref="M1029">SUMPRODUCT(([1]OUT_FinalEnergyCons!$B$4:$B$10000="Var_Fin")*1, ISNUMBER(SEARCH("PLT",[1]OUT_FinalEnergyCons!$C$4:$C$10000))*1,(ISNUMBER(SEARCH("RH*-wHPLTBR",[1]OUT_FinalEnergyCons!$A$4:$A$10000)))*1,[1]OUT_FinalEnergyCons!K$4:K$10000)</f>
        <v>0.23560402864412916</v>
      </c>
      <c r="N1029" s="1" cm="1">
        <f t="array" ref="N1029">SUMPRODUCT(([1]OUT_FinalEnergyCons!$B$4:$B$10000="Var_Fin")*1, ISNUMBER(SEARCH("PLT",[1]OUT_FinalEnergyCons!$C$4:$C$10000))*1,(ISNUMBER(SEARCH("RH*-wHPLTBR",[1]OUT_FinalEnergyCons!$A$4:$A$10000)))*1,[1]OUT_FinalEnergyCons!L$4:L$10000)</f>
        <v>0.23834363567954889</v>
      </c>
      <c r="O1029" s="1" cm="1">
        <f t="array" ref="O1029">SUMPRODUCT(([1]OUT_FinalEnergyCons!$B$4:$B$10000="Var_Fin")*1, ISNUMBER(SEARCH("PLT",[1]OUT_FinalEnergyCons!$C$4:$C$10000))*1,(ISNUMBER(SEARCH("RH*-wHPLTBR",[1]OUT_FinalEnergyCons!$A$4:$A$10000)))*1,[1]OUT_FinalEnergyCons!M$4:M$10000)</f>
        <v>0.2408075368704278</v>
      </c>
      <c r="P1029" s="1" cm="1">
        <f t="array" ref="P1029">SUMPRODUCT(([1]OUT_FinalEnergyCons!$B$4:$B$10000="Var_Fin")*1, ISNUMBER(SEARCH("PLT",[1]OUT_FinalEnergyCons!$C$4:$C$10000))*1,(ISNUMBER(SEARCH("RH*-wHPLTBR",[1]OUT_FinalEnergyCons!$A$4:$A$10000)))*1,[1]OUT_FinalEnergyCons!N$4:N$10000)</f>
        <v>0.24079913134681036</v>
      </c>
      <c r="Q1029" s="1" cm="1">
        <f t="array" ref="Q1029">SUMPRODUCT(([1]OUT_FinalEnergyCons!$B$4:$B$10000="Var_Fin")*1, ISNUMBER(SEARCH("PLT",[1]OUT_FinalEnergyCons!$C$4:$C$10000))*1,(ISNUMBER(SEARCH("RH*-wHPLTBR",[1]OUT_FinalEnergyCons!$A$4:$A$10000)))*1,[1]OUT_FinalEnergyCons!O$4:O$10000)</f>
        <v>0.24085524853680212</v>
      </c>
      <c r="S1029" s="3"/>
    </row>
    <row r="1030" spans="2:19" x14ac:dyDescent="0.5">
      <c r="B1030" s="5" t="str">
        <f t="shared" si="1193"/>
        <v>SPS1</v>
      </c>
      <c r="C1030" s="5" t="str">
        <f t="shared" si="1194"/>
        <v>CH</v>
      </c>
      <c r="D1030" t="s">
        <v>1027</v>
      </c>
      <c r="E1030" t="s">
        <v>8</v>
      </c>
      <c r="F1030" s="1">
        <f>[1]Residential!B$23</f>
        <v>2.5068360520171904</v>
      </c>
      <c r="G1030" s="1">
        <f>[1]Residential!C$23</f>
        <v>2.9280713207545768</v>
      </c>
      <c r="H1030" s="1">
        <f>[1]Residential!D$23</f>
        <v>2.8889250493956413</v>
      </c>
      <c r="I1030" s="1">
        <f>[1]Residential!E$23</f>
        <v>2.4352123557918262</v>
      </c>
      <c r="J1030" s="1">
        <f>[1]Residential!F$23</f>
        <v>2.0221560109362291</v>
      </c>
      <c r="K1030" s="1">
        <f>[1]Residential!G$23</f>
        <v>1.9521554211103296</v>
      </c>
      <c r="L1030" s="1">
        <f>[1]Residential!H$23</f>
        <v>1.9532622281269316</v>
      </c>
      <c r="M1030" s="1">
        <f>[1]Residential!I$23</f>
        <v>1.8343465267012273</v>
      </c>
      <c r="N1030" s="1">
        <f>[1]Residential!J$23</f>
        <v>1.8086575639895048</v>
      </c>
      <c r="O1030" s="1">
        <f>[1]Residential!K$23</f>
        <v>1.6920057286469907</v>
      </c>
      <c r="P1030" s="1">
        <f>[1]Residential!L$23</f>
        <v>1.7142681447212529</v>
      </c>
      <c r="Q1030" s="1">
        <f>[1]Residential!M$23</f>
        <v>1.4535252473176601</v>
      </c>
      <c r="S1030" s="3"/>
    </row>
    <row r="1031" spans="2:19" x14ac:dyDescent="0.5">
      <c r="B1031" s="5" t="str">
        <f t="shared" si="1193"/>
        <v>SPS1</v>
      </c>
      <c r="C1031" s="5" t="str">
        <f t="shared" si="1194"/>
        <v>CH</v>
      </c>
      <c r="D1031" t="s">
        <v>1028</v>
      </c>
      <c r="E1031" t="s">
        <v>8</v>
      </c>
      <c r="F1031" s="1">
        <f>F1032</f>
        <v>0.78534802735733966</v>
      </c>
      <c r="G1031" s="1">
        <f t="shared" ref="G1031:O1031" si="1245">G1032</f>
        <v>0.94131657130400792</v>
      </c>
      <c r="H1031" s="1">
        <f t="shared" si="1245"/>
        <v>0.94352776768770097</v>
      </c>
      <c r="I1031" s="1">
        <f t="shared" si="1245"/>
        <v>0.94229273467038199</v>
      </c>
      <c r="J1031" s="1">
        <f t="shared" si="1245"/>
        <v>0.88975295717465852</v>
      </c>
      <c r="K1031" s="1">
        <f t="shared" si="1245"/>
        <v>0.85895223038055346</v>
      </c>
      <c r="L1031" s="1">
        <f t="shared" si="1245"/>
        <v>0.85944375991890287</v>
      </c>
      <c r="M1031" s="1">
        <f t="shared" si="1245"/>
        <v>0.80711994964393408</v>
      </c>
      <c r="N1031" s="1">
        <f t="shared" si="1245"/>
        <v>0.79581325605961495</v>
      </c>
      <c r="O1031" s="1">
        <f t="shared" si="1245"/>
        <v>0.74449595935046697</v>
      </c>
      <c r="P1031" s="1">
        <f>P1032</f>
        <v>0.75428810034018912</v>
      </c>
      <c r="Q1031" s="1">
        <f>Q1032</f>
        <v>0.63952408978068753</v>
      </c>
      <c r="S1031" s="3"/>
    </row>
    <row r="1032" spans="2:19" x14ac:dyDescent="0.5">
      <c r="B1032" s="5" t="str">
        <f t="shared" si="1193"/>
        <v>SPS1</v>
      </c>
      <c r="C1032" s="5" t="str">
        <f t="shared" si="1194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0.78534802735733966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0.94131657130400792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0.94352776768770097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0.94229273467038199</v>
      </c>
      <c r="J1032" s="1" cm="1">
        <f t="array" ref="J1032">SUMPRODUCT(([1]OUT_FinalEnergyCons!$B$4:$B$10000="Var_Fin")*1, ("SOL"=[1]OUT_FinalEnergyCons!$C$4:$C$10000)*1,(ISNUMBER(SEARCH("RH*-SHSOLBR",[1]OUT_FinalEnergyCons!$A$4:$A$10000)))*1,[1]OUT_FinalEnergyCons!H$4:H$10000)</f>
        <v>0.88975295717465852</v>
      </c>
      <c r="K1032" s="1" cm="1">
        <f t="array" ref="K1032">SUMPRODUCT(([1]OUT_FinalEnergyCons!$B$4:$B$10000="Var_Fin")*1, ("SOL"=[1]OUT_FinalEnergyCons!$C$4:$C$10000)*1,(ISNUMBER(SEARCH("RH*-SHSOLBR",[1]OUT_FinalEnergyCons!$A$4:$A$10000)))*1,[1]OUT_FinalEnergyCons!I$4:I$10000)</f>
        <v>0.85895223038055346</v>
      </c>
      <c r="L1032" s="1" cm="1">
        <f t="array" ref="L1032">SUMPRODUCT(([1]OUT_FinalEnergyCons!$B$4:$B$10000="Var_Fin")*1, ("SOL"=[1]OUT_FinalEnergyCons!$C$4:$C$10000)*1,(ISNUMBER(SEARCH("RH*-SHSOLBR",[1]OUT_FinalEnergyCons!$A$4:$A$10000)))*1,[1]OUT_FinalEnergyCons!J$4:J$10000)</f>
        <v>0.85944375991890287</v>
      </c>
      <c r="M1032" s="1" cm="1">
        <f t="array" ref="M1032">SUMPRODUCT(([1]OUT_FinalEnergyCons!$B$4:$B$10000="Var_Fin")*1, ("SOL"=[1]OUT_FinalEnergyCons!$C$4:$C$10000)*1,(ISNUMBER(SEARCH("RH*-SHSOLBR",[1]OUT_FinalEnergyCons!$A$4:$A$10000)))*1,[1]OUT_FinalEnergyCons!K$4:K$10000)</f>
        <v>0.80711994964393408</v>
      </c>
      <c r="N1032" s="1" cm="1">
        <f t="array" ref="N1032">SUMPRODUCT(([1]OUT_FinalEnergyCons!$B$4:$B$10000="Var_Fin")*1, ("SOL"=[1]OUT_FinalEnergyCons!$C$4:$C$10000)*1,(ISNUMBER(SEARCH("RH*-SHSOLBR",[1]OUT_FinalEnergyCons!$A$4:$A$10000)))*1,[1]OUT_FinalEnergyCons!L$4:L$10000)</f>
        <v>0.79581325605961495</v>
      </c>
      <c r="O1032" s="1" cm="1">
        <f t="array" ref="O1032">SUMPRODUCT(([1]OUT_FinalEnergyCons!$B$4:$B$10000="Var_Fin")*1, ("SOL"=[1]OUT_FinalEnergyCons!$C$4:$C$10000)*1,(ISNUMBER(SEARCH("RH*-SHSOLBR",[1]OUT_FinalEnergyCons!$A$4:$A$10000)))*1,[1]OUT_FinalEnergyCons!M$4:M$10000)</f>
        <v>0.74449595935046697</v>
      </c>
      <c r="P1032" s="1" cm="1">
        <f t="array" ref="P1032">SUMPRODUCT(([1]OUT_FinalEnergyCons!$B$4:$B$10000="Var_Fin")*1, ("SOL"=[1]OUT_FinalEnergyCons!$C$4:$C$10000)*1,(ISNUMBER(SEARCH("RH*-SHSOLBR",[1]OUT_FinalEnergyCons!$A$4:$A$10000)))*1,[1]OUT_FinalEnergyCons!N$4:N$10000)</f>
        <v>0.75428810034018912</v>
      </c>
      <c r="Q1032" s="1" cm="1">
        <f t="array" ref="Q1032">SUMPRODUCT(([1]OUT_FinalEnergyCons!$B$4:$B$10000="Var_Fin")*1, ("SOL"=[1]OUT_FinalEnergyCons!$C$4:$C$10000)*1,(ISNUMBER(SEARCH("RH*-SHSOLBR",[1]OUT_FinalEnergyCons!$A$4:$A$10000)))*1,[1]OUT_FinalEnergyCons!O$4:O$10000)</f>
        <v>0.63952408978068753</v>
      </c>
      <c r="S1032" s="3"/>
    </row>
    <row r="1033" spans="2:19" x14ac:dyDescent="0.5">
      <c r="B1033" s="5" t="str">
        <f t="shared" si="1193"/>
        <v>SPS1</v>
      </c>
      <c r="C1033" s="5" t="str">
        <f t="shared" si="1194"/>
        <v>CH</v>
      </c>
      <c r="D1033" t="s">
        <v>1029</v>
      </c>
      <c r="E1033" t="s">
        <v>8</v>
      </c>
      <c r="F1033" s="1">
        <f>F1030-F1031</f>
        <v>1.7214880246598507</v>
      </c>
      <c r="G1033" s="1">
        <f t="shared" ref="G1033:K1033" si="1246">G1030-G1031</f>
        <v>1.9867547494505688</v>
      </c>
      <c r="H1033" s="1">
        <f t="shared" si="1246"/>
        <v>1.9453972817079404</v>
      </c>
      <c r="I1033" s="1">
        <f t="shared" si="1246"/>
        <v>1.4929196211214442</v>
      </c>
      <c r="J1033" s="1">
        <f t="shared" si="1246"/>
        <v>1.1324030537615706</v>
      </c>
      <c r="K1033" s="1">
        <f t="shared" si="1246"/>
        <v>1.0932031907297761</v>
      </c>
      <c r="L1033" s="1">
        <f t="shared" ref="L1033:O1033" si="1247">L1030-L1031</f>
        <v>1.0938184682080287</v>
      </c>
      <c r="M1033" s="1">
        <f t="shared" si="1247"/>
        <v>1.0272265770572933</v>
      </c>
      <c r="N1033" s="1">
        <f t="shared" si="1247"/>
        <v>1.0128443079298899</v>
      </c>
      <c r="O1033" s="1">
        <f t="shared" si="1247"/>
        <v>0.94750976929652375</v>
      </c>
      <c r="P1033" s="1">
        <f>P1030-P1031</f>
        <v>0.95998004438106377</v>
      </c>
      <c r="Q1033" s="1">
        <f>Q1030-Q1031</f>
        <v>0.81400115753697255</v>
      </c>
      <c r="S1033" s="3"/>
    </row>
    <row r="1034" spans="2:19" x14ac:dyDescent="0.5">
      <c r="B1034" s="5" t="str">
        <f t="shared" si="1193"/>
        <v>SPS1</v>
      </c>
      <c r="C1034" s="5" t="str">
        <f t="shared" si="1194"/>
        <v>CH</v>
      </c>
      <c r="D1034" t="s">
        <v>743</v>
      </c>
      <c r="E1034" t="s">
        <v>8</v>
      </c>
      <c r="F1034" s="1">
        <f>F1033</f>
        <v>1.7214880246598507</v>
      </c>
      <c r="G1034" s="1">
        <f t="shared" ref="G1034:K1034" si="1248">G1033</f>
        <v>1.9867547494505688</v>
      </c>
      <c r="H1034" s="1">
        <f t="shared" si="1248"/>
        <v>1.9453972817079404</v>
      </c>
      <c r="I1034" s="1">
        <f t="shared" si="1248"/>
        <v>1.4929196211214442</v>
      </c>
      <c r="J1034" s="1">
        <f t="shared" si="1248"/>
        <v>1.1324030537615706</v>
      </c>
      <c r="K1034" s="1">
        <f t="shared" si="1248"/>
        <v>1.0932031907297761</v>
      </c>
      <c r="L1034" s="1">
        <f t="shared" ref="L1034:O1034" si="1249">L1033</f>
        <v>1.0938184682080287</v>
      </c>
      <c r="M1034" s="1">
        <f t="shared" si="1249"/>
        <v>1.0272265770572933</v>
      </c>
      <c r="N1034" s="1">
        <f t="shared" si="1249"/>
        <v>1.0128443079298899</v>
      </c>
      <c r="O1034" s="1">
        <f t="shared" si="1249"/>
        <v>0.94750976929652375</v>
      </c>
      <c r="P1034" s="1">
        <f>P1033</f>
        <v>0.95998004438106377</v>
      </c>
      <c r="Q1034" s="1">
        <f>Q1033</f>
        <v>0.81400115753697255</v>
      </c>
      <c r="S1034" s="3"/>
    </row>
    <row r="1035" spans="2:19" x14ac:dyDescent="0.5">
      <c r="B1035" s="5" t="str">
        <f t="shared" si="1193"/>
        <v>SPS1</v>
      </c>
      <c r="C1035" s="5" t="str">
        <f t="shared" si="1194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1.1057334021376151E-3</v>
      </c>
      <c r="J1035" s="1">
        <f>[1]Residential!F$24</f>
        <v>2.7249588877786388E-3</v>
      </c>
      <c r="K1035" s="1">
        <f>[1]Residential!G$24</f>
        <v>3.1816801768139637E-3</v>
      </c>
      <c r="L1035" s="1">
        <f>[1]Residential!H$24</f>
        <v>3.7657594888833739E-3</v>
      </c>
      <c r="M1035" s="1">
        <f>[1]Residential!I$24</f>
        <v>1.1119300125047905E-2</v>
      </c>
      <c r="N1035" s="1">
        <f>[1]Residential!J$24</f>
        <v>1.0283877683967841E-2</v>
      </c>
      <c r="O1035" s="1">
        <f>[1]Residential!K$24</f>
        <v>8.7496322223618125E-2</v>
      </c>
      <c r="P1035" s="1">
        <f>[1]Residential!L$24</f>
        <v>0.10740891107963882</v>
      </c>
      <c r="Q1035" s="1">
        <f>[1]Residential!M$24</f>
        <v>0.10141112135211247</v>
      </c>
      <c r="S1035" s="3"/>
    </row>
    <row r="1036" spans="2:19" x14ac:dyDescent="0.5">
      <c r="B1036" s="5" t="str">
        <f t="shared" si="1193"/>
        <v>SPS1</v>
      </c>
      <c r="C1036" s="5" t="str">
        <f t="shared" si="1194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250">G1035-G1038-G1040</f>
        <v>0</v>
      </c>
      <c r="H1036" s="1">
        <f t="shared" si="1250"/>
        <v>0</v>
      </c>
      <c r="I1036" s="1">
        <f t="shared" si="1250"/>
        <v>1.1057334021376151E-3</v>
      </c>
      <c r="J1036" s="1">
        <f t="shared" si="1250"/>
        <v>2.7249588877786388E-3</v>
      </c>
      <c r="K1036" s="1">
        <f t="shared" si="1250"/>
        <v>3.1816801768139637E-3</v>
      </c>
      <c r="L1036" s="1">
        <f t="shared" ref="L1036:O1036" si="1251">L1035-L1038-L1040</f>
        <v>3.7657594888833739E-3</v>
      </c>
      <c r="M1036" s="1">
        <f t="shared" si="1251"/>
        <v>1.1119300125047905E-2</v>
      </c>
      <c r="N1036" s="1">
        <f t="shared" si="1251"/>
        <v>1.0283877683967841E-2</v>
      </c>
      <c r="O1036" s="1">
        <f t="shared" si="1251"/>
        <v>8.7496322223618125E-2</v>
      </c>
      <c r="P1036" s="1">
        <f>P1035-P1038-P1040</f>
        <v>0.10740891107963882</v>
      </c>
      <c r="Q1036" s="1">
        <f>Q1035-Q1038-Q1040</f>
        <v>0.10141112135211247</v>
      </c>
      <c r="S1036" s="3"/>
    </row>
    <row r="1037" spans="2:19" x14ac:dyDescent="0.5">
      <c r="B1037" s="5" t="str">
        <f t="shared" si="1193"/>
        <v>SPS1</v>
      </c>
      <c r="C1037" s="5" t="str">
        <f t="shared" si="1194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252">G1038+G1040</f>
        <v>0</v>
      </c>
      <c r="H1037" s="1">
        <f t="shared" si="1252"/>
        <v>0</v>
      </c>
      <c r="I1037" s="1">
        <f t="shared" si="1252"/>
        <v>0</v>
      </c>
      <c r="J1037" s="1">
        <f t="shared" si="1252"/>
        <v>0</v>
      </c>
      <c r="K1037" s="1">
        <f t="shared" si="1252"/>
        <v>0</v>
      </c>
      <c r="L1037" s="1">
        <f t="shared" ref="L1037:O1037" si="1253">L1038+L1040</f>
        <v>0</v>
      </c>
      <c r="M1037" s="1">
        <f t="shared" si="1253"/>
        <v>0</v>
      </c>
      <c r="N1037" s="1">
        <f t="shared" si="1253"/>
        <v>0</v>
      </c>
      <c r="O1037" s="1">
        <f t="shared" si="1253"/>
        <v>0</v>
      </c>
      <c r="P1037" s="1">
        <f>P1038+P1040</f>
        <v>0</v>
      </c>
      <c r="Q1037" s="1">
        <f>Q1038+Q1040</f>
        <v>0</v>
      </c>
      <c r="S1037" s="3"/>
    </row>
    <row r="1038" spans="2:19" x14ac:dyDescent="0.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O1038" si="1254">G1039</f>
        <v>0</v>
      </c>
      <c r="H1038" s="1">
        <f t="shared" si="1254"/>
        <v>0</v>
      </c>
      <c r="I1038" s="1">
        <f t="shared" si="1254"/>
        <v>0</v>
      </c>
      <c r="J1038" s="1">
        <f t="shared" si="1254"/>
        <v>0</v>
      </c>
      <c r="K1038" s="1">
        <f t="shared" si="1254"/>
        <v>0</v>
      </c>
      <c r="L1038" s="1">
        <f t="shared" si="1254"/>
        <v>0</v>
      </c>
      <c r="M1038" s="1">
        <f t="shared" si="1254"/>
        <v>0</v>
      </c>
      <c r="N1038" s="1">
        <f t="shared" si="1254"/>
        <v>0</v>
      </c>
      <c r="O1038" s="1">
        <f t="shared" si="1254"/>
        <v>0</v>
      </c>
      <c r="P1038" s="1">
        <f>P1039</f>
        <v>0</v>
      </c>
      <c r="Q1038" s="1">
        <f>Q1039</f>
        <v>0</v>
      </c>
      <c r="S1038" s="3"/>
    </row>
    <row r="1039" spans="2:19" x14ac:dyDescent="0.5">
      <c r="B1039" s="5" t="str">
        <f t="shared" si="1193"/>
        <v>SPS1</v>
      </c>
      <c r="C1039" s="5" t="str">
        <f t="shared" si="1194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SUMPRODUCT(([1]OUT_FinalEnergyCons!$B$4:$B$10000="Var_Fin")*1, ISNUMBER(SEARCH("RSH2",[1]OUT_FinalEnergyCons!$C$4:$C$10000))*1,(ISNUMBER(SEARCH("RH*-SHH2BR",[1]OUT_FinalEnergyCons!$A$4:$A$10000)))*1,[1]OUT_FinalEnergyCons!H$4:H$10000)</f>
        <v>0</v>
      </c>
      <c r="K1039" s="1" cm="1">
        <f t="array" ref="K1039">SUMPRODUCT(([1]OUT_FinalEnergyCons!$B$4:$B$10000="Var_Fin")*1, ISNUMBER(SEARCH("RSH2",[1]OUT_FinalEnergyCons!$C$4:$C$10000))*1,(ISNUMBER(SEARCH("RH*-SHH2BR",[1]OUT_FinalEnergyCons!$A$4:$A$10000)))*1,[1]OUT_FinalEnergyCons!I$4:I$10000)</f>
        <v>0</v>
      </c>
      <c r="L1039" s="1" cm="1">
        <f t="array" ref="L1039">SUMPRODUCT(([1]OUT_FinalEnergyCons!$B$4:$B$10000="Var_Fin")*1, ISNUMBER(SEARCH("RSH2",[1]OUT_FinalEnergyCons!$C$4:$C$10000))*1,(ISNUMBER(SEARCH("RH*-SHH2BR",[1]OUT_FinalEnergyCons!$A$4:$A$10000)))*1,[1]OUT_FinalEnergyCons!J$4:J$10000)</f>
        <v>0</v>
      </c>
      <c r="M1039" s="1" cm="1">
        <f t="array" ref="M1039">SUMPRODUCT(([1]OUT_FinalEnergyCons!$B$4:$B$10000="Var_Fin")*1, ISNUMBER(SEARCH("RSH2",[1]OUT_FinalEnergyCons!$C$4:$C$10000))*1,(ISNUMBER(SEARCH("RH*-SHH2BR",[1]OUT_FinalEnergyCons!$A$4:$A$10000)))*1,[1]OUT_FinalEnergyCons!K$4:K$10000)</f>
        <v>0</v>
      </c>
      <c r="N1039" s="1" cm="1">
        <f t="array" ref="N1039">SUMPRODUCT(([1]OUT_FinalEnergyCons!$B$4:$B$10000="Var_Fin")*1, ISNUMBER(SEARCH("RSH2",[1]OUT_FinalEnergyCons!$C$4:$C$10000))*1,(ISNUMBER(SEARCH("RH*-SHH2BR",[1]OUT_FinalEnergyCons!$A$4:$A$10000)))*1,[1]OUT_FinalEnergyCons!L$4:L$10000)</f>
        <v>0</v>
      </c>
      <c r="O1039" s="1" cm="1">
        <f t="array" ref="O1039">SUMPRODUCT(([1]OUT_FinalEnergyCons!$B$4:$B$10000="Var_Fin")*1, ISNUMBER(SEARCH("RSH2",[1]OUT_FinalEnergyCons!$C$4:$C$10000))*1,(ISNUMBER(SEARCH("RH*-SHH2BR",[1]OUT_FinalEnergyCons!$A$4:$A$10000)))*1,[1]OUT_FinalEnergyCons!M$4:M$10000)</f>
        <v>0</v>
      </c>
      <c r="P1039" s="1" cm="1">
        <f t="array" ref="P1039">SUMPRODUCT(([1]OUT_FinalEnergyCons!$B$4:$B$10000="Var_Fin")*1, ISNUMBER(SEARCH("RSH2",[1]OUT_FinalEnergyCons!$C$4:$C$10000))*1,(ISNUMBER(SEARCH("RH*-SHH2BR",[1]OUT_FinalEnergyCons!$A$4:$A$10000)))*1,[1]OUT_FinalEnergyCons!N$4:N$10000)</f>
        <v>0</v>
      </c>
      <c r="Q1039" s="1" cm="1">
        <f t="array" ref="Q1039">SUMPRODUCT(([1]OUT_FinalEnergyCons!$B$4:$B$10000="Var_Fin")*1, ISNUMBER(SEARCH("RSH2",[1]OUT_FinalEnergyCons!$C$4:$C$10000))*1,(ISNUMBER(SEARCH("RH*-SHH2BR",[1]OUT_FinalEnergyCons!$A$4:$A$10000)))*1,[1]OUT_FinalEnergyCons!O$4:O$10000)</f>
        <v>0</v>
      </c>
      <c r="S1039" s="3"/>
    </row>
    <row r="1040" spans="2:19" x14ac:dyDescent="0.5">
      <c r="B1040" s="5" t="str">
        <f t="shared" si="1193"/>
        <v>SPS1</v>
      </c>
      <c r="C1040" s="5" t="str">
        <f t="shared" si="1194"/>
        <v>CH</v>
      </c>
      <c r="D1040" t="s">
        <v>1033</v>
      </c>
      <c r="E1040" t="s">
        <v>8</v>
      </c>
      <c r="F1040" s="1">
        <f>F1041</f>
        <v>0</v>
      </c>
      <c r="G1040" s="1">
        <f t="shared" ref="G1040:O1040" si="1255">G1041</f>
        <v>0</v>
      </c>
      <c r="H1040" s="1">
        <f t="shared" si="1255"/>
        <v>0</v>
      </c>
      <c r="I1040" s="1">
        <f t="shared" si="1255"/>
        <v>0</v>
      </c>
      <c r="J1040" s="1">
        <f t="shared" si="1255"/>
        <v>0</v>
      </c>
      <c r="K1040" s="1">
        <f t="shared" si="1255"/>
        <v>0</v>
      </c>
      <c r="L1040" s="1">
        <f t="shared" si="1255"/>
        <v>0</v>
      </c>
      <c r="M1040" s="1">
        <f t="shared" si="1255"/>
        <v>0</v>
      </c>
      <c r="N1040" s="1">
        <f t="shared" si="1255"/>
        <v>0</v>
      </c>
      <c r="O1040" s="1">
        <f t="shared" si="1255"/>
        <v>0</v>
      </c>
      <c r="P1040" s="1">
        <f>P1041</f>
        <v>0</v>
      </c>
      <c r="Q1040" s="1">
        <f>Q1041</f>
        <v>0</v>
      </c>
      <c r="S1040" s="3"/>
    </row>
    <row r="1041" spans="2:19" x14ac:dyDescent="0.5">
      <c r="B1041" s="5" t="str">
        <f t="shared" si="1193"/>
        <v>SPS1</v>
      </c>
      <c r="C1041" s="5" t="str">
        <f t="shared" si="1194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SUMPRODUCT(([1]OUT_FinalEnergyCons!$B$4:$B$10000="Var_Fin")*1, ISNUMBER(SEARCH("RSH2",[1]OUT_FinalEnergyCons!$C$4:$C$10000))*1,(ISNUMBER(SEARCH("RH*-wHH2BR",[1]OUT_FinalEnergyCons!$A$4:$A$10000)))*1,[1]OUT_FinalEnergyCons!H$4:H$10000)</f>
        <v>0</v>
      </c>
      <c r="K1041" s="1" cm="1">
        <f t="array" ref="K1041">SUMPRODUCT(([1]OUT_FinalEnergyCons!$B$4:$B$10000="Var_Fin")*1, ISNUMBER(SEARCH("RSH2",[1]OUT_FinalEnergyCons!$C$4:$C$10000))*1,(ISNUMBER(SEARCH("RH*-wHH2BR",[1]OUT_FinalEnergyCons!$A$4:$A$10000)))*1,[1]OUT_FinalEnergyCons!I$4:I$10000)</f>
        <v>0</v>
      </c>
      <c r="L1041" s="1" cm="1">
        <f t="array" ref="L1041">SUMPRODUCT(([1]OUT_FinalEnergyCons!$B$4:$B$10000="Var_Fin")*1, ISNUMBER(SEARCH("RSH2",[1]OUT_FinalEnergyCons!$C$4:$C$10000))*1,(ISNUMBER(SEARCH("RH*-wHH2BR",[1]OUT_FinalEnergyCons!$A$4:$A$10000)))*1,[1]OUT_FinalEnergyCons!J$4:J$10000)</f>
        <v>0</v>
      </c>
      <c r="M1041" s="1" cm="1">
        <f t="array" ref="M1041">SUMPRODUCT(([1]OUT_FinalEnergyCons!$B$4:$B$10000="Var_Fin")*1, ISNUMBER(SEARCH("RSH2",[1]OUT_FinalEnergyCons!$C$4:$C$10000))*1,(ISNUMBER(SEARCH("RH*-wHH2BR",[1]OUT_FinalEnergyCons!$A$4:$A$10000)))*1,[1]OUT_FinalEnergyCons!K$4:K$10000)</f>
        <v>0</v>
      </c>
      <c r="N1041" s="1" cm="1">
        <f t="array" ref="N1041">SUMPRODUCT(([1]OUT_FinalEnergyCons!$B$4:$B$10000="Var_Fin")*1, ISNUMBER(SEARCH("RSH2",[1]OUT_FinalEnergyCons!$C$4:$C$10000))*1,(ISNUMBER(SEARCH("RH*-wHH2BR",[1]OUT_FinalEnergyCons!$A$4:$A$10000)))*1,[1]OUT_FinalEnergyCons!L$4:L$10000)</f>
        <v>0</v>
      </c>
      <c r="O1041" s="1" cm="1">
        <f t="array" ref="O1041">SUMPRODUCT(([1]OUT_FinalEnergyCons!$B$4:$B$10000="Var_Fin")*1, ISNUMBER(SEARCH("RSH2",[1]OUT_FinalEnergyCons!$C$4:$C$10000))*1,(ISNUMBER(SEARCH("RH*-wHH2BR",[1]OUT_FinalEnergyCons!$A$4:$A$10000)))*1,[1]OUT_FinalEnergyCons!M$4:M$10000)</f>
        <v>0</v>
      </c>
      <c r="P1041" s="1" cm="1">
        <f t="array" ref="P1041">SUMPRODUCT(([1]OUT_FinalEnergyCons!$B$4:$B$10000="Var_Fin")*1, ISNUMBER(SEARCH("RSH2",[1]OUT_FinalEnergyCons!$C$4:$C$10000))*1,(ISNUMBER(SEARCH("RH*-wHH2BR",[1]OUT_FinalEnergyCons!$A$4:$A$10000)))*1,[1]OUT_FinalEnergyCons!N$4:N$10000)</f>
        <v>0</v>
      </c>
      <c r="Q1041" s="1" cm="1">
        <f t="array" ref="Q1041">SUMPRODUCT(([1]OUT_FinalEnergyCons!$B$4:$B$10000="Var_Fin")*1, ISNUMBER(SEARCH("RSH2",[1]OUT_FinalEnergyCons!$C$4:$C$10000))*1,(ISNUMBER(SEARCH("RH*-wHH2BR",[1]OUT_FinalEnergyCons!$A$4:$A$10000)))*1,[1]OUT_FinalEnergyCons!O$4:O$10000)</f>
        <v>0</v>
      </c>
      <c r="S1041" s="3"/>
    </row>
    <row r="1042" spans="2:19" x14ac:dyDescent="0.5">
      <c r="B1042" s="5" t="str">
        <f t="shared" si="1193"/>
        <v>SPS1</v>
      </c>
      <c r="C1042" s="5" t="str">
        <f t="shared" si="1194"/>
        <v>CH</v>
      </c>
      <c r="D1042" t="s">
        <v>1034</v>
      </c>
      <c r="E1042" t="s">
        <v>8</v>
      </c>
      <c r="F1042" s="1">
        <f>[1]Residential!B$21</f>
        <v>5.740300490556308</v>
      </c>
      <c r="G1042" s="1">
        <f>[1]Residential!C$21</f>
        <v>9.6715944856576108</v>
      </c>
      <c r="H1042" s="1">
        <f>[1]Residential!D$21</f>
        <v>10.29477031777281</v>
      </c>
      <c r="I1042" s="1">
        <f>[1]Residential!E$21</f>
        <v>10.19821100530581</v>
      </c>
      <c r="J1042" s="1">
        <f>[1]Residential!F$21</f>
        <v>10.344702264893199</v>
      </c>
      <c r="K1042" s="1">
        <f>[1]Residential!G$21</f>
        <v>11.265951582462975</v>
      </c>
      <c r="L1042" s="1">
        <f>[1]Residential!H$21</f>
        <v>10.507946125939778</v>
      </c>
      <c r="M1042" s="1">
        <f>[1]Residential!I$21</f>
        <v>11.286586415817508</v>
      </c>
      <c r="N1042" s="1">
        <f>[1]Residential!J$21</f>
        <v>11.081581121514096</v>
      </c>
      <c r="O1042" s="1">
        <f>[1]Residential!K$21</f>
        <v>10.602801228622599</v>
      </c>
      <c r="P1042" s="1">
        <f>[1]Residential!L$21</f>
        <v>10.927996055042529</v>
      </c>
      <c r="Q1042" s="1">
        <f>[1]Residential!M$21</f>
        <v>9.9422012832336701</v>
      </c>
      <c r="S1042" s="3"/>
    </row>
    <row r="1043" spans="2:19" x14ac:dyDescent="0.5">
      <c r="B1043" s="5" t="str">
        <f t="shared" si="1193"/>
        <v>SPS1</v>
      </c>
      <c r="C1043" s="5" t="str">
        <f t="shared" si="1194"/>
        <v>CH</v>
      </c>
      <c r="D1043" t="s">
        <v>1035</v>
      </c>
      <c r="E1043" t="s">
        <v>8</v>
      </c>
      <c r="F1043" s="1">
        <f>SUM(F1044:F1046)</f>
        <v>9.48001778293701E-2</v>
      </c>
      <c r="G1043" s="1">
        <f t="shared" ref="G1043:K1043" si="1256">SUM(G1044:G1046)</f>
        <v>5.8104348180716602E-2</v>
      </c>
      <c r="H1043" s="1">
        <f t="shared" si="1256"/>
        <v>0.24475718014629116</v>
      </c>
      <c r="I1043" s="1">
        <f t="shared" si="1256"/>
        <v>1.3377017001252733</v>
      </c>
      <c r="J1043" s="1">
        <f t="shared" si="1256"/>
        <v>1.4059689770052786</v>
      </c>
      <c r="K1043" s="1">
        <f t="shared" si="1256"/>
        <v>1.5573780288766759</v>
      </c>
      <c r="L1043" s="1">
        <f t="shared" ref="L1043:O1043" si="1257">SUM(L1044:L1046)</f>
        <v>1.4132430221429459</v>
      </c>
      <c r="M1043" s="1">
        <f t="shared" si="1257"/>
        <v>1.5670991235811567</v>
      </c>
      <c r="N1043" s="1">
        <f t="shared" si="1257"/>
        <v>1.5211016320417063</v>
      </c>
      <c r="O1043" s="1">
        <f t="shared" si="1257"/>
        <v>1.4794573163968505</v>
      </c>
      <c r="P1043" s="1">
        <f>SUM(P1044:P1046)</f>
        <v>1.5231363259649671</v>
      </c>
      <c r="Q1043" s="1">
        <f>SUM(Q1044:Q1046)</f>
        <v>1.4839632929332047</v>
      </c>
      <c r="S1043" s="3"/>
    </row>
    <row r="1044" spans="2:19" x14ac:dyDescent="0.5">
      <c r="B1044" s="5" t="str">
        <f t="shared" si="1193"/>
        <v>SPS1</v>
      </c>
      <c r="C1044" s="5" t="str">
        <f t="shared" si="1194"/>
        <v>CH</v>
      </c>
      <c r="D1044" t="s">
        <v>749</v>
      </c>
      <c r="E1044" t="s">
        <v>8</v>
      </c>
      <c r="F1044" s="1">
        <f t="shared" ref="F1044:K1045" si="1258">SUM(F244,F246)</f>
        <v>9.48001778293701E-2</v>
      </c>
      <c r="G1044" s="1">
        <f t="shared" si="1258"/>
        <v>5.8104348180716602E-2</v>
      </c>
      <c r="H1044" s="1">
        <f t="shared" si="1258"/>
        <v>0.24475718014629116</v>
      </c>
      <c r="I1044" s="1">
        <f t="shared" si="1258"/>
        <v>1.3240709668171746</v>
      </c>
      <c r="J1044" s="1">
        <f t="shared" si="1258"/>
        <v>1.3857356332402442</v>
      </c>
      <c r="K1044" s="1">
        <f t="shared" si="1258"/>
        <v>1.5384763217569963</v>
      </c>
      <c r="L1044" s="1">
        <f t="shared" ref="L1044:O1044" si="1259">SUM(L244,L246)</f>
        <v>1.3941618676327208</v>
      </c>
      <c r="M1044" s="1">
        <f t="shared" si="1259"/>
        <v>1.5178004619211476</v>
      </c>
      <c r="N1044" s="1">
        <f t="shared" si="1259"/>
        <v>1.4742592897461231</v>
      </c>
      <c r="O1044" s="1">
        <f t="shared" si="1259"/>
        <v>1.4326739958623196</v>
      </c>
      <c r="P1044" s="1">
        <f>SUM(P244,P246)</f>
        <v>1.484674284066847</v>
      </c>
      <c r="Q1044" s="1">
        <f>SUM(Q244,Q246)</f>
        <v>1.4110285431365774</v>
      </c>
      <c r="S1044" s="3"/>
    </row>
    <row r="1045" spans="2:19" x14ac:dyDescent="0.5">
      <c r="B1045" s="5" t="str">
        <f t="shared" si="1193"/>
        <v>SPS1</v>
      </c>
      <c r="C1045" s="5" t="str">
        <f t="shared" si="1194"/>
        <v>CH</v>
      </c>
      <c r="D1045" t="s">
        <v>750</v>
      </c>
      <c r="E1045" t="s">
        <v>8</v>
      </c>
      <c r="F1045" s="1">
        <f t="shared" si="1258"/>
        <v>0</v>
      </c>
      <c r="G1045" s="1">
        <f t="shared" si="1258"/>
        <v>0</v>
      </c>
      <c r="H1045" s="1">
        <f t="shared" si="1258"/>
        <v>0</v>
      </c>
      <c r="I1045" s="1">
        <f t="shared" si="1258"/>
        <v>0</v>
      </c>
      <c r="J1045" s="1">
        <f t="shared" si="1258"/>
        <v>0</v>
      </c>
      <c r="K1045" s="1">
        <f t="shared" si="1258"/>
        <v>0</v>
      </c>
      <c r="L1045" s="1">
        <f t="shared" ref="L1045:O1045" si="1260">SUM(L245,L247)</f>
        <v>0</v>
      </c>
      <c r="M1045" s="1">
        <f t="shared" si="1260"/>
        <v>0</v>
      </c>
      <c r="N1045" s="1">
        <f t="shared" si="1260"/>
        <v>0</v>
      </c>
      <c r="O1045" s="1">
        <f t="shared" si="1260"/>
        <v>0</v>
      </c>
      <c r="P1045" s="1">
        <f>SUM(P245,P247)</f>
        <v>0</v>
      </c>
      <c r="Q1045" s="1">
        <f>SUM(Q245,Q247)</f>
        <v>0</v>
      </c>
      <c r="S1045" s="3"/>
    </row>
    <row r="1046" spans="2:19" x14ac:dyDescent="0.5">
      <c r="B1046" s="5" t="str">
        <f t="shared" si="1193"/>
        <v>SPS1</v>
      </c>
      <c r="C1046" s="5" t="str">
        <f t="shared" si="1194"/>
        <v>CH</v>
      </c>
      <c r="D1046" t="s">
        <v>751</v>
      </c>
      <c r="E1046" t="s">
        <v>8</v>
      </c>
      <c r="F1046" s="1">
        <f t="shared" ref="F1046:K1046" si="1261">SUM(F285,F286)</f>
        <v>0</v>
      </c>
      <c r="G1046" s="1">
        <f t="shared" si="1261"/>
        <v>0</v>
      </c>
      <c r="H1046" s="1">
        <f t="shared" si="1261"/>
        <v>0</v>
      </c>
      <c r="I1046" s="1">
        <f t="shared" si="1261"/>
        <v>1.3630733308098629E-2</v>
      </c>
      <c r="J1046" s="1">
        <f t="shared" si="1261"/>
        <v>2.0233343765034349E-2</v>
      </c>
      <c r="K1046" s="1">
        <f t="shared" si="1261"/>
        <v>1.8901707119679589E-2</v>
      </c>
      <c r="L1046" s="1">
        <f t="shared" ref="L1046:O1046" si="1262">SUM(L285,L286)</f>
        <v>1.9081154510225143E-2</v>
      </c>
      <c r="M1046" s="1">
        <f t="shared" si="1262"/>
        <v>4.9298661660008958E-2</v>
      </c>
      <c r="N1046" s="1">
        <f t="shared" si="1262"/>
        <v>4.6842342295583157E-2</v>
      </c>
      <c r="O1046" s="1">
        <f t="shared" si="1262"/>
        <v>4.6783320534530874E-2</v>
      </c>
      <c r="P1046" s="1">
        <f>SUM(P285,P286)</f>
        <v>3.8462041898120164E-2</v>
      </c>
      <c r="Q1046" s="1">
        <f>SUM(Q285,Q286)</f>
        <v>7.2934749796627257E-2</v>
      </c>
      <c r="S1046" s="3"/>
    </row>
    <row r="1047" spans="2:19" x14ac:dyDescent="0.5">
      <c r="B1047" s="5" t="str">
        <f t="shared" si="1193"/>
        <v>SPS1</v>
      </c>
      <c r="C1047" s="5" t="str">
        <f t="shared" si="1194"/>
        <v>CH</v>
      </c>
      <c r="D1047" t="s">
        <v>1036</v>
      </c>
      <c r="E1047" t="s">
        <v>8</v>
      </c>
      <c r="F1047" s="1">
        <f>F1042-F1043</f>
        <v>5.6455003127269379</v>
      </c>
      <c r="G1047" s="1">
        <f t="shared" ref="G1047:K1047" si="1263">G1042-G1043</f>
        <v>9.6134901374768944</v>
      </c>
      <c r="H1047" s="1">
        <f t="shared" si="1263"/>
        <v>10.05001313762652</v>
      </c>
      <c r="I1047" s="1">
        <f t="shared" si="1263"/>
        <v>8.8605093051805355</v>
      </c>
      <c r="J1047" s="1">
        <f t="shared" si="1263"/>
        <v>8.9387332878879207</v>
      </c>
      <c r="K1047" s="1">
        <f t="shared" si="1263"/>
        <v>9.7085735535862998</v>
      </c>
      <c r="L1047" s="1">
        <f t="shared" ref="L1047:O1047" si="1264">L1042-L1043</f>
        <v>9.0947031037968316</v>
      </c>
      <c r="M1047" s="1">
        <f t="shared" si="1264"/>
        <v>9.7194872922363515</v>
      </c>
      <c r="N1047" s="1">
        <f t="shared" si="1264"/>
        <v>9.5604794894723906</v>
      </c>
      <c r="O1047" s="1">
        <f t="shared" si="1264"/>
        <v>9.1233439122257494</v>
      </c>
      <c r="P1047" s="1">
        <f>P1042-P1043</f>
        <v>9.4048597290775611</v>
      </c>
      <c r="Q1047" s="1">
        <f>Q1042-Q1043</f>
        <v>8.4582379903004661</v>
      </c>
      <c r="S1047" s="3"/>
    </row>
    <row r="1048" spans="2:19" x14ac:dyDescent="0.5">
      <c r="B1048" s="5" t="str">
        <f t="shared" si="1193"/>
        <v>SPS1</v>
      </c>
      <c r="C1048" s="5" t="str">
        <f t="shared" si="1194"/>
        <v>CH</v>
      </c>
      <c r="D1048" t="s">
        <v>1037</v>
      </c>
      <c r="E1048" t="s">
        <v>8</v>
      </c>
      <c r="F1048" s="1">
        <f>[1]Residential!B$25</f>
        <v>15.195013043021319</v>
      </c>
      <c r="G1048" s="1">
        <f>[1]Residential!C$25</f>
        <v>18.072085519244727</v>
      </c>
      <c r="H1048" s="1">
        <f>[1]Residential!D$25</f>
        <v>20.424675993234491</v>
      </c>
      <c r="I1048" s="1">
        <f>[1]Residential!E$25</f>
        <v>22.986558145743654</v>
      </c>
      <c r="J1048" s="1">
        <f>[1]Residential!F$25</f>
        <v>29.273925941198609</v>
      </c>
      <c r="K1048" s="1">
        <f>[1]Residential!G$25</f>
        <v>31.416681665221741</v>
      </c>
      <c r="L1048" s="1">
        <f>[1]Residential!H$25</f>
        <v>32.785783974737818</v>
      </c>
      <c r="M1048" s="1">
        <f>[1]Residential!I$25</f>
        <v>35.400113328473353</v>
      </c>
      <c r="N1048" s="1">
        <f>[1]Residential!J$25</f>
        <v>37.22430419241654</v>
      </c>
      <c r="O1048" s="1">
        <f>[1]Residential!K$25</f>
        <v>37.636655211672831</v>
      </c>
      <c r="P1048" s="1">
        <f>[1]Residential!L$25</f>
        <v>39.169702638184418</v>
      </c>
      <c r="Q1048" s="1">
        <f>[1]Residential!M$25</f>
        <v>40.12196251614246</v>
      </c>
      <c r="S1048" s="3"/>
    </row>
    <row r="1049" spans="2:19" x14ac:dyDescent="0.5">
      <c r="B1049" s="5" t="str">
        <f t="shared" si="1193"/>
        <v>SPS1</v>
      </c>
      <c r="C1049" s="5" t="str">
        <f t="shared" si="1194"/>
        <v>CH</v>
      </c>
      <c r="D1049" t="s">
        <v>1038</v>
      </c>
      <c r="E1049" t="s">
        <v>8</v>
      </c>
      <c r="F1049" s="1">
        <f>F1048-F1052</f>
        <v>13.104004564979377</v>
      </c>
      <c r="G1049" s="1">
        <f t="shared" ref="G1049:K1049" si="1265">G1048-G1052</f>
        <v>15.723050742141902</v>
      </c>
      <c r="H1049" s="1">
        <f t="shared" si="1265"/>
        <v>17.227369620564055</v>
      </c>
      <c r="I1049" s="1">
        <f t="shared" si="1265"/>
        <v>19.095736475016697</v>
      </c>
      <c r="J1049" s="1">
        <f t="shared" si="1265"/>
        <v>23.931007180219964</v>
      </c>
      <c r="K1049" s="1">
        <f t="shared" si="1265"/>
        <v>25.463265352808421</v>
      </c>
      <c r="L1049" s="1">
        <f t="shared" ref="L1049:O1049" si="1266">L1048-L1052</f>
        <v>26.328355285727334</v>
      </c>
      <c r="M1049" s="1">
        <f t="shared" si="1266"/>
        <v>28.349893892905556</v>
      </c>
      <c r="N1049" s="1">
        <f t="shared" si="1266"/>
        <v>28.684112338526695</v>
      </c>
      <c r="O1049" s="1">
        <f t="shared" si="1266"/>
        <v>28.924916745388916</v>
      </c>
      <c r="P1049" s="1">
        <f>P1048-P1052</f>
        <v>30.918777758463776</v>
      </c>
      <c r="Q1049" s="1">
        <f>Q1048-Q1052</f>
        <v>30.924616156015666</v>
      </c>
      <c r="S1049" s="3"/>
    </row>
    <row r="1050" spans="2:19" x14ac:dyDescent="0.5">
      <c r="B1050" s="5" t="str">
        <f t="shared" si="1193"/>
        <v>SPS1</v>
      </c>
      <c r="C1050" s="5" t="str">
        <f t="shared" si="1194"/>
        <v>CH</v>
      </c>
      <c r="D1050" t="s">
        <v>752</v>
      </c>
      <c r="E1050" t="s">
        <v>8</v>
      </c>
      <c r="F1050" s="1">
        <f>F1049-F1051</f>
        <v>13.104004564979377</v>
      </c>
      <c r="G1050" s="1">
        <f t="shared" ref="G1050:K1050" si="1267">G1049-G1051</f>
        <v>15.723050742141902</v>
      </c>
      <c r="H1050" s="1">
        <f t="shared" si="1267"/>
        <v>17.220502995826752</v>
      </c>
      <c r="I1050" s="1">
        <f t="shared" si="1267"/>
        <v>19.088439415408445</v>
      </c>
      <c r="J1050" s="1">
        <f t="shared" si="1267"/>
        <v>22.589711194113391</v>
      </c>
      <c r="K1050" s="1">
        <f t="shared" si="1267"/>
        <v>22.866251617901519</v>
      </c>
      <c r="L1050" s="1">
        <f t="shared" ref="L1050:O1050" si="1268">L1049-L1051</f>
        <v>23.089172931510188</v>
      </c>
      <c r="M1050" s="1">
        <f t="shared" si="1268"/>
        <v>23.512055689002946</v>
      </c>
      <c r="N1050" s="1">
        <f t="shared" si="1268"/>
        <v>23.512067874343849</v>
      </c>
      <c r="O1050" s="1">
        <f t="shared" si="1268"/>
        <v>23.512185125104825</v>
      </c>
      <c r="P1050" s="1">
        <f>P1049-P1051</f>
        <v>23.513104127091999</v>
      </c>
      <c r="Q1050" s="1">
        <f>Q1049-Q1051</f>
        <v>23.513326706822024</v>
      </c>
      <c r="S1050" s="3"/>
    </row>
    <row r="1051" spans="2:19" x14ac:dyDescent="0.5">
      <c r="B1051" s="5" t="str">
        <f t="shared" si="1193"/>
        <v>SPS1</v>
      </c>
      <c r="C1051" s="5" t="str">
        <f t="shared" si="1194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6.8666247373034284E-3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7.297059608251848E-3</v>
      </c>
      <c r="J1051" s="1" cm="1">
        <f t="array" ref="J1051">SUMPRODUCT(([1]OUT_FinalEnergyCons!$B$4:$B$10000="Var_FOut")*1, ISNUMBER(SEARCH("RH*SHANGAH",[1]OUT_FinalEnergyCons!$C$4:$C$10000))*1,ISNUMBER(SEARCH("RH*-SHngahp",[1]OUT_FinalEnergyCons!$A$4:$A$10000))*1,[1]OUT_FinalEnergyCons!H$4:H$10000)-J999</f>
        <v>1.3412959861065725</v>
      </c>
      <c r="K1051" s="1" cm="1">
        <f t="array" ref="K1051">SUMPRODUCT(([1]OUT_FinalEnergyCons!$B$4:$B$10000="Var_FOut")*1, ISNUMBER(SEARCH("RH*SHANGAH",[1]OUT_FinalEnergyCons!$C$4:$C$10000))*1,ISNUMBER(SEARCH("RH*-SHngahp",[1]OUT_FinalEnergyCons!$A$4:$A$10000))*1,[1]OUT_FinalEnergyCons!I$4:I$10000)-K999</f>
        <v>2.5970137349069016</v>
      </c>
      <c r="L1051" s="1" cm="1">
        <f t="array" ref="L1051">SUMPRODUCT(([1]OUT_FinalEnergyCons!$B$4:$B$10000="Var_FOut")*1, ISNUMBER(SEARCH("RH*SHANGAH",[1]OUT_FinalEnergyCons!$C$4:$C$10000))*1,ISNUMBER(SEARCH("RH*-SHngahp",[1]OUT_FinalEnergyCons!$A$4:$A$10000))*1,[1]OUT_FinalEnergyCons!J$4:J$10000)-L999</f>
        <v>3.2391823542171445</v>
      </c>
      <c r="M1051" s="1" cm="1">
        <f t="array" ref="M1051">SUMPRODUCT(([1]OUT_FinalEnergyCons!$B$4:$B$10000="Var_FOut")*1, ISNUMBER(SEARCH("RH*SHANGAH",[1]OUT_FinalEnergyCons!$C$4:$C$10000))*1,ISNUMBER(SEARCH("RH*-SHngahp",[1]OUT_FinalEnergyCons!$A$4:$A$10000))*1,[1]OUT_FinalEnergyCons!K$4:K$10000)-M999</f>
        <v>4.83783820390261</v>
      </c>
      <c r="N1051" s="1" cm="1">
        <f t="array" ref="N1051">SUMPRODUCT(([1]OUT_FinalEnergyCons!$B$4:$B$10000="Var_FOut")*1, ISNUMBER(SEARCH("RH*SHANGAH",[1]OUT_FinalEnergyCons!$C$4:$C$10000))*1,ISNUMBER(SEARCH("RH*-SHngahp",[1]OUT_FinalEnergyCons!$A$4:$A$10000))*1,[1]OUT_FinalEnergyCons!L$4:L$10000)-N999</f>
        <v>5.1720444641828465</v>
      </c>
      <c r="O1051" s="1" cm="1">
        <f t="array" ref="O1051">SUMPRODUCT(([1]OUT_FinalEnergyCons!$B$4:$B$10000="Var_FOut")*1, ISNUMBER(SEARCH("RH*SHANGAH",[1]OUT_FinalEnergyCons!$C$4:$C$10000))*1,ISNUMBER(SEARCH("RH*-SHngahp",[1]OUT_FinalEnergyCons!$A$4:$A$10000))*1,[1]OUT_FinalEnergyCons!M$4:M$10000)-O999</f>
        <v>5.4127316202840925</v>
      </c>
      <c r="P1051" s="1" cm="1">
        <f t="array" ref="P1051">SUMPRODUCT(([1]OUT_FinalEnergyCons!$B$4:$B$10000="Var_FOut")*1, ISNUMBER(SEARCH("RH*SHANGAH",[1]OUT_FinalEnergyCons!$C$4:$C$10000))*1,ISNUMBER(SEARCH("RH*-SHngahp",[1]OUT_FinalEnergyCons!$A$4:$A$10000))*1,[1]OUT_FinalEnergyCons!N$4:N$10000)-P999</f>
        <v>7.4056736313717755</v>
      </c>
      <c r="Q1051" s="1" cm="1">
        <f t="array" ref="Q1051">SUMPRODUCT(([1]OUT_FinalEnergyCons!$B$4:$B$10000="Var_FOut")*1, ISNUMBER(SEARCH("RH*SHANGAH",[1]OUT_FinalEnergyCons!$C$4:$C$10000))*1,ISNUMBER(SEARCH("RH*-SHngahp",[1]OUT_FinalEnergyCons!$A$4:$A$10000))*1,[1]OUT_FinalEnergyCons!O$4:O$10000)-Q999</f>
        <v>7.4112894491936423</v>
      </c>
      <c r="S1051" s="3"/>
    </row>
    <row r="1052" spans="2:19" x14ac:dyDescent="0.5">
      <c r="B1052" s="5" t="str">
        <f t="shared" si="1193"/>
        <v>SPS1</v>
      </c>
      <c r="C1052" s="5" t="str">
        <f t="shared" si="1194"/>
        <v>CH</v>
      </c>
      <c r="D1052" t="s">
        <v>1039</v>
      </c>
      <c r="E1052" t="s">
        <v>8</v>
      </c>
      <c r="F1052" s="1">
        <f>SUM(F1053:F1054)</f>
        <v>2.0910084780419433</v>
      </c>
      <c r="G1052" s="1">
        <f t="shared" ref="G1052:K1052" si="1269">SUM(G1053:G1054)</f>
        <v>2.3490347771028248</v>
      </c>
      <c r="H1052" s="1">
        <f t="shared" si="1269"/>
        <v>3.197306372670436</v>
      </c>
      <c r="I1052" s="1">
        <f t="shared" si="1269"/>
        <v>3.8908216707269574</v>
      </c>
      <c r="J1052" s="1">
        <f t="shared" si="1269"/>
        <v>5.3429187609786437</v>
      </c>
      <c r="K1052" s="1">
        <f t="shared" si="1269"/>
        <v>5.9534163124133226</v>
      </c>
      <c r="L1052" s="1">
        <f t="shared" ref="L1052:O1052" si="1270">SUM(L1053:L1054)</f>
        <v>6.4574286890104826</v>
      </c>
      <c r="M1052" s="1">
        <f t="shared" si="1270"/>
        <v>7.0502194355677963</v>
      </c>
      <c r="N1052" s="1">
        <f t="shared" si="1270"/>
        <v>8.5401918538898443</v>
      </c>
      <c r="O1052" s="1">
        <f t="shared" si="1270"/>
        <v>8.711738466283915</v>
      </c>
      <c r="P1052" s="1">
        <f>SUM(P1053:P1054)</f>
        <v>8.2509248797206407</v>
      </c>
      <c r="Q1052" s="1">
        <f>SUM(Q1053:Q1054)</f>
        <v>9.197346360126792</v>
      </c>
      <c r="S1052" s="3"/>
    </row>
    <row r="1053" spans="2:19" x14ac:dyDescent="0.5">
      <c r="B1053" s="5" t="str">
        <f t="shared" si="1193"/>
        <v>SPS1</v>
      </c>
      <c r="C1053" s="5" t="str">
        <f t="shared" si="1194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2.0910084780419433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2.3490347771028248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3.1961721698228072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3.8895196551128857</v>
      </c>
      <c r="J1053" s="1" cm="1">
        <f t="array" ref="J1053">SUMPRODUCT(([1]OUT_FinalEnergyCons!$B$4:$B$10000="Var_FOut")*1, ISNUMBER(SEARCH("RHSA-WHAELCH",[1]OUT_FinalEnergyCons!$C$4:$C$10000))*1,(ISNUMBER(SEARCH("RHSA-WHELCHP",[1]OUT_FinalEnergyCons!$A$4:$A$10000)))*1,[1]OUT_FinalEnergyCons!H$4:H$10000)-J979</f>
        <v>5.125753438153728</v>
      </c>
      <c r="K1053" s="1" cm="1">
        <f t="array" ref="K1053">SUMPRODUCT(([1]OUT_FinalEnergyCons!$B$4:$B$10000="Var_FOut")*1, ISNUMBER(SEARCH("RHSA-WHAELCH",[1]OUT_FinalEnergyCons!$C$4:$C$10000))*1,(ISNUMBER(SEARCH("RHSA-WHELCHP",[1]OUT_FinalEnergyCons!$A$4:$A$10000)))*1,[1]OUT_FinalEnergyCons!I$4:I$10000)-K979</f>
        <v>5.3705797616090667</v>
      </c>
      <c r="L1053" s="1" cm="1">
        <f t="array" ref="L1053">SUMPRODUCT(([1]OUT_FinalEnergyCons!$B$4:$B$10000="Var_FOut")*1, ISNUMBER(SEARCH("RHSA-WHAELCH",[1]OUT_FinalEnergyCons!$C$4:$C$10000))*1,(ISNUMBER(SEARCH("RHSA-WHELCHP",[1]OUT_FinalEnergyCons!$A$4:$A$10000)))*1,[1]OUT_FinalEnergyCons!J$4:J$10000)-L979</f>
        <v>5.6467613363383684</v>
      </c>
      <c r="M1053" s="1" cm="1">
        <f t="array" ref="M1053">SUMPRODUCT(([1]OUT_FinalEnergyCons!$B$4:$B$10000="Var_FOut")*1, ISNUMBER(SEARCH("RHSA-WHAELCH",[1]OUT_FinalEnergyCons!$C$4:$C$10000))*1,(ISNUMBER(SEARCH("RHSA-WHELCHP",[1]OUT_FinalEnergyCons!$A$4:$A$10000)))*1,[1]OUT_FinalEnergyCons!K$4:K$10000)-M979</f>
        <v>5.6967854109418701</v>
      </c>
      <c r="N1053" s="1" cm="1">
        <f t="array" ref="N1053">SUMPRODUCT(([1]OUT_FinalEnergyCons!$B$4:$B$10000="Var_FOut")*1, ISNUMBER(SEARCH("RHSA-WHAELCH",[1]OUT_FinalEnergyCons!$C$4:$C$10000))*1,(ISNUMBER(SEARCH("RHSA-WHELCHP",[1]OUT_FinalEnergyCons!$A$4:$A$10000)))*1,[1]OUT_FinalEnergyCons!L$4:L$10000)-N979</f>
        <v>7.0931963112110079</v>
      </c>
      <c r="O1053" s="1" cm="1">
        <f t="array" ref="O1053">SUMPRODUCT(([1]OUT_FinalEnergyCons!$B$4:$B$10000="Var_FOut")*1, ISNUMBER(SEARCH("RHSA-WHAELCH",[1]OUT_FinalEnergyCons!$C$4:$C$10000))*1,(ISNUMBER(SEARCH("RHSA-WHELCHP",[1]OUT_FinalEnergyCons!$A$4:$A$10000)))*1,[1]OUT_FinalEnergyCons!M$4:M$10000)-O979</f>
        <v>7.1974245562527095</v>
      </c>
      <c r="P1053" s="1" cm="1">
        <f t="array" ref="P1053">SUMPRODUCT(([1]OUT_FinalEnergyCons!$B$4:$B$10000="Var_FOut")*1, ISNUMBER(SEARCH("RHSA-WHAELCH",[1]OUT_FinalEnergyCons!$C$4:$C$10000))*1,(ISNUMBER(SEARCH("RHSA-WHELCHP",[1]OUT_FinalEnergyCons!$A$4:$A$10000)))*1,[1]OUT_FinalEnergyCons!N$4:N$10000)-P979</f>
        <v>6.1797389451543303</v>
      </c>
      <c r="Q1053" s="1" cm="1">
        <f t="array" ref="Q1053">SUMPRODUCT(([1]OUT_FinalEnergyCons!$B$4:$B$10000="Var_FOut")*1, ISNUMBER(SEARCH("RHSA-WHAELCH",[1]OUT_FinalEnergyCons!$C$4:$C$10000))*1,(ISNUMBER(SEARCH("RHSA-WHELCHP",[1]OUT_FinalEnergyCons!$A$4:$A$10000)))*1,[1]OUT_FinalEnergyCons!O$4:O$10000)-Q979</f>
        <v>7.1238928215225013</v>
      </c>
      <c r="S1053" s="3"/>
    </row>
    <row r="1054" spans="2:19" x14ac:dyDescent="0.5">
      <c r="B1054" s="5" t="str">
        <f t="shared" si="1193"/>
        <v>SPS1</v>
      </c>
      <c r="C1054" s="5" t="str">
        <f t="shared" si="1194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1.1342028476288477E-3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1.302015614071714E-3</v>
      </c>
      <c r="J1054" s="1" cm="1">
        <f t="array" ref="J1054">SUMPRODUCT(([1]OUT_FinalEnergyCons!$B$4:$B$10000="Var_FOut")*1,ISNUMBER(SEARCH("RHSA-WHangah",[1]OUT_FinalEnergyCons!$C$4:$C$10000))*1,(ISNUMBER(SEARCH("RHSA-WHngahp",[1]OUT_FinalEnergyCons!$A$4:$A$10000)))*1,[1]OUT_FinalEnergyCons!H$4:H$10000)-J1008</f>
        <v>0.21716532282491613</v>
      </c>
      <c r="K1054" s="1" cm="1">
        <f t="array" ref="K1054">SUMPRODUCT(([1]OUT_FinalEnergyCons!$B$4:$B$10000="Var_FOut")*1,ISNUMBER(SEARCH("RHSA-WHangah",[1]OUT_FinalEnergyCons!$C$4:$C$10000))*1,(ISNUMBER(SEARCH("RHSA-WHngahp",[1]OUT_FinalEnergyCons!$A$4:$A$10000)))*1,[1]OUT_FinalEnergyCons!I$4:I$10000)-K1008</f>
        <v>0.58283655080425556</v>
      </c>
      <c r="L1054" s="1" cm="1">
        <f t="array" ref="L1054">SUMPRODUCT(([1]OUT_FinalEnergyCons!$B$4:$B$10000="Var_FOut")*1,ISNUMBER(SEARCH("RHSA-WHangah",[1]OUT_FinalEnergyCons!$C$4:$C$10000))*1,(ISNUMBER(SEARCH("RHSA-WHngahp",[1]OUT_FinalEnergyCons!$A$4:$A$10000)))*1,[1]OUT_FinalEnergyCons!J$4:J$10000)-L1008</f>
        <v>0.81066735267211443</v>
      </c>
      <c r="M1054" s="1" cm="1">
        <f t="array" ref="M1054">SUMPRODUCT(([1]OUT_FinalEnergyCons!$B$4:$B$10000="Var_FOut")*1,ISNUMBER(SEARCH("RHSA-WHangah",[1]OUT_FinalEnergyCons!$C$4:$C$10000))*1,(ISNUMBER(SEARCH("RHSA-WHngahp",[1]OUT_FinalEnergyCons!$A$4:$A$10000)))*1,[1]OUT_FinalEnergyCons!K$4:K$10000)-M1008</f>
        <v>1.3534340246259264</v>
      </c>
      <c r="N1054" s="1" cm="1">
        <f t="array" ref="N1054">SUMPRODUCT(([1]OUT_FinalEnergyCons!$B$4:$B$10000="Var_FOut")*1,ISNUMBER(SEARCH("RHSA-WHangah",[1]OUT_FinalEnergyCons!$C$4:$C$10000))*1,(ISNUMBER(SEARCH("RHSA-WHngahp",[1]OUT_FinalEnergyCons!$A$4:$A$10000)))*1,[1]OUT_FinalEnergyCons!L$4:L$10000)-N1008</f>
        <v>1.4469955426788363</v>
      </c>
      <c r="O1054" s="1" cm="1">
        <f t="array" ref="O1054">SUMPRODUCT(([1]OUT_FinalEnergyCons!$B$4:$B$10000="Var_FOut")*1,ISNUMBER(SEARCH("RHSA-WHangah",[1]OUT_FinalEnergyCons!$C$4:$C$10000))*1,(ISNUMBER(SEARCH("RHSA-WHngahp",[1]OUT_FinalEnergyCons!$A$4:$A$10000)))*1,[1]OUT_FinalEnergyCons!M$4:M$10000)-O1008</f>
        <v>1.5143139100312064</v>
      </c>
      <c r="P1054" s="1" cm="1">
        <f t="array" ref="P1054">SUMPRODUCT(([1]OUT_FinalEnergyCons!$B$4:$B$10000="Var_FOut")*1,ISNUMBER(SEARCH("RHSA-WHangah",[1]OUT_FinalEnergyCons!$C$4:$C$10000))*1,(ISNUMBER(SEARCH("RHSA-WHngahp",[1]OUT_FinalEnergyCons!$A$4:$A$10000)))*1,[1]OUT_FinalEnergyCons!N$4:N$10000)-P1008</f>
        <v>2.0711859345663104</v>
      </c>
      <c r="Q1054" s="1" cm="1">
        <f t="array" ref="Q1054">SUMPRODUCT(([1]OUT_FinalEnergyCons!$B$4:$B$10000="Var_FOut")*1,ISNUMBER(SEARCH("RHSA-WHangah",[1]OUT_FinalEnergyCons!$C$4:$C$10000))*1,(ISNUMBER(SEARCH("RHSA-WHngahp",[1]OUT_FinalEnergyCons!$A$4:$A$10000)))*1,[1]OUT_FinalEnergyCons!O$4:O$10000)-Q1008</f>
        <v>2.0734535386042912</v>
      </c>
      <c r="S1054" s="3"/>
    </row>
    <row r="1055" spans="2:19" x14ac:dyDescent="0.5">
      <c r="B1055" s="5" t="str">
        <f t="shared" si="1193"/>
        <v>SPS1</v>
      </c>
      <c r="C1055" s="5" t="str">
        <f t="shared" si="1194"/>
        <v>CH</v>
      </c>
      <c r="D1055" s="2" t="s">
        <v>756</v>
      </c>
      <c r="E1055" t="s">
        <v>8</v>
      </c>
      <c r="F1055" s="3">
        <f>[1]Residential!B$245</f>
        <v>156.2292327683094</v>
      </c>
      <c r="G1055" s="3">
        <f>[1]Residential!C$245</f>
        <v>162.1433876686757</v>
      </c>
      <c r="H1055" s="3">
        <f>[1]Residential!D$245</f>
        <v>162.08694324646183</v>
      </c>
      <c r="I1055" s="3">
        <f>[1]Residential!E$245</f>
        <v>161.82254368637325</v>
      </c>
      <c r="J1055" s="3">
        <f>[1]Residential!F$245</f>
        <v>161.70265504515842</v>
      </c>
      <c r="K1055" s="3">
        <f>[1]Residential!G$245</f>
        <v>159.17647531650081</v>
      </c>
      <c r="L1055" s="3">
        <f>[1]Residential!H$245</f>
        <v>155.48844183007415</v>
      </c>
      <c r="M1055" s="3">
        <f>[1]Residential!I$245</f>
        <v>151.81405208968755</v>
      </c>
      <c r="N1055" s="3">
        <f>[1]Residential!J$245</f>
        <v>146.89213675537349</v>
      </c>
      <c r="O1055" s="3">
        <f>[1]Residential!K$245</f>
        <v>140.31789864992709</v>
      </c>
      <c r="P1055" s="3">
        <f>[1]Residential!L$245</f>
        <v>137.69449223837361</v>
      </c>
      <c r="Q1055" s="3">
        <f>[1]Residential!M$245</f>
        <v>120.42773090748186</v>
      </c>
      <c r="S1055" s="3"/>
    </row>
    <row r="1056" spans="2:19" x14ac:dyDescent="0.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129.25083549304719</v>
      </c>
      <c r="G1056" s="1">
        <f>[1]Residential!C$116</f>
        <v>136.21331101066554</v>
      </c>
      <c r="H1056" s="1">
        <f>[1]Residential!D$116</f>
        <v>136.12898783112399</v>
      </c>
      <c r="I1056" s="1">
        <f>[1]Residential!E$116</f>
        <v>136.23046876755549</v>
      </c>
      <c r="J1056" s="1">
        <f>[1]Residential!F$116</f>
        <v>135.99895508536304</v>
      </c>
      <c r="K1056" s="1">
        <f>[1]Residential!G$116</f>
        <v>133.59496024518575</v>
      </c>
      <c r="L1056" s="1">
        <f>[1]Residential!H$116</f>
        <v>130.10643205545722</v>
      </c>
      <c r="M1056" s="1">
        <f>[1]Residential!I$116</f>
        <v>126.67091230337458</v>
      </c>
      <c r="N1056" s="1">
        <f>[1]Residential!J$116</f>
        <v>121.44865312922381</v>
      </c>
      <c r="O1056" s="1">
        <f>[1]Residential!K$116</f>
        <v>115.3392297059054</v>
      </c>
      <c r="P1056" s="1">
        <f>[1]Residential!L$116</f>
        <v>113.17460147152553</v>
      </c>
      <c r="Q1056" s="1">
        <f>[1]Residential!M$116</f>
        <v>96.337440622172423</v>
      </c>
      <c r="S1056" s="3"/>
    </row>
    <row r="1057" spans="2:19" x14ac:dyDescent="0.5">
      <c r="B1057" s="5" t="str">
        <f t="shared" ref="B1057:B1107" si="1271">B1056</f>
        <v>SPS1</v>
      </c>
      <c r="C1057" s="5" t="str">
        <f t="shared" ref="C1057:C1107" si="1272">C1056</f>
        <v>CH</v>
      </c>
      <c r="D1057" t="s">
        <v>1115</v>
      </c>
      <c r="E1057" t="s">
        <v>8</v>
      </c>
      <c r="F1057" s="1">
        <f>SUM(F1058:F1059)</f>
        <v>27.968402986529984</v>
      </c>
      <c r="G1057" s="1">
        <f t="shared" ref="G1057:K1057" si="1273">SUM(G1058:G1059)</f>
        <v>30.399785173948938</v>
      </c>
      <c r="H1057" s="1">
        <f t="shared" si="1273"/>
        <v>32.737536393916301</v>
      </c>
      <c r="I1057" s="1">
        <f t="shared" si="1273"/>
        <v>32.829745861626854</v>
      </c>
      <c r="J1057" s="1">
        <f t="shared" si="1273"/>
        <v>36.700147380266735</v>
      </c>
      <c r="K1057" s="1">
        <f t="shared" si="1273"/>
        <v>36.0294655091203</v>
      </c>
      <c r="L1057" s="1">
        <f t="shared" ref="L1057:O1057" si="1274">SUM(L1058:L1059)</f>
        <v>34.83223038061977</v>
      </c>
      <c r="M1057" s="1">
        <f t="shared" si="1274"/>
        <v>34.096740568542906</v>
      </c>
      <c r="N1057" s="1">
        <f t="shared" si="1274"/>
        <v>32.27112823789836</v>
      </c>
      <c r="O1057" s="1">
        <f t="shared" si="1274"/>
        <v>32.230022093652337</v>
      </c>
      <c r="P1057" s="1">
        <f>SUM(P1058:P1059)</f>
        <v>32.176633369307318</v>
      </c>
      <c r="Q1057" s="1">
        <f>SUM(Q1058:Q1059)</f>
        <v>32.07574184574662</v>
      </c>
      <c r="S1057" s="3"/>
    </row>
    <row r="1058" spans="2:19" x14ac:dyDescent="0.5">
      <c r="B1058" s="5" t="str">
        <f t="shared" si="1271"/>
        <v>SPS1</v>
      </c>
      <c r="C1058" s="5" t="str">
        <f t="shared" si="1272"/>
        <v>CH</v>
      </c>
      <c r="D1058" t="s">
        <v>1116</v>
      </c>
      <c r="E1058" t="s">
        <v>8</v>
      </c>
      <c r="F1058" s="1">
        <f>[1]Residential!B$102</f>
        <v>8.9080328204420418</v>
      </c>
      <c r="G1058" s="1">
        <f>[1]Residential!C$102</f>
        <v>7.6990491912115182</v>
      </c>
      <c r="H1058" s="1">
        <f>[1]Residential!D$102</f>
        <v>8.1368178284495229</v>
      </c>
      <c r="I1058" s="1">
        <f>[1]Residential!E$102</f>
        <v>6.0027499264582342</v>
      </c>
      <c r="J1058" s="1">
        <f>[1]Residential!F$102</f>
        <v>5.3660318529481703</v>
      </c>
      <c r="K1058" s="1">
        <f>[1]Residential!G$102</f>
        <v>4.6942318105145109</v>
      </c>
      <c r="L1058" s="1">
        <f>[1]Residential!H$102</f>
        <v>3.4969242592845022</v>
      </c>
      <c r="M1058" s="1">
        <f>[1]Residential!I$102</f>
        <v>2.4770794695389431</v>
      </c>
      <c r="N1058" s="1">
        <f>[1]Residential!J$102</f>
        <v>0.651450751711805</v>
      </c>
      <c r="O1058" s="1">
        <f>[1]Residential!K$102</f>
        <v>0.61018692540791619</v>
      </c>
      <c r="P1058" s="1">
        <f>[1]Residential!L$102</f>
        <v>0.55556230183876221</v>
      </c>
      <c r="Q1058" s="1">
        <f>[1]Residential!M$102</f>
        <v>0.45437144691698844</v>
      </c>
      <c r="S1058" s="3"/>
    </row>
    <row r="1059" spans="2:19" x14ac:dyDescent="0.5">
      <c r="B1059" s="5" t="str">
        <f t="shared" si="1271"/>
        <v>SPS1</v>
      </c>
      <c r="C1059" s="5" t="str">
        <f t="shared" si="1272"/>
        <v>CH</v>
      </c>
      <c r="D1059" t="s">
        <v>1117</v>
      </c>
      <c r="E1059" t="s">
        <v>8</v>
      </c>
      <c r="F1059" s="1">
        <f>[1]Residential!B$104</f>
        <v>19.060370166087942</v>
      </c>
      <c r="G1059" s="1">
        <f>[1]Residential!C$104</f>
        <v>22.70073598273742</v>
      </c>
      <c r="H1059" s="1">
        <f>[1]Residential!D$104</f>
        <v>24.600718565466781</v>
      </c>
      <c r="I1059" s="1">
        <f>[1]Residential!E$104</f>
        <v>26.826995935168622</v>
      </c>
      <c r="J1059" s="1">
        <f>[1]Residential!F$104</f>
        <v>31.334115527318563</v>
      </c>
      <c r="K1059" s="1">
        <f>[1]Residential!G$104</f>
        <v>31.335233698605787</v>
      </c>
      <c r="L1059" s="1">
        <f>[1]Residential!H$104</f>
        <v>31.335306121335268</v>
      </c>
      <c r="M1059" s="1">
        <f>[1]Residential!I$104</f>
        <v>31.619661099003959</v>
      </c>
      <c r="N1059" s="1">
        <f>[1]Residential!J$104</f>
        <v>31.619677486186557</v>
      </c>
      <c r="O1059" s="1">
        <f>[1]Residential!K$104</f>
        <v>31.619835168244418</v>
      </c>
      <c r="P1059" s="1">
        <f>[1]Residential!L$104</f>
        <v>31.621071067468556</v>
      </c>
      <c r="Q1059" s="1">
        <f>[1]Residential!M$104</f>
        <v>31.62137039882963</v>
      </c>
      <c r="S1059" s="3"/>
    </row>
    <row r="1060" spans="2:19" x14ac:dyDescent="0.5">
      <c r="B1060" s="5" t="str">
        <f t="shared" si="1271"/>
        <v>SPS1</v>
      </c>
      <c r="C1060" s="5" t="str">
        <f t="shared" si="1272"/>
        <v>CH</v>
      </c>
      <c r="D1060" t="s">
        <v>1046</v>
      </c>
      <c r="E1060" t="s">
        <v>8</v>
      </c>
      <c r="F1060" s="1">
        <f>F1061</f>
        <v>45.124405709216077</v>
      </c>
      <c r="G1060" s="1">
        <f t="shared" ref="G1060:O1060" si="1275">G1061</f>
        <v>38.530773791716626</v>
      </c>
      <c r="H1060" s="1">
        <f t="shared" si="1275"/>
        <v>38.475917048088</v>
      </c>
      <c r="I1060" s="1">
        <f t="shared" si="1275"/>
        <v>38.682379845845631</v>
      </c>
      <c r="J1060" s="1">
        <f t="shared" si="1275"/>
        <v>32.228415034345034</v>
      </c>
      <c r="K1060" s="1">
        <f t="shared" si="1275"/>
        <v>30.148673753252858</v>
      </c>
      <c r="L1060" s="1">
        <f t="shared" si="1275"/>
        <v>29.0865164926342</v>
      </c>
      <c r="M1060" s="1">
        <f t="shared" si="1275"/>
        <v>24.964560983292422</v>
      </c>
      <c r="N1060" s="1">
        <f t="shared" si="1275"/>
        <v>23.283398789376989</v>
      </c>
      <c r="O1060" s="1">
        <f t="shared" si="1275"/>
        <v>20.004725014627262</v>
      </c>
      <c r="P1060" s="1">
        <f>P1061</f>
        <v>14.978763121679453</v>
      </c>
      <c r="Q1060" s="1">
        <f>Q1061</f>
        <v>5.7519760215183116</v>
      </c>
      <c r="S1060" s="3"/>
    </row>
    <row r="1061" spans="2:19" x14ac:dyDescent="0.5">
      <c r="B1061" s="5" t="str">
        <f t="shared" si="1271"/>
        <v>SPS1</v>
      </c>
      <c r="C1061" s="5" t="str">
        <f t="shared" si="1272"/>
        <v>CH</v>
      </c>
      <c r="D1061" t="s">
        <v>1047</v>
      </c>
      <c r="E1061" t="s">
        <v>8</v>
      </c>
      <c r="F1061" s="1">
        <f>[1]Residential!B$105</f>
        <v>45.124405709216077</v>
      </c>
      <c r="G1061" s="1">
        <f>[1]Residential!C$105</f>
        <v>38.530773791716626</v>
      </c>
      <c r="H1061" s="1">
        <f>[1]Residential!D$105</f>
        <v>38.475917048088</v>
      </c>
      <c r="I1061" s="1">
        <f>[1]Residential!E$105</f>
        <v>38.682379845845631</v>
      </c>
      <c r="J1061" s="1">
        <f>[1]Residential!F$105</f>
        <v>32.228415034345034</v>
      </c>
      <c r="K1061" s="1">
        <f>[1]Residential!G$105</f>
        <v>30.148673753252858</v>
      </c>
      <c r="L1061" s="1">
        <f>[1]Residential!H$105</f>
        <v>29.0865164926342</v>
      </c>
      <c r="M1061" s="1">
        <f>[1]Residential!I$105</f>
        <v>24.964560983292422</v>
      </c>
      <c r="N1061" s="1">
        <f>[1]Residential!J$105</f>
        <v>23.283398789376989</v>
      </c>
      <c r="O1061" s="1">
        <f>[1]Residential!K$105</f>
        <v>20.004725014627262</v>
      </c>
      <c r="P1061" s="1">
        <f>[1]Residential!L$105</f>
        <v>14.978763121679453</v>
      </c>
      <c r="Q1061" s="1">
        <f>[1]Residential!M$105</f>
        <v>5.7519760215183116</v>
      </c>
      <c r="S1061" s="3"/>
    </row>
    <row r="1062" spans="2:19" x14ac:dyDescent="0.5">
      <c r="B1062" s="5" t="str">
        <f t="shared" si="1271"/>
        <v>SPS1</v>
      </c>
      <c r="C1062" s="5" t="str">
        <f t="shared" si="1272"/>
        <v>CH</v>
      </c>
      <c r="D1062" t="s">
        <v>1048</v>
      </c>
      <c r="E1062" t="s">
        <v>8</v>
      </c>
      <c r="F1062" s="1">
        <f>SUM(F1063:F1064)</f>
        <v>36.569951312079553</v>
      </c>
      <c r="G1062" s="1">
        <f t="shared" ref="G1062:K1062" si="1276">SUM(G1063:G1064)</f>
        <v>39.297229724451604</v>
      </c>
      <c r="H1062" s="1">
        <f t="shared" si="1276"/>
        <v>37.285318650644335</v>
      </c>
      <c r="I1062" s="1">
        <f t="shared" si="1276"/>
        <v>38.761816958275404</v>
      </c>
      <c r="J1062" s="1">
        <f t="shared" si="1276"/>
        <v>41.385471192382809</v>
      </c>
      <c r="K1062" s="1">
        <f t="shared" si="1276"/>
        <v>41.659552500557879</v>
      </c>
      <c r="L1062" s="1">
        <f t="shared" ref="L1062:O1062" si="1277">SUM(L1063:L1064)</f>
        <v>41.600316942862321</v>
      </c>
      <c r="M1062" s="1">
        <f t="shared" si="1277"/>
        <v>43.192952657048572</v>
      </c>
      <c r="N1062" s="1">
        <f t="shared" si="1277"/>
        <v>41.801563183513416</v>
      </c>
      <c r="O1062" s="1">
        <f t="shared" si="1277"/>
        <v>39.989668696993583</v>
      </c>
      <c r="P1062" s="1">
        <f>SUM(P1063:P1064)</f>
        <v>42.842258961447158</v>
      </c>
      <c r="Q1062" s="1">
        <f>SUM(Q1063:Q1064)</f>
        <v>37.334230496299071</v>
      </c>
      <c r="S1062" s="3"/>
    </row>
    <row r="1063" spans="2:19" x14ac:dyDescent="0.5">
      <c r="B1063" s="5" t="str">
        <f t="shared" si="1271"/>
        <v>SPS1</v>
      </c>
      <c r="C1063" s="5" t="str">
        <f t="shared" si="1272"/>
        <v>CH</v>
      </c>
      <c r="D1063" t="s">
        <v>1049</v>
      </c>
      <c r="E1063" t="s">
        <v>8</v>
      </c>
      <c r="F1063" s="1">
        <f>[1]Residential!B$106</f>
        <v>36.569951312079553</v>
      </c>
      <c r="G1063" s="1">
        <f>[1]Residential!C$106</f>
        <v>39.297229724451604</v>
      </c>
      <c r="H1063" s="1">
        <f>[1]Residential!D$106</f>
        <v>37.27158540116973</v>
      </c>
      <c r="I1063" s="1">
        <f>[1]Residential!E$106</f>
        <v>38.747763361992845</v>
      </c>
      <c r="J1063" s="1">
        <f>[1]Residential!F$106</f>
        <v>38.877830870531398</v>
      </c>
      <c r="K1063" s="1">
        <f>[1]Residential!G$106</f>
        <v>36.933838982940401</v>
      </c>
      <c r="L1063" s="1">
        <f>[1]Residential!H$106</f>
        <v>35.830523374413033</v>
      </c>
      <c r="M1063" s="1">
        <f>[1]Residential!I$106</f>
        <v>34.74478743530819</v>
      </c>
      <c r="N1063" s="1">
        <f>[1]Residential!J$106</f>
        <v>32.769784044567245</v>
      </c>
      <c r="O1063" s="1">
        <f>[1]Residential!K$106</f>
        <v>30.537585121273601</v>
      </c>
      <c r="P1063" s="1">
        <f>[1]Residential!L$106</f>
        <v>29.909963217111368</v>
      </c>
      <c r="Q1063" s="1">
        <f>[1]Residential!M$106</f>
        <v>24.392128025319124</v>
      </c>
      <c r="S1063" s="3"/>
    </row>
    <row r="1064" spans="2:19" x14ac:dyDescent="0.5">
      <c r="B1064" s="5" t="str">
        <f t="shared" si="1271"/>
        <v>SPS1</v>
      </c>
      <c r="C1064" s="5" t="str">
        <f t="shared" si="127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1.3733249474606853E-2</v>
      </c>
      <c r="I1064" s="1">
        <f>[1]Residential!E$107</f>
        <v>1.4053596282559117E-2</v>
      </c>
      <c r="J1064" s="1">
        <f>[1]Residential!F$107</f>
        <v>2.5076403218514152</v>
      </c>
      <c r="K1064" s="1">
        <f>[1]Residential!G$107</f>
        <v>4.7257135176174749</v>
      </c>
      <c r="L1064" s="1">
        <f>[1]Residential!H$107</f>
        <v>5.7697935684492903</v>
      </c>
      <c r="M1064" s="1">
        <f>[1]Residential!I$107</f>
        <v>8.4481652217403802</v>
      </c>
      <c r="N1064" s="1">
        <f>[1]Residential!J$107</f>
        <v>9.0317791389461703</v>
      </c>
      <c r="O1064" s="1">
        <f>[1]Residential!K$107</f>
        <v>9.4520835757199819</v>
      </c>
      <c r="P1064" s="1">
        <f>[1]Residential!L$107</f>
        <v>12.932295744335793</v>
      </c>
      <c r="Q1064" s="1">
        <f>[1]Residential!M$107</f>
        <v>12.94210247097995</v>
      </c>
      <c r="S1064" s="3"/>
    </row>
    <row r="1065" spans="2:19" x14ac:dyDescent="0.5">
      <c r="B1065" s="5" t="str">
        <f t="shared" si="1271"/>
        <v>SPS1</v>
      </c>
      <c r="C1065" s="5" t="str">
        <f t="shared" si="1272"/>
        <v>CH</v>
      </c>
      <c r="D1065" t="s">
        <v>1051</v>
      </c>
      <c r="E1065" t="s">
        <v>8</v>
      </c>
      <c r="F1065" s="1">
        <f>F1066</f>
        <v>7.2000752017354119E-2</v>
      </c>
      <c r="G1065" s="1">
        <f t="shared" ref="G1065:O1065" si="1278">G1066</f>
        <v>7.2000689178632116E-2</v>
      </c>
      <c r="H1065" s="1">
        <f t="shared" si="1278"/>
        <v>1.4909471035876171E-3</v>
      </c>
      <c r="I1065" s="1">
        <f t="shared" si="1278"/>
        <v>1.2700876079146759E-3</v>
      </c>
      <c r="J1065" s="1">
        <f t="shared" si="1278"/>
        <v>5.1794513074367209E-4</v>
      </c>
      <c r="K1065" s="1">
        <f t="shared" si="1278"/>
        <v>0</v>
      </c>
      <c r="L1065" s="1">
        <f t="shared" si="1278"/>
        <v>0</v>
      </c>
      <c r="M1065" s="1">
        <f t="shared" si="1278"/>
        <v>0</v>
      </c>
      <c r="N1065" s="1">
        <f t="shared" si="1278"/>
        <v>0</v>
      </c>
      <c r="O1065" s="1">
        <f t="shared" si="1278"/>
        <v>0</v>
      </c>
      <c r="P1065" s="1">
        <f>P1066</f>
        <v>0</v>
      </c>
      <c r="Q1065" s="1">
        <f>Q1066</f>
        <v>0</v>
      </c>
      <c r="S1065" s="3"/>
    </row>
    <row r="1066" spans="2:19" x14ac:dyDescent="0.5">
      <c r="B1066" s="5" t="str">
        <f t="shared" si="1271"/>
        <v>SPS1</v>
      </c>
      <c r="C1066" s="5" t="str">
        <f t="shared" si="1272"/>
        <v>CH</v>
      </c>
      <c r="D1066" t="s">
        <v>1052</v>
      </c>
      <c r="E1066" t="s">
        <v>8</v>
      </c>
      <c r="F1066" s="1">
        <f>[1]Residential!B$108</f>
        <v>7.2000752017354119E-2</v>
      </c>
      <c r="G1066" s="1">
        <f>[1]Residential!C$108</f>
        <v>7.2000689178632116E-2</v>
      </c>
      <c r="H1066" s="1">
        <f>[1]Residential!D$108</f>
        <v>1.4909471035876171E-3</v>
      </c>
      <c r="I1066" s="1">
        <f>[1]Residential!E$108</f>
        <v>1.2700876079146759E-3</v>
      </c>
      <c r="J1066" s="1">
        <f>[1]Residential!F$108</f>
        <v>5.1794513074367209E-4</v>
      </c>
      <c r="K1066" s="1">
        <f>[1]Residential!G$108</f>
        <v>0</v>
      </c>
      <c r="L1066" s="1">
        <f>[1]Residential!H$108</f>
        <v>0</v>
      </c>
      <c r="M1066" s="1">
        <f>[1]Residential!I$108</f>
        <v>0</v>
      </c>
      <c r="N1066" s="1">
        <f>[1]Residential!J$108</f>
        <v>0</v>
      </c>
      <c r="O1066" s="1">
        <f>[1]Residential!K$108</f>
        <v>0</v>
      </c>
      <c r="P1066" s="1">
        <f>[1]Residential!L$108</f>
        <v>0</v>
      </c>
      <c r="Q1066" s="1">
        <f>[1]Residential!M$108</f>
        <v>0</v>
      </c>
      <c r="S1066" s="3"/>
    </row>
    <row r="1067" spans="2:19" x14ac:dyDescent="0.5">
      <c r="B1067" s="5" t="str">
        <f t="shared" si="1271"/>
        <v>SPS1</v>
      </c>
      <c r="C1067" s="5" t="str">
        <f t="shared" si="1272"/>
        <v>CH</v>
      </c>
      <c r="D1067" t="s">
        <v>1053</v>
      </c>
      <c r="E1067" t="s">
        <v>8</v>
      </c>
      <c r="F1067" s="1">
        <f>SUM([1]Residential!B$109:B$110)</f>
        <v>3.9894972664923039</v>
      </c>
      <c r="G1067" s="1">
        <f>SUM([1]Residential!C$109:C$110)</f>
        <v>7.698263186534815</v>
      </c>
      <c r="H1067" s="1">
        <f>SUM([1]Residential!D$109:D$110)</f>
        <v>8.3348292336171674</v>
      </c>
      <c r="I1067" s="1">
        <f>SUM([1]Residential!E$109:E$110)</f>
        <v>8.2662395831056994</v>
      </c>
      <c r="J1067" s="1">
        <f>SUM([1]Residential!F$109:F$110)</f>
        <v>8.3946767483279157</v>
      </c>
      <c r="K1067" s="1">
        <f>SUM([1]Residential!G$109:G$110)</f>
        <v>9.1527124228512218</v>
      </c>
      <c r="L1067" s="1">
        <f>SUM([1]Residential!H$109:H$110)</f>
        <v>8.5368934991745817</v>
      </c>
      <c r="M1067" s="1">
        <f>SUM([1]Residential!I$109:I$110)</f>
        <v>9.1694829542539242</v>
      </c>
      <c r="N1067" s="1">
        <f>SUM([1]Residential!J$109:J$110)</f>
        <v>9.0029170978303998</v>
      </c>
      <c r="O1067" s="1">
        <f>SUM([1]Residential!K$109:K$110)</f>
        <v>8.6139494279484534</v>
      </c>
      <c r="P1067" s="1">
        <f>SUM([1]Residential!L$109:L$110)</f>
        <v>8.878139227081526</v>
      </c>
      <c r="Q1067" s="1">
        <f>SUM([1]Residential!M$109:M$110)</f>
        <v>8.0772669157079378</v>
      </c>
      <c r="S1067" s="3"/>
    </row>
    <row r="1068" spans="2:19" x14ac:dyDescent="0.5">
      <c r="B1068" s="5" t="str">
        <f t="shared" si="1271"/>
        <v>SPS1</v>
      </c>
      <c r="C1068" s="5" t="str">
        <f t="shared" si="1272"/>
        <v>CH</v>
      </c>
      <c r="D1068" t="s">
        <v>1054</v>
      </c>
      <c r="E1068" t="s">
        <v>8</v>
      </c>
      <c r="F1068" s="1">
        <f>[1]Residential!B$109</f>
        <v>7.396031086171212E-2</v>
      </c>
      <c r="G1068" s="1">
        <f>[1]Residential!C$109</f>
        <v>5.2382756824894995E-3</v>
      </c>
      <c r="H1068" s="1">
        <f>[1]Residential!D$109</f>
        <v>0.20560643140979415</v>
      </c>
      <c r="I1068" s="1">
        <f>[1]Residential!E$109</f>
        <v>1.2759649157039887</v>
      </c>
      <c r="J1068" s="1">
        <f>[1]Residential!F$109</f>
        <v>1.2916558486340941</v>
      </c>
      <c r="K1068" s="1">
        <f>[1]Residential!G$109</f>
        <v>1.3057899002594016</v>
      </c>
      <c r="L1068" s="1">
        <f>[1]Residential!H$109</f>
        <v>1.3144203103778436</v>
      </c>
      <c r="M1068" s="1">
        <f>[1]Residential!I$109</f>
        <v>1.3243700632977269</v>
      </c>
      <c r="N1068" s="1">
        <f>[1]Residential!J$109</f>
        <v>1.3243367117519598</v>
      </c>
      <c r="O1068" s="1">
        <f>[1]Residential!K$109</f>
        <v>1.3311236739844881</v>
      </c>
      <c r="P1068" s="1">
        <f>[1]Residential!L$109</f>
        <v>1.3342545751760424</v>
      </c>
      <c r="Q1068" s="1">
        <f>[1]Residential!M$109</f>
        <v>1.3343697122230509</v>
      </c>
      <c r="S1068" s="3"/>
    </row>
    <row r="1069" spans="2:19" x14ac:dyDescent="0.5">
      <c r="B1069" s="5" t="str">
        <f t="shared" si="1271"/>
        <v>SPS1</v>
      </c>
      <c r="C1069" s="5" t="str">
        <f t="shared" si="1272"/>
        <v>CH</v>
      </c>
      <c r="D1069" t="s">
        <v>1055</v>
      </c>
      <c r="E1069" t="s">
        <v>8</v>
      </c>
      <c r="F1069" s="1">
        <f>IFERROR(F$1068/F$1043,0)*F1044</f>
        <v>7.396031086171212E-2</v>
      </c>
      <c r="G1069" s="1">
        <f t="shared" ref="G1069:K1069" si="1279">IFERROR(G$1068/G$1043,0)*G1044</f>
        <v>5.2382756824894995E-3</v>
      </c>
      <c r="H1069" s="1">
        <f t="shared" si="1279"/>
        <v>0.20560643140979415</v>
      </c>
      <c r="I1069" s="1">
        <f t="shared" si="1279"/>
        <v>1.2629632595987277</v>
      </c>
      <c r="J1069" s="1">
        <f t="shared" si="1279"/>
        <v>1.2730675886945344</v>
      </c>
      <c r="K1069" s="1">
        <f t="shared" si="1279"/>
        <v>1.289941687560304</v>
      </c>
      <c r="L1069" s="1">
        <f t="shared" ref="L1069:O1069" si="1280">IFERROR(L$1068/L$1043,0)*L1044</f>
        <v>1.2966734284610539</v>
      </c>
      <c r="M1069" s="1">
        <f t="shared" si="1280"/>
        <v>1.2827073052240969</v>
      </c>
      <c r="N1069" s="1">
        <f t="shared" si="1280"/>
        <v>1.2835537474452121</v>
      </c>
      <c r="O1069" s="1">
        <f t="shared" si="1280"/>
        <v>1.2890309519972225</v>
      </c>
      <c r="P1069" s="1">
        <f t="shared" ref="P1069:Q1071" si="1281">IFERROR(P$1068/P$1043,0)*P1044</f>
        <v>1.3005621508681477</v>
      </c>
      <c r="Q1069" s="1">
        <f t="shared" si="1281"/>
        <v>1.2687872806624836</v>
      </c>
      <c r="S1069" s="3"/>
    </row>
    <row r="1070" spans="2:19" x14ac:dyDescent="0.5">
      <c r="B1070" s="5" t="str">
        <f t="shared" si="1271"/>
        <v>SPS1</v>
      </c>
      <c r="C1070" s="5" t="str">
        <f t="shared" si="1272"/>
        <v>CH</v>
      </c>
      <c r="D1070" t="s">
        <v>1056</v>
      </c>
      <c r="E1070" t="s">
        <v>8</v>
      </c>
      <c r="F1070" s="1">
        <f t="shared" ref="F1070:K1070" si="1282">IFERROR(F$1068/F$1043,0)*F1045</f>
        <v>0</v>
      </c>
      <c r="G1070" s="1">
        <f t="shared" si="1282"/>
        <v>0</v>
      </c>
      <c r="H1070" s="1">
        <f t="shared" si="1282"/>
        <v>0</v>
      </c>
      <c r="I1070" s="1">
        <f t="shared" si="1282"/>
        <v>0</v>
      </c>
      <c r="J1070" s="1">
        <f t="shared" si="1282"/>
        <v>0</v>
      </c>
      <c r="K1070" s="1">
        <f t="shared" si="1282"/>
        <v>0</v>
      </c>
      <c r="L1070" s="1">
        <f t="shared" ref="L1070:O1070" si="1283">IFERROR(L$1068/L$1043,0)*L1045</f>
        <v>0</v>
      </c>
      <c r="M1070" s="1">
        <f t="shared" si="1283"/>
        <v>0</v>
      </c>
      <c r="N1070" s="1">
        <f t="shared" si="1283"/>
        <v>0</v>
      </c>
      <c r="O1070" s="1">
        <f t="shared" si="1283"/>
        <v>0</v>
      </c>
      <c r="P1070" s="1">
        <f t="shared" si="1281"/>
        <v>0</v>
      </c>
      <c r="Q1070" s="1">
        <f t="shared" si="1281"/>
        <v>0</v>
      </c>
      <c r="S1070" s="3"/>
    </row>
    <row r="1071" spans="2:19" x14ac:dyDescent="0.5">
      <c r="B1071" s="5" t="str">
        <f t="shared" si="1271"/>
        <v>SPS1</v>
      </c>
      <c r="C1071" s="5" t="str">
        <f t="shared" si="1272"/>
        <v>CH</v>
      </c>
      <c r="D1071" t="s">
        <v>1057</v>
      </c>
      <c r="E1071" t="s">
        <v>8</v>
      </c>
      <c r="F1071" s="1">
        <f t="shared" ref="F1071:K1071" si="1284">IFERROR(F$1068/F$1043,0)*F1046</f>
        <v>0</v>
      </c>
      <c r="G1071" s="1">
        <f t="shared" si="1284"/>
        <v>0</v>
      </c>
      <c r="H1071" s="1">
        <f t="shared" si="1284"/>
        <v>0</v>
      </c>
      <c r="I1071" s="1">
        <f t="shared" si="1284"/>
        <v>1.3001656105260878E-2</v>
      </c>
      <c r="J1071" s="1">
        <f t="shared" si="1284"/>
        <v>1.8588259939559589E-2</v>
      </c>
      <c r="K1071" s="1">
        <f t="shared" si="1284"/>
        <v>1.5848212699097541E-2</v>
      </c>
      <c r="L1071" s="1">
        <f t="shared" ref="L1071:O1071" si="1285">IFERROR(L$1068/L$1043,0)*L1046</f>
        <v>1.7746881916789595E-2</v>
      </c>
      <c r="M1071" s="1">
        <f t="shared" si="1285"/>
        <v>4.1662758073629971E-2</v>
      </c>
      <c r="N1071" s="1">
        <f t="shared" si="1285"/>
        <v>4.0782964306747542E-2</v>
      </c>
      <c r="O1071" s="1">
        <f t="shared" si="1285"/>
        <v>4.2092721987265609E-2</v>
      </c>
      <c r="P1071" s="1">
        <f t="shared" si="1281"/>
        <v>3.3692424307894688E-2</v>
      </c>
      <c r="Q1071" s="1">
        <f t="shared" si="1281"/>
        <v>6.5582431560567131E-2</v>
      </c>
      <c r="S1071" s="3"/>
    </row>
    <row r="1072" spans="2:19" x14ac:dyDescent="0.5">
      <c r="B1072" s="5" t="str">
        <f t="shared" si="1271"/>
        <v>SPS1</v>
      </c>
      <c r="C1072" s="5" t="str">
        <f t="shared" si="1272"/>
        <v>CH</v>
      </c>
      <c r="D1072" t="s">
        <v>1058</v>
      </c>
      <c r="E1072" t="s">
        <v>8</v>
      </c>
      <c r="F1072" s="1">
        <f>F1067-F1068</f>
        <v>3.9155369556305919</v>
      </c>
      <c r="G1072" s="1">
        <f t="shared" ref="G1072:K1072" si="1286">G1067-G1068</f>
        <v>7.6930249108523254</v>
      </c>
      <c r="H1072" s="1">
        <f t="shared" si="1286"/>
        <v>8.1292228022073729</v>
      </c>
      <c r="I1072" s="1">
        <f t="shared" si="1286"/>
        <v>6.9902746674017102</v>
      </c>
      <c r="J1072" s="1">
        <f t="shared" si="1286"/>
        <v>7.1030208996938216</v>
      </c>
      <c r="K1072" s="1">
        <f t="shared" si="1286"/>
        <v>7.8469225225918198</v>
      </c>
      <c r="L1072" s="1">
        <f t="shared" ref="L1072:O1072" si="1287">L1067-L1068</f>
        <v>7.2224731887967382</v>
      </c>
      <c r="M1072" s="1">
        <f t="shared" si="1287"/>
        <v>7.8451128909561971</v>
      </c>
      <c r="N1072" s="1">
        <f t="shared" si="1287"/>
        <v>7.6785803860784405</v>
      </c>
      <c r="O1072" s="1">
        <f t="shared" si="1287"/>
        <v>7.2828257539639658</v>
      </c>
      <c r="P1072" s="1">
        <f>P1067-P1068</f>
        <v>7.5438846519054836</v>
      </c>
      <c r="Q1072" s="1">
        <f>Q1067-Q1068</f>
        <v>6.7428972034848869</v>
      </c>
      <c r="S1072" s="3"/>
    </row>
    <row r="1073" spans="2:19" x14ac:dyDescent="0.5">
      <c r="B1073" s="5" t="str">
        <f t="shared" si="1271"/>
        <v>SPS1</v>
      </c>
      <c r="C1073" s="5" t="str">
        <f t="shared" si="1272"/>
        <v>CH</v>
      </c>
      <c r="D1073" t="s">
        <v>1059</v>
      </c>
      <c r="E1073" t="s">
        <v>8</v>
      </c>
      <c r="F1073" s="1">
        <f>F1074</f>
        <v>9.1310819855927257</v>
      </c>
      <c r="G1073" s="1">
        <f t="shared" ref="G1073:O1073" si="1288">G1074</f>
        <v>9.1640950781172545</v>
      </c>
      <c r="H1073" s="1">
        <f t="shared" si="1288"/>
        <v>8.2399690121842077</v>
      </c>
      <c r="I1073" s="1">
        <f t="shared" si="1288"/>
        <v>6.5075916577936557</v>
      </c>
      <c r="J1073" s="1">
        <f t="shared" si="1288"/>
        <v>6.0451434522985483</v>
      </c>
      <c r="K1073" s="1">
        <f t="shared" si="1288"/>
        <v>5.3049387757757511</v>
      </c>
      <c r="L1073" s="1">
        <f t="shared" si="1288"/>
        <v>4.6824941038785193</v>
      </c>
      <c r="M1073" s="1">
        <f t="shared" si="1288"/>
        <v>3.8775222888435881</v>
      </c>
      <c r="N1073" s="1">
        <f t="shared" si="1288"/>
        <v>3.6889656750779221</v>
      </c>
      <c r="O1073" s="1">
        <f t="shared" si="1288"/>
        <v>3.1136318312165829</v>
      </c>
      <c r="P1073" s="1">
        <f>P1074</f>
        <v>2.9020724917893301</v>
      </c>
      <c r="Q1073" s="1">
        <f>Q1074</f>
        <v>1.8140858052901738</v>
      </c>
      <c r="S1073" s="3"/>
    </row>
    <row r="1074" spans="2:19" x14ac:dyDescent="0.5">
      <c r="B1074" s="5" t="str">
        <f t="shared" si="1271"/>
        <v>SPS1</v>
      </c>
      <c r="C1074" s="5" t="str">
        <f t="shared" si="1272"/>
        <v>CH</v>
      </c>
      <c r="D1074" t="s">
        <v>1060</v>
      </c>
      <c r="E1074" t="s">
        <v>8</v>
      </c>
      <c r="F1074" s="1">
        <f>[1]Residential!B$111</f>
        <v>9.1310819855927257</v>
      </c>
      <c r="G1074" s="1">
        <f>[1]Residential!C$111</f>
        <v>9.1640950781172545</v>
      </c>
      <c r="H1074" s="1">
        <f>[1]Residential!D$111</f>
        <v>8.2399690121842077</v>
      </c>
      <c r="I1074" s="1">
        <f>[1]Residential!E$111</f>
        <v>6.5075916577936557</v>
      </c>
      <c r="J1074" s="1">
        <f>[1]Residential!F$111</f>
        <v>6.0451434522985483</v>
      </c>
      <c r="K1074" s="1">
        <f>[1]Residential!G$111</f>
        <v>5.3049387757757511</v>
      </c>
      <c r="L1074" s="1">
        <f>[1]Residential!H$111</f>
        <v>4.6824941038785193</v>
      </c>
      <c r="M1074" s="1">
        <f>[1]Residential!I$111</f>
        <v>3.8775222888435881</v>
      </c>
      <c r="N1074" s="1">
        <f>[1]Residential!J$111</f>
        <v>3.6889656750779221</v>
      </c>
      <c r="O1074" s="1">
        <f>[1]Residential!K$111</f>
        <v>3.1136318312165829</v>
      </c>
      <c r="P1074" s="1">
        <f>[1]Residential!L$111</f>
        <v>2.9020724917893301</v>
      </c>
      <c r="Q1074" s="1">
        <f>[1]Residential!M$111</f>
        <v>1.8140858052901738</v>
      </c>
      <c r="S1074" s="3"/>
    </row>
    <row r="1075" spans="2:19" x14ac:dyDescent="0.5">
      <c r="B1075" s="5" t="str">
        <f t="shared" si="1271"/>
        <v>SPS1</v>
      </c>
      <c r="C1075" s="5" t="str">
        <f t="shared" si="1272"/>
        <v>CH</v>
      </c>
      <c r="D1075" t="s">
        <v>1061</v>
      </c>
      <c r="E1075" t="s">
        <v>8</v>
      </c>
      <c r="F1075" s="1">
        <f>F1076</f>
        <v>2.6968941638076478</v>
      </c>
      <c r="G1075" s="1">
        <f t="shared" ref="G1075:O1075" si="1289">G1076</f>
        <v>3.1682229706873177</v>
      </c>
      <c r="H1075" s="1">
        <f t="shared" si="1289"/>
        <v>3.16923795342821</v>
      </c>
      <c r="I1075" s="1">
        <f t="shared" si="1289"/>
        <v>3.2991023893409825</v>
      </c>
      <c r="J1075" s="1">
        <f t="shared" si="1289"/>
        <v>3.4139061011477039</v>
      </c>
      <c r="K1075" s="1">
        <f t="shared" si="1289"/>
        <v>3.49967314068937</v>
      </c>
      <c r="L1075" s="1">
        <f t="shared" si="1289"/>
        <v>3.5680049808454259</v>
      </c>
      <c r="M1075" s="1">
        <f t="shared" si="1289"/>
        <v>3.6222475238469665</v>
      </c>
      <c r="N1075" s="1">
        <f t="shared" si="1289"/>
        <v>3.66455429945329</v>
      </c>
      <c r="O1075" s="1">
        <f t="shared" si="1289"/>
        <v>3.70219980820446</v>
      </c>
      <c r="P1075" s="1">
        <f>P1076</f>
        <v>3.7022099365596861</v>
      </c>
      <c r="Q1075" s="1">
        <f>Q1076</f>
        <v>3.7024429426874965</v>
      </c>
      <c r="S1075" s="3"/>
    </row>
    <row r="1076" spans="2:19" x14ac:dyDescent="0.5">
      <c r="B1076" s="5" t="str">
        <f t="shared" si="1271"/>
        <v>SPS1</v>
      </c>
      <c r="C1076" s="5" t="str">
        <f t="shared" si="1272"/>
        <v>CH</v>
      </c>
      <c r="D1076" t="s">
        <v>1062</v>
      </c>
      <c r="E1076" t="s">
        <v>8</v>
      </c>
      <c r="F1076" s="1">
        <f>[1]Residential!B$112</f>
        <v>2.6968941638076478</v>
      </c>
      <c r="G1076" s="1">
        <f>[1]Residential!C$112</f>
        <v>3.1682229706873177</v>
      </c>
      <c r="H1076" s="1">
        <f>[1]Residential!D$112</f>
        <v>3.16923795342821</v>
      </c>
      <c r="I1076" s="1">
        <f>[1]Residential!E$112</f>
        <v>3.2991023893409825</v>
      </c>
      <c r="J1076" s="1">
        <f>[1]Residential!F$112</f>
        <v>3.4139061011477039</v>
      </c>
      <c r="K1076" s="1">
        <f>[1]Residential!G$112</f>
        <v>3.49967314068937</v>
      </c>
      <c r="L1076" s="1">
        <f>[1]Residential!H$112</f>
        <v>3.5680049808454259</v>
      </c>
      <c r="M1076" s="1">
        <f>[1]Residential!I$112</f>
        <v>3.6222475238469665</v>
      </c>
      <c r="N1076" s="1">
        <f>[1]Residential!J$112</f>
        <v>3.66455429945329</v>
      </c>
      <c r="O1076" s="1">
        <f>[1]Residential!K$112</f>
        <v>3.70219980820446</v>
      </c>
      <c r="P1076" s="1">
        <f>[1]Residential!L$112</f>
        <v>3.7022099365596861</v>
      </c>
      <c r="Q1076" s="1">
        <f>[1]Residential!M$112</f>
        <v>3.7024429426874965</v>
      </c>
      <c r="S1076" s="3"/>
    </row>
    <row r="1077" spans="2:19" x14ac:dyDescent="0.5">
      <c r="B1077" s="5" t="str">
        <f t="shared" si="1271"/>
        <v>SPS1</v>
      </c>
      <c r="C1077" s="5" t="str">
        <f t="shared" si="1272"/>
        <v>CH</v>
      </c>
      <c r="D1077" t="s">
        <v>1063</v>
      </c>
      <c r="E1077" t="s">
        <v>8</v>
      </c>
      <c r="F1077" s="1">
        <f>F1078</f>
        <v>0.78534802735733966</v>
      </c>
      <c r="G1077" s="1">
        <f t="shared" ref="G1077:O1077" si="1290">G1078</f>
        <v>0.94131657130400792</v>
      </c>
      <c r="H1077" s="1">
        <f t="shared" si="1290"/>
        <v>0.94352776768770086</v>
      </c>
      <c r="I1077" s="1">
        <f t="shared" si="1290"/>
        <v>0.9422927346703821</v>
      </c>
      <c r="J1077" s="1">
        <f t="shared" si="1290"/>
        <v>0.88975295717465852</v>
      </c>
      <c r="K1077" s="1">
        <f t="shared" si="1290"/>
        <v>0.85895223038055335</v>
      </c>
      <c r="L1077" s="1">
        <f t="shared" si="1290"/>
        <v>0.85944375991890298</v>
      </c>
      <c r="M1077" s="1">
        <f t="shared" si="1290"/>
        <v>0.80711994964393408</v>
      </c>
      <c r="N1077" s="1">
        <f t="shared" si="1290"/>
        <v>0.79581325605961495</v>
      </c>
      <c r="O1077" s="1">
        <f t="shared" si="1290"/>
        <v>0.74449595935046697</v>
      </c>
      <c r="P1077" s="1">
        <f>P1078</f>
        <v>0.75428810034018912</v>
      </c>
      <c r="Q1077" s="1">
        <f>Q1078</f>
        <v>0.63952408978068753</v>
      </c>
      <c r="S1077" s="3"/>
    </row>
    <row r="1078" spans="2:19" x14ac:dyDescent="0.5">
      <c r="B1078" s="5" t="str">
        <f t="shared" si="1271"/>
        <v>SPS1</v>
      </c>
      <c r="C1078" s="5" t="str">
        <f t="shared" si="1272"/>
        <v>CH</v>
      </c>
      <c r="D1078" t="s">
        <v>1064</v>
      </c>
      <c r="E1078" t="s">
        <v>8</v>
      </c>
      <c r="F1078" s="1">
        <f>[1]Residential!B$113</f>
        <v>0.78534802735733966</v>
      </c>
      <c r="G1078" s="1">
        <f>[1]Residential!C$113</f>
        <v>0.94131657130400792</v>
      </c>
      <c r="H1078" s="1">
        <f>[1]Residential!D$113</f>
        <v>0.94352776768770086</v>
      </c>
      <c r="I1078" s="1">
        <f>[1]Residential!E$113</f>
        <v>0.9422927346703821</v>
      </c>
      <c r="J1078" s="1">
        <f>[1]Residential!F$113</f>
        <v>0.88975295717465852</v>
      </c>
      <c r="K1078" s="1">
        <f>[1]Residential!G$113</f>
        <v>0.85895223038055335</v>
      </c>
      <c r="L1078" s="1">
        <f>[1]Residential!H$113</f>
        <v>0.85944375991890298</v>
      </c>
      <c r="M1078" s="1">
        <f>[1]Residential!I$113</f>
        <v>0.80711994964393408</v>
      </c>
      <c r="N1078" s="1">
        <f>[1]Residential!J$113</f>
        <v>0.79581325605961495</v>
      </c>
      <c r="O1078" s="1">
        <f>[1]Residential!K$113</f>
        <v>0.74449595935046697</v>
      </c>
      <c r="P1078" s="1">
        <f>[1]Residential!L$113</f>
        <v>0.75428810034018912</v>
      </c>
      <c r="Q1078" s="1">
        <f>[1]Residential!M$113</f>
        <v>0.63952408978068753</v>
      </c>
      <c r="S1078" s="3"/>
    </row>
    <row r="1079" spans="2:19" x14ac:dyDescent="0.5">
      <c r="B1079" s="5" t="str">
        <f t="shared" si="1271"/>
        <v>SPS1</v>
      </c>
      <c r="C1079" s="5" t="str">
        <f t="shared" si="1272"/>
        <v>CH</v>
      </c>
      <c r="D1079" t="s">
        <v>1065</v>
      </c>
      <c r="E1079" t="s">
        <v>8</v>
      </c>
      <c r="F1079" s="1">
        <f>F1080</f>
        <v>0</v>
      </c>
      <c r="G1079" s="1">
        <f t="shared" ref="G1079:O1079" si="1291">G1080</f>
        <v>0</v>
      </c>
      <c r="H1079" s="1">
        <f t="shared" si="1291"/>
        <v>0</v>
      </c>
      <c r="I1079" s="1">
        <f t="shared" si="1291"/>
        <v>0</v>
      </c>
      <c r="J1079" s="1">
        <f t="shared" si="1291"/>
        <v>0</v>
      </c>
      <c r="K1079" s="1">
        <f t="shared" si="1291"/>
        <v>0</v>
      </c>
      <c r="L1079" s="1">
        <f t="shared" si="1291"/>
        <v>0</v>
      </c>
      <c r="M1079" s="1">
        <f t="shared" si="1291"/>
        <v>0</v>
      </c>
      <c r="N1079" s="1">
        <f t="shared" si="1291"/>
        <v>0</v>
      </c>
      <c r="O1079" s="1">
        <f t="shared" si="1291"/>
        <v>0</v>
      </c>
      <c r="P1079" s="1">
        <f>P1080</f>
        <v>0</v>
      </c>
      <c r="Q1079" s="1">
        <f>Q1080</f>
        <v>0</v>
      </c>
      <c r="S1079" s="3"/>
    </row>
    <row r="1080" spans="2:19" x14ac:dyDescent="0.5">
      <c r="B1080" s="5" t="str">
        <f t="shared" si="1271"/>
        <v>SPS1</v>
      </c>
      <c r="C1080" s="5" t="str">
        <f t="shared" si="127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[1]Residential!F$114</f>
        <v>0</v>
      </c>
      <c r="K1080" s="1">
        <f>[1]Residential!G$114</f>
        <v>0</v>
      </c>
      <c r="L1080" s="1">
        <f>[1]Residential!H$114</f>
        <v>0</v>
      </c>
      <c r="M1080" s="1">
        <f>[1]Residential!I$114</f>
        <v>0</v>
      </c>
      <c r="N1080" s="1">
        <f>[1]Residential!J$114</f>
        <v>0</v>
      </c>
      <c r="O1080" s="1">
        <f>[1]Residential!K$114</f>
        <v>0</v>
      </c>
      <c r="P1080" s="1">
        <f>[1]Residential!L$114</f>
        <v>0</v>
      </c>
      <c r="Q1080" s="1">
        <f>[1]Residential!M$114</f>
        <v>0</v>
      </c>
      <c r="S1080" s="3"/>
    </row>
    <row r="1081" spans="2:19" x14ac:dyDescent="0.5">
      <c r="B1081" s="5" t="str">
        <f t="shared" si="1271"/>
        <v>SPS1</v>
      </c>
      <c r="C1081" s="5" t="str">
        <f t="shared" si="1272"/>
        <v>CH</v>
      </c>
      <c r="D1081" t="s">
        <v>1067</v>
      </c>
      <c r="E1081" t="s">
        <v>8</v>
      </c>
      <c r="F1081" s="1">
        <f>[1]Residential!B$10-[1]Residential!B$223</f>
        <v>2.9132532899542039</v>
      </c>
      <c r="G1081" s="1">
        <f>[1]Residential!C$10-[1]Residential!C$223</f>
        <v>6.9416238247263093</v>
      </c>
      <c r="H1081" s="1">
        <f>[1]Residential!D$10-[1]Residential!D$223</f>
        <v>6.9411608244544931</v>
      </c>
      <c r="I1081" s="1">
        <f>[1]Residential!E$10-[1]Residential!E$223</f>
        <v>6.9400296492889604</v>
      </c>
      <c r="J1081" s="1">
        <f>[1]Residential!F$10-[1]Residential!F$223</f>
        <v>6.9409242742888742</v>
      </c>
      <c r="K1081" s="1">
        <f>[1]Residential!G$10-[1]Residential!G$223</f>
        <v>6.9409919125578279</v>
      </c>
      <c r="L1081" s="1">
        <f>[1]Residential!H$10-[1]Residential!H$223</f>
        <v>6.9405318955234847</v>
      </c>
      <c r="M1081" s="1">
        <f>[1]Residential!I$10-[1]Residential!I$223</f>
        <v>6.9402853779022715</v>
      </c>
      <c r="N1081" s="1">
        <f>[1]Residential!J$10-[1]Residential!J$223</f>
        <v>6.9403125900138196</v>
      </c>
      <c r="O1081" s="1">
        <f>[1]Residential!K$10-[1]Residential!K$223</f>
        <v>6.9405368739122446</v>
      </c>
      <c r="P1081" s="1">
        <f>[1]Residential!L$10-[1]Residential!L$223</f>
        <v>6.9402362633208652</v>
      </c>
      <c r="Q1081" s="1">
        <f>[1]Residential!M$10-[1]Residential!M$223</f>
        <v>6.9421725051421159</v>
      </c>
      <c r="S1081" s="3"/>
    </row>
    <row r="1082" spans="2:19" x14ac:dyDescent="0.5">
      <c r="B1082" s="5" t="str">
        <f t="shared" si="1271"/>
        <v>SPS1</v>
      </c>
      <c r="C1082" s="5" t="str">
        <f t="shared" si="1272"/>
        <v>CH</v>
      </c>
      <c r="D1082" t="s">
        <v>1068</v>
      </c>
      <c r="E1082" t="s">
        <v>8</v>
      </c>
      <c r="F1082" s="1">
        <f>[1]Residential!B$224</f>
        <v>26.978397275262171</v>
      </c>
      <c r="G1082" s="1">
        <f>[1]Residential!C$224</f>
        <v>25.930076658010215</v>
      </c>
      <c r="H1082" s="1">
        <f>[1]Residential!D$224</f>
        <v>25.957955415337782</v>
      </c>
      <c r="I1082" s="1">
        <f>[1]Residential!E$224</f>
        <v>25.592074918817744</v>
      </c>
      <c r="J1082" s="1">
        <f>[1]Residential!F$224</f>
        <v>25.70369995979539</v>
      </c>
      <c r="K1082" s="1">
        <f>[1]Residential!G$224</f>
        <v>25.58151507131506</v>
      </c>
      <c r="L1082" s="1">
        <f>[1]Residential!H$224</f>
        <v>25.382009774616947</v>
      </c>
      <c r="M1082" s="1">
        <f>[1]Residential!I$224</f>
        <v>25.143139786312908</v>
      </c>
      <c r="N1082" s="1">
        <f>[1]Residential!J$224</f>
        <v>25.443483626149657</v>
      </c>
      <c r="O1082" s="1">
        <f>[1]Residential!K$224</f>
        <v>24.978668944021717</v>
      </c>
      <c r="P1082" s="1">
        <f>[1]Residential!L$224</f>
        <v>24.519890766848093</v>
      </c>
      <c r="Q1082" s="1">
        <f>[1]Residential!M$224</f>
        <v>24.090290285309436</v>
      </c>
      <c r="S1082" s="3"/>
    </row>
    <row r="1083" spans="2:19" x14ac:dyDescent="0.5">
      <c r="B1083" s="5" t="str">
        <f t="shared" si="1271"/>
        <v>SPS1</v>
      </c>
      <c r="C1083" s="5" t="str">
        <f t="shared" si="1272"/>
        <v>CH</v>
      </c>
      <c r="D1083" t="s">
        <v>1118</v>
      </c>
      <c r="E1083" t="s">
        <v>8</v>
      </c>
      <c r="F1083" s="1">
        <f>SUM(F1084:F1085)</f>
        <v>9.8846241988414754</v>
      </c>
      <c r="G1083" s="1">
        <f t="shared" ref="G1083:K1083" si="1292">SUM(G1084:G1085)</f>
        <v>10.604183497507201</v>
      </c>
      <c r="H1083" s="1">
        <f t="shared" si="1292"/>
        <v>11.844481174596993</v>
      </c>
      <c r="I1083" s="1">
        <f t="shared" si="1292"/>
        <v>11.131722116778235</v>
      </c>
      <c r="J1083" s="1">
        <f t="shared" si="1292"/>
        <v>11.882531099396813</v>
      </c>
      <c r="K1083" s="1">
        <f t="shared" si="1292"/>
        <v>11.630026144070095</v>
      </c>
      <c r="L1083" s="1">
        <f t="shared" ref="L1083:O1083" si="1293">SUM(L1084:L1085)</f>
        <v>11.375438936108587</v>
      </c>
      <c r="M1083" s="1">
        <f t="shared" si="1293"/>
        <v>10.277033876556597</v>
      </c>
      <c r="N1083" s="1">
        <f t="shared" si="1293"/>
        <v>10.936895372264784</v>
      </c>
      <c r="O1083" s="1">
        <f t="shared" si="1293"/>
        <v>11.058743813858143</v>
      </c>
      <c r="P1083" s="1">
        <f>SUM(P1084:P1085)</f>
        <v>9.5192849229325383</v>
      </c>
      <c r="Q1083" s="1">
        <f>SUM(Q1084:Q1085)</f>
        <v>10.831456709804964</v>
      </c>
      <c r="S1083" s="3"/>
    </row>
    <row r="1084" spans="2:19" x14ac:dyDescent="0.5">
      <c r="B1084" s="5" t="str">
        <f t="shared" si="1271"/>
        <v>SPS1</v>
      </c>
      <c r="C1084" s="5" t="str">
        <f t="shared" si="1272"/>
        <v>CH</v>
      </c>
      <c r="D1084" t="s">
        <v>1119</v>
      </c>
      <c r="E1084" t="s">
        <v>8</v>
      </c>
      <c r="F1084" s="1">
        <f>[1]Residential!B$231-F1058</f>
        <v>6.6447099636336269</v>
      </c>
      <c r="G1084" s="1">
        <f>[1]Residential!C$231-G1058</f>
        <v>6.9687112740172878</v>
      </c>
      <c r="H1084" s="1">
        <f>[1]Residential!D$231-H1058</f>
        <v>6.9065258059606656</v>
      </c>
      <c r="I1084" s="1">
        <f>[1]Residential!E$231-I1058</f>
        <v>5.1397594048475703</v>
      </c>
      <c r="J1084" s="1">
        <f>[1]Residential!F$231-J1058</f>
        <v>4.1009468642722471</v>
      </c>
      <c r="K1084" s="1">
        <f>[1]Residential!G$231-K1058</f>
        <v>3.5875161528047794</v>
      </c>
      <c r="L1084" s="1">
        <f>[1]Residential!H$231-L1058</f>
        <v>2.9941684780567179</v>
      </c>
      <c r="M1084" s="1">
        <f>[1]Residential!I$231-M1058</f>
        <v>1.893085535925167</v>
      </c>
      <c r="N1084" s="1">
        <f>[1]Residential!J$231-N1058</f>
        <v>0.49785174444481128</v>
      </c>
      <c r="O1084" s="1">
        <f>[1]Residential!K$231-O1058</f>
        <v>0.46630767446736221</v>
      </c>
      <c r="P1084" s="1">
        <f>[1]Residential!L$231-P1058</f>
        <v>0.42457477723371884</v>
      </c>
      <c r="Q1084" s="1">
        <f>[1]Residential!M$231-Q1058</f>
        <v>0.34723708567750639</v>
      </c>
      <c r="S1084" s="3"/>
    </row>
    <row r="1085" spans="2:19" x14ac:dyDescent="0.5">
      <c r="B1085" s="5" t="str">
        <f t="shared" si="1271"/>
        <v>SPS1</v>
      </c>
      <c r="C1085" s="5" t="str">
        <f t="shared" si="1272"/>
        <v>CH</v>
      </c>
      <c r="D1085" t="s">
        <v>1120</v>
      </c>
      <c r="E1085" t="s">
        <v>8</v>
      </c>
      <c r="F1085" s="1">
        <f>[1]Residential!B$233-F1059</f>
        <v>3.2399142352078485</v>
      </c>
      <c r="G1085" s="1">
        <f>[1]Residential!C$233-G1059</f>
        <v>3.6354722234899128</v>
      </c>
      <c r="H1085" s="1">
        <f>[1]Residential!D$233-H1059</f>
        <v>4.9379553686363273</v>
      </c>
      <c r="I1085" s="1">
        <f>[1]Residential!E$233-I1059</f>
        <v>5.9919627119306647</v>
      </c>
      <c r="J1085" s="1">
        <f>[1]Residential!F$233-J1059</f>
        <v>7.7815842351245657</v>
      </c>
      <c r="K1085" s="1">
        <f>[1]Residential!G$233-K1059</f>
        <v>8.042509991265316</v>
      </c>
      <c r="L1085" s="1">
        <f>[1]Residential!H$233-L1059</f>
        <v>8.3812704580518691</v>
      </c>
      <c r="M1085" s="1">
        <f>[1]Residential!I$233-M1059</f>
        <v>8.3839483406314308</v>
      </c>
      <c r="N1085" s="1">
        <f>[1]Residential!J$233-N1059</f>
        <v>10.439043627819974</v>
      </c>
      <c r="O1085" s="1">
        <f>[1]Residential!K$233-O1059</f>
        <v>10.592436139390781</v>
      </c>
      <c r="P1085" s="1">
        <f>[1]Residential!L$233-P1059</f>
        <v>9.0947101456988193</v>
      </c>
      <c r="Q1085" s="1">
        <f>[1]Residential!M$233-Q1059</f>
        <v>10.484219624127459</v>
      </c>
      <c r="S1085" s="3"/>
    </row>
    <row r="1086" spans="2:19" x14ac:dyDescent="0.5">
      <c r="B1086" s="5" t="str">
        <f t="shared" si="1271"/>
        <v>SPS1</v>
      </c>
      <c r="C1086" s="5" t="str">
        <f t="shared" si="1272"/>
        <v>CH</v>
      </c>
      <c r="D1086" t="s">
        <v>1069</v>
      </c>
      <c r="E1086" t="s">
        <v>8</v>
      </c>
      <c r="F1086" s="1">
        <f>F1087</f>
        <v>6.984461014078903</v>
      </c>
      <c r="G1086" s="1">
        <f t="shared" ref="G1086:O1086" si="1294">G1087</f>
        <v>5.9374037237159882</v>
      </c>
      <c r="H1086" s="1">
        <f t="shared" si="1294"/>
        <v>1.2338338693048954</v>
      </c>
      <c r="I1086" s="1">
        <f t="shared" si="1294"/>
        <v>1.9889448365537632</v>
      </c>
      <c r="J1086" s="1">
        <f t="shared" si="1294"/>
        <v>0.58089541105663756</v>
      </c>
      <c r="K1086" s="1">
        <f t="shared" si="1294"/>
        <v>5.361202746861693E-3</v>
      </c>
      <c r="L1086" s="1">
        <f t="shared" si="1294"/>
        <v>5.356815702448614E-3</v>
      </c>
      <c r="M1086" s="1">
        <f t="shared" si="1294"/>
        <v>5.0418174544475391E-3</v>
      </c>
      <c r="N1086" s="1">
        <f t="shared" si="1294"/>
        <v>6.9844866416417517E-3</v>
      </c>
      <c r="O1086" s="1">
        <f t="shared" si="1294"/>
        <v>1.0548106000786817E-2</v>
      </c>
      <c r="P1086" s="1">
        <f>P1087</f>
        <v>8.8268759375633721E-3</v>
      </c>
      <c r="Q1086" s="1">
        <f>Q1087</f>
        <v>2.5004288761827809E-2</v>
      </c>
      <c r="S1086" s="3"/>
    </row>
    <row r="1087" spans="2:19" x14ac:dyDescent="0.5">
      <c r="B1087" s="5" t="str">
        <f t="shared" si="1271"/>
        <v>SPS1</v>
      </c>
      <c r="C1087" s="5" t="str">
        <f t="shared" si="1272"/>
        <v>CH</v>
      </c>
      <c r="D1087" t="s">
        <v>1070</v>
      </c>
      <c r="E1087" t="s">
        <v>8</v>
      </c>
      <c r="F1087" s="1">
        <f>[1]Residential!B$234-F1061</f>
        <v>6.984461014078903</v>
      </c>
      <c r="G1087" s="1">
        <f>[1]Residential!C$234-G1061</f>
        <v>5.9374037237159882</v>
      </c>
      <c r="H1087" s="1">
        <f>[1]Residential!D$234-H1061</f>
        <v>1.2338338693048954</v>
      </c>
      <c r="I1087" s="1">
        <f>[1]Residential!E$234-I1061</f>
        <v>1.9889448365537632</v>
      </c>
      <c r="J1087" s="1">
        <f>[1]Residential!F$234-J1061</f>
        <v>0.58089541105663756</v>
      </c>
      <c r="K1087" s="1">
        <f>[1]Residential!G$234-K1061</f>
        <v>5.361202746861693E-3</v>
      </c>
      <c r="L1087" s="1">
        <f>[1]Residential!H$234-L1061</f>
        <v>5.356815702448614E-3</v>
      </c>
      <c r="M1087" s="1">
        <f>[1]Residential!I$234-M1061</f>
        <v>5.0418174544475391E-3</v>
      </c>
      <c r="N1087" s="1">
        <f>[1]Residential!J$234-N1061</f>
        <v>6.9844866416417517E-3</v>
      </c>
      <c r="O1087" s="1">
        <f>[1]Residential!K$234-O1061</f>
        <v>1.0548106000786817E-2</v>
      </c>
      <c r="P1087" s="1">
        <f>[1]Residential!L$234-P1061</f>
        <v>8.8268759375633721E-3</v>
      </c>
      <c r="Q1087" s="1">
        <f>[1]Residential!M$234-Q1061</f>
        <v>2.5004288761827809E-2</v>
      </c>
      <c r="S1087" s="3"/>
    </row>
    <row r="1088" spans="2:19" x14ac:dyDescent="0.5">
      <c r="B1088" s="5" t="str">
        <f t="shared" si="1271"/>
        <v>SPS1</v>
      </c>
      <c r="C1088" s="5" t="str">
        <f t="shared" si="1272"/>
        <v>CH</v>
      </c>
      <c r="D1088" t="s">
        <v>1071</v>
      </c>
      <c r="E1088" t="s">
        <v>8</v>
      </c>
      <c r="F1088" s="1">
        <f>SUM(F1089:F1090)</f>
        <v>6.3804648572307059</v>
      </c>
      <c r="G1088" s="1">
        <f t="shared" ref="G1088:K1088" si="1295">SUM(G1089:G1090)</f>
        <v>5.1462747396663033</v>
      </c>
      <c r="H1088" s="1">
        <f t="shared" si="1295"/>
        <v>9.0167225991786601</v>
      </c>
      <c r="I1088" s="1">
        <f t="shared" si="1295"/>
        <v>9.1380409972346417</v>
      </c>
      <c r="J1088" s="1">
        <f t="shared" si="1295"/>
        <v>10.259160945710859</v>
      </c>
      <c r="K1088" s="1">
        <f t="shared" si="1295"/>
        <v>10.898601791357965</v>
      </c>
      <c r="L1088" s="1">
        <f t="shared" ref="L1088:O1088" si="1296">SUM(L1089:L1090)</f>
        <v>11.083000744991896</v>
      </c>
      <c r="M1088" s="1">
        <f t="shared" si="1296"/>
        <v>11.929607680277311</v>
      </c>
      <c r="N1088" s="1">
        <f t="shared" si="1296"/>
        <v>11.617529068458444</v>
      </c>
      <c r="O1088" s="1">
        <f t="shared" si="1296"/>
        <v>11.182297850039882</v>
      </c>
      <c r="P1088" s="1">
        <f>SUM(P1089:P1090)</f>
        <v>12.214768657407657</v>
      </c>
      <c r="Q1088" s="1">
        <f>SUM(Q1089:Q1090)</f>
        <v>10.786536103302122</v>
      </c>
      <c r="S1088" s="3"/>
    </row>
    <row r="1089" spans="2:19" x14ac:dyDescent="0.5">
      <c r="B1089" s="5" t="str">
        <f t="shared" si="1271"/>
        <v>SPS1</v>
      </c>
      <c r="C1089" s="5" t="str">
        <f t="shared" si="1272"/>
        <v>CH</v>
      </c>
      <c r="D1089" t="s">
        <v>1072</v>
      </c>
      <c r="E1089" t="s">
        <v>8</v>
      </c>
      <c r="F1089" s="1">
        <f>[1]Residential!B$235-F1063</f>
        <v>6.3804648572307059</v>
      </c>
      <c r="G1089" s="1">
        <f>[1]Residential!C$235-G1063</f>
        <v>5.1462747396663033</v>
      </c>
      <c r="H1089" s="1">
        <f>[1]Residential!D$235-H1063</f>
        <v>9.0139704179463962</v>
      </c>
      <c r="I1089" s="1">
        <f>[1]Residential!E$235-I1063</f>
        <v>9.1349051568120174</v>
      </c>
      <c r="J1089" s="1">
        <f>[1]Residential!F$235-J1063</f>
        <v>9.7554978355179784</v>
      </c>
      <c r="K1089" s="1">
        <f>[1]Residential!G$235-K1063</f>
        <v>9.5926429690844088</v>
      </c>
      <c r="L1089" s="1">
        <f>[1]Residential!H$235-L1063</f>
        <v>9.3061029362147565</v>
      </c>
      <c r="M1089" s="1">
        <f>[1]Residential!I$235-M1063</f>
        <v>9.0240704164014645</v>
      </c>
      <c r="N1089" s="1">
        <f>[1]Residential!J$235-N1063</f>
        <v>8.5111349676616754</v>
      </c>
      <c r="O1089" s="1">
        <f>[1]Residential!K$235-O1063</f>
        <v>7.9313854193306881</v>
      </c>
      <c r="P1089" s="1">
        <f>[1]Residential!L$235-P1063</f>
        <v>7.7683694951276863</v>
      </c>
      <c r="Q1089" s="1">
        <f>[1]Residential!M$235-Q1063</f>
        <v>6.3352688736378653</v>
      </c>
      <c r="S1089" s="3"/>
    </row>
    <row r="1090" spans="2:19" x14ac:dyDescent="0.5">
      <c r="B1090" s="5" t="str">
        <f t="shared" si="1271"/>
        <v>SPS1</v>
      </c>
      <c r="C1090" s="5" t="str">
        <f t="shared" si="127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2.752181232263437E-3</v>
      </c>
      <c r="I1090" s="1">
        <f>[1]Residential!E$236-I1064</f>
        <v>3.1358404226234267E-3</v>
      </c>
      <c r="J1090" s="1">
        <f>[1]Residential!F$236-J1064</f>
        <v>0.50366311019287968</v>
      </c>
      <c r="K1090" s="1">
        <f>[1]Residential!G$236-K1064</f>
        <v>1.3059588222735554</v>
      </c>
      <c r="L1090" s="1">
        <f>[1]Residential!H$236-L1064</f>
        <v>1.7768978087771385</v>
      </c>
      <c r="M1090" s="1">
        <f>[1]Residential!I$236-M1064</f>
        <v>2.9055372638758463</v>
      </c>
      <c r="N1090" s="1">
        <f>[1]Residential!J$236-N1064</f>
        <v>3.1063941007967681</v>
      </c>
      <c r="O1090" s="1">
        <f>[1]Residential!K$236-O1064</f>
        <v>3.2509124307091941</v>
      </c>
      <c r="P1090" s="1">
        <f>[1]Residential!L$236-P1064</f>
        <v>4.4463991622799703</v>
      </c>
      <c r="Q1090" s="1">
        <f>[1]Residential!M$236-Q1064</f>
        <v>4.451267229664257</v>
      </c>
      <c r="S1090" s="3"/>
    </row>
    <row r="1091" spans="2:19" x14ac:dyDescent="0.5">
      <c r="B1091" s="5" t="str">
        <f t="shared" si="1271"/>
        <v>SPS1</v>
      </c>
      <c r="C1091" s="5" t="str">
        <f t="shared" si="127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S1091" s="3"/>
    </row>
    <row r="1092" spans="2:19" x14ac:dyDescent="0.5">
      <c r="B1092" s="5" t="str">
        <f t="shared" si="1271"/>
        <v>SPS1</v>
      </c>
      <c r="C1092" s="5" t="str">
        <f t="shared" si="127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S1092" s="3"/>
    </row>
    <row r="1093" spans="2:19" x14ac:dyDescent="0.5">
      <c r="B1093" s="5" t="str">
        <f t="shared" si="1271"/>
        <v>SPS1</v>
      </c>
      <c r="C1093" s="5" t="str">
        <f t="shared" si="1272"/>
        <v>CH</v>
      </c>
      <c r="D1093" t="s">
        <v>1076</v>
      </c>
      <c r="E1093" t="s">
        <v>8</v>
      </c>
      <c r="F1093" s="1">
        <f>SUM(F1094,F1098)</f>
        <v>1.3170890593454523</v>
      </c>
      <c r="G1093" s="1">
        <f t="shared" ref="G1093:K1093" si="1297">SUM(G1094,G1098)</f>
        <v>1.4633808621146676</v>
      </c>
      <c r="H1093" s="1">
        <f t="shared" si="1297"/>
        <v>1.4537069396544315</v>
      </c>
      <c r="I1093" s="1">
        <f t="shared" si="1297"/>
        <v>1.4418097610855585</v>
      </c>
      <c r="J1093" s="1">
        <f t="shared" si="1297"/>
        <v>1.4642061795195356</v>
      </c>
      <c r="K1093" s="1">
        <f t="shared" si="1297"/>
        <v>1.5964221399917491</v>
      </c>
      <c r="L1093" s="1">
        <f t="shared" ref="L1093:O1093" si="1298">SUM(L1094,L1098)</f>
        <v>1.4890088896460429</v>
      </c>
      <c r="M1093" s="1">
        <f t="shared" si="1298"/>
        <v>1.5993411130810786</v>
      </c>
      <c r="N1093" s="1">
        <f t="shared" si="1298"/>
        <v>1.5703031190405676</v>
      </c>
      <c r="O1093" s="1">
        <f t="shared" si="1298"/>
        <v>1.5024553462893544</v>
      </c>
      <c r="P1093" s="1">
        <f>SUM(P1094,P1098)</f>
        <v>1.5485411366205597</v>
      </c>
      <c r="Q1093" s="1">
        <f>SUM(Q1094,Q1098)</f>
        <v>1.4088431921290747</v>
      </c>
      <c r="S1093" s="3"/>
    </row>
    <row r="1094" spans="2:19" x14ac:dyDescent="0.5">
      <c r="B1094" s="5" t="str">
        <f t="shared" si="1271"/>
        <v>SPS1</v>
      </c>
      <c r="C1094" s="5" t="str">
        <f t="shared" si="1272"/>
        <v>CH</v>
      </c>
      <c r="D1094" t="s">
        <v>1077</v>
      </c>
      <c r="E1094" t="s">
        <v>8</v>
      </c>
      <c r="F1094" s="1">
        <f>[1]Residential!B$238-F1068</f>
        <v>2.4417190877635997E-2</v>
      </c>
      <c r="G1094" s="1">
        <f>[1]Residential!C$238-G1068</f>
        <v>9.9575608140337578E-4</v>
      </c>
      <c r="H1094" s="1">
        <f>[1]Residential!D$238-H1068</f>
        <v>3.586054228591401E-2</v>
      </c>
      <c r="I1094" s="1">
        <f>[1]Residential!E$238-I1068</f>
        <v>0.2225556919526801</v>
      </c>
      <c r="J1094" s="1">
        <f>[1]Residential!F$238-J1068</f>
        <v>0.22529163803231578</v>
      </c>
      <c r="K1094" s="1">
        <f>[1]Residential!G$238-K1068</f>
        <v>0.22775673599743018</v>
      </c>
      <c r="L1094" s="1">
        <f>[1]Residential!H$238-L1068</f>
        <v>0.22926179494603693</v>
      </c>
      <c r="M1094" s="1">
        <f>[1]Residential!I$238-M1068</f>
        <v>0.23099661144832595</v>
      </c>
      <c r="N1094" s="1">
        <f>[1]Residential!J$238-N1068</f>
        <v>0.23099291557679624</v>
      </c>
      <c r="O1094" s="1">
        <f>[1]Residential!K$238-O1068</f>
        <v>0.23217618088879854</v>
      </c>
      <c r="P1094" s="1">
        <f>[1]Residential!L$238-P1068</f>
        <v>0.23272310148975728</v>
      </c>
      <c r="Q1094" s="1">
        <f>[1]Residential!M$238-Q1068</f>
        <v>0.23274180542341427</v>
      </c>
      <c r="S1094" s="3"/>
    </row>
    <row r="1095" spans="2:19" x14ac:dyDescent="0.5">
      <c r="B1095" s="5" t="str">
        <f t="shared" si="1271"/>
        <v>SPS1</v>
      </c>
      <c r="C1095" s="5" t="str">
        <f t="shared" si="1272"/>
        <v>CH</v>
      </c>
      <c r="D1095" t="s">
        <v>1078</v>
      </c>
      <c r="E1095" t="s">
        <v>8</v>
      </c>
      <c r="F1095" s="1">
        <f>IFERROR(F$1094/F$1043,0)*F1044</f>
        <v>2.4417190877635997E-2</v>
      </c>
      <c r="G1095" s="1">
        <f t="shared" ref="G1095:K1097" si="1299">IFERROR(G$1094/G$1043,0)*G1044</f>
        <v>9.9575608140337578E-4</v>
      </c>
      <c r="H1095" s="1">
        <f t="shared" si="1299"/>
        <v>3.586054228591401E-2</v>
      </c>
      <c r="I1095" s="1">
        <f t="shared" si="1299"/>
        <v>0.22028792382251908</v>
      </c>
      <c r="J1095" s="1">
        <f t="shared" si="1299"/>
        <v>0.22204945898409456</v>
      </c>
      <c r="K1095" s="1">
        <f t="shared" si="1299"/>
        <v>0.2249924802813901</v>
      </c>
      <c r="L1095" s="1">
        <f t="shared" ref="L1095:O1095" si="1300">IFERROR(L$1094/L$1043,0)*L1044</f>
        <v>0.2261663756415612</v>
      </c>
      <c r="M1095" s="1">
        <f t="shared" si="1300"/>
        <v>0.22372979365675194</v>
      </c>
      <c r="N1095" s="1">
        <f t="shared" si="1300"/>
        <v>0.2238794860784796</v>
      </c>
      <c r="O1095" s="1">
        <f t="shared" si="1300"/>
        <v>0.22483431805124285</v>
      </c>
      <c r="P1095" s="1">
        <f t="shared" ref="P1095:Q1097" si="1301">IFERROR(P$1094/P$1043,0)*P1044</f>
        <v>0.22684640777063883</v>
      </c>
      <c r="Q1095" s="1">
        <f t="shared" si="1301"/>
        <v>0.22130286658536572</v>
      </c>
      <c r="S1095" s="3"/>
    </row>
    <row r="1096" spans="2:19" x14ac:dyDescent="0.5">
      <c r="B1096" s="5" t="str">
        <f t="shared" si="1271"/>
        <v>SPS1</v>
      </c>
      <c r="C1096" s="5" t="str">
        <f t="shared" si="127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99"/>
        <v>0</v>
      </c>
      <c r="H1096" s="1">
        <f t="shared" si="1299"/>
        <v>0</v>
      </c>
      <c r="I1096" s="1">
        <f t="shared" si="1299"/>
        <v>0</v>
      </c>
      <c r="J1096" s="1">
        <f t="shared" si="1299"/>
        <v>0</v>
      </c>
      <c r="K1096" s="1">
        <f t="shared" si="1299"/>
        <v>0</v>
      </c>
      <c r="L1096" s="1">
        <f t="shared" ref="L1096:O1096" si="1302">IFERROR(L$1094/L$1043,0)*L1045</f>
        <v>0</v>
      </c>
      <c r="M1096" s="1">
        <f t="shared" si="1302"/>
        <v>0</v>
      </c>
      <c r="N1096" s="1">
        <f t="shared" si="1302"/>
        <v>0</v>
      </c>
      <c r="O1096" s="1">
        <f t="shared" si="1302"/>
        <v>0</v>
      </c>
      <c r="P1096" s="1">
        <f t="shared" si="1301"/>
        <v>0</v>
      </c>
      <c r="Q1096" s="1">
        <f t="shared" si="1301"/>
        <v>0</v>
      </c>
      <c r="S1096" s="3"/>
    </row>
    <row r="1097" spans="2:19" x14ac:dyDescent="0.5">
      <c r="B1097" s="5" t="str">
        <f t="shared" si="1271"/>
        <v>SPS1</v>
      </c>
      <c r="C1097" s="5" t="str">
        <f t="shared" si="127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99"/>
        <v>0</v>
      </c>
      <c r="H1097" s="1">
        <f t="shared" si="1299"/>
        <v>0</v>
      </c>
      <c r="I1097" s="1">
        <f t="shared" si="1299"/>
        <v>2.2677681301610398E-3</v>
      </c>
      <c r="J1097" s="1">
        <f t="shared" si="1299"/>
        <v>3.2421790482212169E-3</v>
      </c>
      <c r="K1097" s="1">
        <f t="shared" si="1299"/>
        <v>2.7642557160400972E-3</v>
      </c>
      <c r="L1097" s="1">
        <f t="shared" ref="L1097:O1097" si="1303">IFERROR(L$1094/L$1043,0)*L1046</f>
        <v>3.0954193044757214E-3</v>
      </c>
      <c r="M1097" s="1">
        <f t="shared" si="1303"/>
        <v>7.2668177915740009E-3</v>
      </c>
      <c r="N1097" s="1">
        <f t="shared" si="1303"/>
        <v>7.1134294983166233E-3</v>
      </c>
      <c r="O1097" s="1">
        <f t="shared" si="1303"/>
        <v>7.3418628375556743E-3</v>
      </c>
      <c r="P1097" s="1">
        <f t="shared" si="1301"/>
        <v>5.8766937191184771E-3</v>
      </c>
      <c r="Q1097" s="1">
        <f t="shared" si="1301"/>
        <v>1.1438938838048531E-2</v>
      </c>
      <c r="S1097" s="3"/>
    </row>
    <row r="1098" spans="2:19" x14ac:dyDescent="0.5">
      <c r="B1098" s="5" t="str">
        <f t="shared" si="1271"/>
        <v>SPS1</v>
      </c>
      <c r="C1098" s="5" t="str">
        <f t="shared" si="1272"/>
        <v>CH</v>
      </c>
      <c r="D1098" t="s">
        <v>1081</v>
      </c>
      <c r="E1098" t="s">
        <v>8</v>
      </c>
      <c r="F1098" s="1">
        <f>[1]Residential!B$239-F1072</f>
        <v>1.2926718684678162</v>
      </c>
      <c r="G1098" s="1">
        <f>[1]Residential!C$239-G1072</f>
        <v>1.4623851060332642</v>
      </c>
      <c r="H1098" s="1">
        <f>[1]Residential!D$239-H1072</f>
        <v>1.4178463973685176</v>
      </c>
      <c r="I1098" s="1">
        <f>[1]Residential!E$239-I1072</f>
        <v>1.2192540691328784</v>
      </c>
      <c r="J1098" s="1">
        <f>[1]Residential!F$239-J1072</f>
        <v>1.2389145414872198</v>
      </c>
      <c r="K1098" s="1">
        <f>[1]Residential!G$239-K1072</f>
        <v>1.3686654039943189</v>
      </c>
      <c r="L1098" s="1">
        <f>[1]Residential!H$239-L1072</f>
        <v>1.259747094700006</v>
      </c>
      <c r="M1098" s="1">
        <f>[1]Residential!I$239-M1072</f>
        <v>1.3683445016327527</v>
      </c>
      <c r="N1098" s="1">
        <f>[1]Residential!J$239-N1072</f>
        <v>1.3393102034637714</v>
      </c>
      <c r="O1098" s="1">
        <f>[1]Residential!K$239-O1072</f>
        <v>1.2702791654005559</v>
      </c>
      <c r="P1098" s="1">
        <f>[1]Residential!L$239-P1072</f>
        <v>1.3158180351308024</v>
      </c>
      <c r="Q1098" s="1">
        <f>[1]Residential!M$239-Q1072</f>
        <v>1.1761013867056604</v>
      </c>
      <c r="S1098" s="3"/>
    </row>
    <row r="1099" spans="2:19" x14ac:dyDescent="0.5">
      <c r="B1099" s="5" t="str">
        <f t="shared" si="1271"/>
        <v>SPS1</v>
      </c>
      <c r="C1099" s="5" t="str">
        <f t="shared" si="1272"/>
        <v>CH</v>
      </c>
      <c r="D1099" t="s">
        <v>1082</v>
      </c>
      <c r="E1099" t="s">
        <v>8</v>
      </c>
      <c r="F1099" s="1">
        <f>F1100</f>
        <v>0.52047574617950509</v>
      </c>
      <c r="G1099" s="1">
        <f t="shared" ref="G1099:O1099" si="1304">G1100</f>
        <v>0.59724163539243769</v>
      </c>
      <c r="H1099" s="1">
        <f t="shared" si="1304"/>
        <v>0.33498585596771413</v>
      </c>
      <c r="I1099" s="1">
        <f t="shared" si="1304"/>
        <v>0.2645294189603451</v>
      </c>
      <c r="J1099" s="1">
        <f t="shared" si="1304"/>
        <v>0.24572887897149265</v>
      </c>
      <c r="K1099" s="1">
        <f t="shared" si="1304"/>
        <v>0.2156407641105762</v>
      </c>
      <c r="L1099" s="1">
        <f t="shared" si="1304"/>
        <v>0.19034659793295372</v>
      </c>
      <c r="M1099" s="1">
        <f t="shared" si="1304"/>
        <v>0.15763620398360878</v>
      </c>
      <c r="N1099" s="1">
        <f t="shared" si="1304"/>
        <v>0.14996249951461271</v>
      </c>
      <c r="O1099" s="1">
        <f t="shared" si="1304"/>
        <v>0.1266093479930035</v>
      </c>
      <c r="P1099" s="1">
        <f>P1100</f>
        <v>0.11798967247695202</v>
      </c>
      <c r="Q1099" s="1">
        <f>Q1100</f>
        <v>7.3914303438976869E-2</v>
      </c>
      <c r="S1099" s="3"/>
    </row>
    <row r="1100" spans="2:19" x14ac:dyDescent="0.5">
      <c r="B1100" s="5" t="str">
        <f t="shared" si="1271"/>
        <v>SPS1</v>
      </c>
      <c r="C1100" s="5" t="str">
        <f t="shared" si="1272"/>
        <v>CH</v>
      </c>
      <c r="D1100" t="s">
        <v>1083</v>
      </c>
      <c r="E1100" t="s">
        <v>8</v>
      </c>
      <c r="F1100" s="1">
        <f>[1]Residential!B$240-F1074</f>
        <v>0.52047574617950509</v>
      </c>
      <c r="G1100" s="1">
        <f>[1]Residential!C$240-G1074</f>
        <v>0.59724163539243769</v>
      </c>
      <c r="H1100" s="1">
        <f>[1]Residential!D$240-H1074</f>
        <v>0.33498585596771413</v>
      </c>
      <c r="I1100" s="1">
        <f>[1]Residential!E$240-I1074</f>
        <v>0.2645294189603451</v>
      </c>
      <c r="J1100" s="1">
        <f>[1]Residential!F$240-J1074</f>
        <v>0.24572887897149265</v>
      </c>
      <c r="K1100" s="1">
        <f>[1]Residential!G$240-K1074</f>
        <v>0.2156407641105762</v>
      </c>
      <c r="L1100" s="1">
        <f>[1]Residential!H$240-L1074</f>
        <v>0.19034659793295372</v>
      </c>
      <c r="M1100" s="1">
        <f>[1]Residential!I$240-M1074</f>
        <v>0.15763620398360878</v>
      </c>
      <c r="N1100" s="1">
        <f>[1]Residential!J$240-N1074</f>
        <v>0.14996249951461271</v>
      </c>
      <c r="O1100" s="1">
        <f>[1]Residential!K$240-O1074</f>
        <v>0.1266093479930035</v>
      </c>
      <c r="P1100" s="1">
        <f>[1]Residential!L$240-P1074</f>
        <v>0.11798967247695202</v>
      </c>
      <c r="Q1100" s="1">
        <f>[1]Residential!M$240-Q1074</f>
        <v>7.3914303438976869E-2</v>
      </c>
      <c r="S1100" s="3"/>
    </row>
    <row r="1101" spans="2:19" x14ac:dyDescent="0.5">
      <c r="B1101" s="5" t="str">
        <f t="shared" si="1271"/>
        <v>SPS1</v>
      </c>
      <c r="C1101" s="5" t="str">
        <f t="shared" si="1272"/>
        <v>CH</v>
      </c>
      <c r="D1101" t="s">
        <v>1084</v>
      </c>
      <c r="E1101" t="s">
        <v>8</v>
      </c>
      <c r="F1101" s="1">
        <f>F1102</f>
        <v>0.1697943749262838</v>
      </c>
      <c r="G1101" s="1">
        <f t="shared" ref="G1101" si="1305">G1102</f>
        <v>0.19483745016305543</v>
      </c>
      <c r="H1101" s="1">
        <f t="shared" ref="H1101" si="1306">H1102</f>
        <v>0.12882769492714585</v>
      </c>
      <c r="I1101" s="1">
        <f t="shared" ref="I1101" si="1307">I1102</f>
        <v>0.13410816708376672</v>
      </c>
      <c r="J1101" s="1">
        <f t="shared" ref="J1101" si="1308">J1102</f>
        <v>0.13877439137847913</v>
      </c>
      <c r="K1101" s="1">
        <f t="shared" ref="K1101:O1101" si="1309">K1102</f>
        <v>0.14225983830804045</v>
      </c>
      <c r="L1101" s="1">
        <f t="shared" si="1309"/>
        <v>0.14503932202699987</v>
      </c>
      <c r="M1101" s="1">
        <f t="shared" si="1309"/>
        <v>0.14725251790258076</v>
      </c>
      <c r="N1101" s="1">
        <f t="shared" si="1309"/>
        <v>0.14896477229971827</v>
      </c>
      <c r="O1101" s="1">
        <f t="shared" si="1309"/>
        <v>0.15050471054401715</v>
      </c>
      <c r="P1101" s="1">
        <f>P1102</f>
        <v>0.15049945709175638</v>
      </c>
      <c r="Q1101" s="1">
        <f>Q1102</f>
        <v>0.15053453033550124</v>
      </c>
      <c r="S1101" s="3"/>
    </row>
    <row r="1102" spans="2:19" x14ac:dyDescent="0.5">
      <c r="B1102" s="5" t="str">
        <f t="shared" si="1271"/>
        <v>SPS1</v>
      </c>
      <c r="C1102" s="5" t="str">
        <f t="shared" si="1272"/>
        <v>CH</v>
      </c>
      <c r="D1102" t="s">
        <v>1085</v>
      </c>
      <c r="E1102" t="s">
        <v>8</v>
      </c>
      <c r="F1102" s="1">
        <f>[1]Residential!B$241-F1076</f>
        <v>0.1697943749262838</v>
      </c>
      <c r="G1102" s="1">
        <f>[1]Residential!C$241-G1076</f>
        <v>0.19483745016305543</v>
      </c>
      <c r="H1102" s="1">
        <f>[1]Residential!D$241-H1076</f>
        <v>0.12882769492714585</v>
      </c>
      <c r="I1102" s="1">
        <f>[1]Residential!E$241-I1076</f>
        <v>0.13410816708376672</v>
      </c>
      <c r="J1102" s="1">
        <f>[1]Residential!F$241-J1076</f>
        <v>0.13877439137847913</v>
      </c>
      <c r="K1102" s="1">
        <f>[1]Residential!G$241-K1076</f>
        <v>0.14225983830804045</v>
      </c>
      <c r="L1102" s="1">
        <f>[1]Residential!H$241-L1076</f>
        <v>0.14503932202699987</v>
      </c>
      <c r="M1102" s="1">
        <f>[1]Residential!I$241-M1076</f>
        <v>0.14725251790258076</v>
      </c>
      <c r="N1102" s="1">
        <f>[1]Residential!J$241-N1076</f>
        <v>0.14896477229971827</v>
      </c>
      <c r="O1102" s="1">
        <f>[1]Residential!K$241-O1076</f>
        <v>0.15050471054401715</v>
      </c>
      <c r="P1102" s="1">
        <f>[1]Residential!L$241-P1076</f>
        <v>0.15049945709175638</v>
      </c>
      <c r="Q1102" s="1">
        <f>[1]Residential!M$241-Q1076</f>
        <v>0.15053453033550124</v>
      </c>
      <c r="S1102" s="3"/>
    </row>
    <row r="1103" spans="2:19" x14ac:dyDescent="0.5">
      <c r="B1103" s="5" t="str">
        <f t="shared" si="1271"/>
        <v>SPS1</v>
      </c>
      <c r="C1103" s="5" t="str">
        <f t="shared" si="1272"/>
        <v>CH</v>
      </c>
      <c r="D1103" t="s">
        <v>1086</v>
      </c>
      <c r="E1103" t="s">
        <v>8</v>
      </c>
      <c r="F1103" s="1">
        <f>F1104</f>
        <v>1.7214880246598507</v>
      </c>
      <c r="G1103" s="1">
        <f t="shared" ref="G1103" si="1310">G1104</f>
        <v>1.9867547494505688</v>
      </c>
      <c r="H1103" s="1">
        <f t="shared" ref="H1103" si="1311">H1104</f>
        <v>1.9453972817079404</v>
      </c>
      <c r="I1103" s="1">
        <f t="shared" ref="I1103" si="1312">I1104</f>
        <v>1.4929196211214442</v>
      </c>
      <c r="J1103" s="1">
        <f t="shared" ref="J1103" si="1313">J1104</f>
        <v>1.1324030537615706</v>
      </c>
      <c r="K1103" s="1">
        <f t="shared" ref="K1103:O1103" si="1314">K1104</f>
        <v>1.0932031907297763</v>
      </c>
      <c r="L1103" s="1">
        <f t="shared" si="1314"/>
        <v>1.0938184682080285</v>
      </c>
      <c r="M1103" s="1">
        <f t="shared" si="1314"/>
        <v>1.0272265770572933</v>
      </c>
      <c r="N1103" s="1">
        <f t="shared" si="1314"/>
        <v>1.0128443079298899</v>
      </c>
      <c r="O1103" s="1">
        <f t="shared" si="1314"/>
        <v>0.94750976929652375</v>
      </c>
      <c r="P1103" s="1">
        <f>P1104</f>
        <v>0.95998004438106377</v>
      </c>
      <c r="Q1103" s="1">
        <f>Q1104</f>
        <v>0.81400115753697255</v>
      </c>
      <c r="S1103" s="3"/>
    </row>
    <row r="1104" spans="2:19" x14ac:dyDescent="0.5">
      <c r="B1104" s="5" t="str">
        <f t="shared" si="1271"/>
        <v>SPS1</v>
      </c>
      <c r="C1104" s="5" t="str">
        <f t="shared" si="1272"/>
        <v>CH</v>
      </c>
      <c r="D1104" t="s">
        <v>1087</v>
      </c>
      <c r="E1104" t="s">
        <v>8</v>
      </c>
      <c r="F1104" s="1">
        <f>[1]Residential!B$242-F1078</f>
        <v>1.7214880246598507</v>
      </c>
      <c r="G1104" s="1">
        <f>[1]Residential!C$242-G1078</f>
        <v>1.9867547494505688</v>
      </c>
      <c r="H1104" s="1">
        <f>[1]Residential!D$242-H1078</f>
        <v>1.9453972817079404</v>
      </c>
      <c r="I1104" s="1">
        <f>[1]Residential!E$242-I1078</f>
        <v>1.4929196211214442</v>
      </c>
      <c r="J1104" s="1">
        <f>[1]Residential!F$242-J1078</f>
        <v>1.1324030537615706</v>
      </c>
      <c r="K1104" s="1">
        <f>[1]Residential!G$242-K1078</f>
        <v>1.0932031907297763</v>
      </c>
      <c r="L1104" s="1">
        <f>[1]Residential!H$242-L1078</f>
        <v>1.0938184682080285</v>
      </c>
      <c r="M1104" s="1">
        <f>[1]Residential!I$242-M1078</f>
        <v>1.0272265770572933</v>
      </c>
      <c r="N1104" s="1">
        <f>[1]Residential!J$242-N1078</f>
        <v>1.0128443079298899</v>
      </c>
      <c r="O1104" s="1">
        <f>[1]Residential!K$242-O1078</f>
        <v>0.94750976929652375</v>
      </c>
      <c r="P1104" s="1">
        <f>[1]Residential!L$242-P1078</f>
        <v>0.95998004438106377</v>
      </c>
      <c r="Q1104" s="1">
        <f>[1]Residential!M$242-Q1078</f>
        <v>0.81400115753697255</v>
      </c>
      <c r="S1104" s="3"/>
    </row>
    <row r="1105" spans="2:19" x14ac:dyDescent="0.5">
      <c r="B1105" s="5" t="str">
        <f t="shared" si="1271"/>
        <v>SPS1</v>
      </c>
      <c r="C1105" s="5" t="str">
        <f t="shared" si="127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315">G1106</f>
        <v>0</v>
      </c>
      <c r="H1105" s="1">
        <f t="shared" ref="H1105" si="1316">H1106</f>
        <v>0</v>
      </c>
      <c r="I1105" s="1">
        <f t="shared" ref="I1105" si="1317">I1106</f>
        <v>0</v>
      </c>
      <c r="J1105" s="1">
        <f t="shared" ref="J1105" si="1318">J1106</f>
        <v>0</v>
      </c>
      <c r="K1105" s="1">
        <f t="shared" ref="K1105:O1105" si="1319">K1106</f>
        <v>0</v>
      </c>
      <c r="L1105" s="1">
        <f t="shared" si="1319"/>
        <v>0</v>
      </c>
      <c r="M1105" s="1">
        <f t="shared" si="1319"/>
        <v>0</v>
      </c>
      <c r="N1105" s="1">
        <f t="shared" si="1319"/>
        <v>0</v>
      </c>
      <c r="O1105" s="1">
        <f t="shared" si="1319"/>
        <v>0</v>
      </c>
      <c r="P1105" s="1">
        <f>P1106</f>
        <v>0</v>
      </c>
      <c r="Q1105" s="1">
        <f>Q1106</f>
        <v>0</v>
      </c>
      <c r="S1105" s="3"/>
    </row>
    <row r="1106" spans="2:19" x14ac:dyDescent="0.5">
      <c r="B1106" s="5" t="str">
        <f t="shared" si="1271"/>
        <v>SPS1</v>
      </c>
      <c r="C1106" s="5" t="str">
        <f t="shared" si="127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[1]Residential!F$243-J1080</f>
        <v>0</v>
      </c>
      <c r="K1106" s="1">
        <f>[1]Residential!G$243-K1080</f>
        <v>0</v>
      </c>
      <c r="L1106" s="1">
        <f>[1]Residential!H$243-L1080</f>
        <v>0</v>
      </c>
      <c r="M1106" s="1">
        <f>[1]Residential!I$243-M1080</f>
        <v>0</v>
      </c>
      <c r="N1106" s="1">
        <f>[1]Residential!J$243-N1080</f>
        <v>0</v>
      </c>
      <c r="O1106" s="1">
        <f>[1]Residential!K$243-O1080</f>
        <v>0</v>
      </c>
      <c r="P1106" s="1">
        <f>[1]Residential!L$243-P1080</f>
        <v>0</v>
      </c>
      <c r="Q1106" s="1">
        <f>[1]Residential!M$243-Q1080</f>
        <v>0</v>
      </c>
      <c r="S1106" s="3"/>
    </row>
    <row r="1107" spans="2:19" x14ac:dyDescent="0.5">
      <c r="B1107" s="5" t="str">
        <f t="shared" si="1271"/>
        <v>SPS1</v>
      </c>
      <c r="C1107" s="5" t="str">
        <f t="shared" si="127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[1]Residential!F$244-J1081</f>
        <v>0</v>
      </c>
      <c r="K1107" s="1">
        <f>[1]Residential!G$244-K1081</f>
        <v>0</v>
      </c>
      <c r="L1107" s="1">
        <f>[1]Residential!H$244-L1081</f>
        <v>0</v>
      </c>
      <c r="M1107" s="1">
        <f>[1]Residential!I$244-M1081</f>
        <v>0</v>
      </c>
      <c r="N1107" s="1">
        <f>[1]Residential!J$244-N1081</f>
        <v>0</v>
      </c>
      <c r="O1107" s="1">
        <f>[1]Residential!K$244-O1081</f>
        <v>0</v>
      </c>
      <c r="P1107" s="1">
        <f>[1]Residential!L$244-P1081</f>
        <v>0</v>
      </c>
      <c r="Q1107" s="1">
        <f>[1]Residential!M$244-Q1081</f>
        <v>0</v>
      </c>
      <c r="S1107" s="3"/>
    </row>
    <row r="1108" spans="2:19" x14ac:dyDescent="0.5">
      <c r="B1108" s="5" t="str">
        <f t="shared" ref="B1108:B1135" si="1320">B1107</f>
        <v>SPS1</v>
      </c>
      <c r="C1108" s="5" t="str">
        <f t="shared" ref="C1108:C1135" si="1321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M1108" t="s">
        <v>292</v>
      </c>
      <c r="N1108" t="s">
        <v>292</v>
      </c>
      <c r="O1108" t="s">
        <v>292</v>
      </c>
      <c r="P1108" t="s">
        <v>292</v>
      </c>
      <c r="Q1108" t="s">
        <v>292</v>
      </c>
      <c r="S1108" s="3"/>
    </row>
    <row r="1109" spans="2:19" x14ac:dyDescent="0.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0.94999999999999951</v>
      </c>
      <c r="G1109" s="4">
        <f t="shared" ref="G1109:K1110" si="1322">IFERROR(G1058/G975,"-")</f>
        <v>0.94999999999999951</v>
      </c>
      <c r="H1109" s="4">
        <f t="shared" si="1322"/>
        <v>0.95000000000000007</v>
      </c>
      <c r="I1109" s="4">
        <f t="shared" si="1322"/>
        <v>0.95000000000000018</v>
      </c>
      <c r="J1109" s="4">
        <f t="shared" si="1322"/>
        <v>0.94999999999999973</v>
      </c>
      <c r="K1109" s="4">
        <f t="shared" si="1322"/>
        <v>0.95000000000000007</v>
      </c>
      <c r="L1109" s="4">
        <f t="shared" ref="L1109:O1109" si="1323">IFERROR(L1058/L975,"-")</f>
        <v>0.95000000000000029</v>
      </c>
      <c r="M1109" s="4">
        <f t="shared" si="1323"/>
        <v>0.94999999999999973</v>
      </c>
      <c r="N1109" s="4">
        <f t="shared" si="1323"/>
        <v>0.95000000000000018</v>
      </c>
      <c r="O1109" s="4">
        <f t="shared" si="1323"/>
        <v>0.95000000000000007</v>
      </c>
      <c r="P1109" s="4">
        <f>IFERROR(P1058/P975,"-")</f>
        <v>0.94999999999999984</v>
      </c>
      <c r="Q1109" s="4">
        <f>IFERROR(Q1058/Q975,"-")</f>
        <v>0.95000000000000007</v>
      </c>
      <c r="S1109" s="3"/>
    </row>
    <row r="1110" spans="2:19" x14ac:dyDescent="0.5">
      <c r="B1110" s="5" t="str">
        <f t="shared" si="1320"/>
        <v>SPS1</v>
      </c>
      <c r="C1110" s="5" t="str">
        <f t="shared" si="1321"/>
        <v>CH</v>
      </c>
      <c r="D1110" t="s">
        <v>1122</v>
      </c>
      <c r="E1110" t="s">
        <v>240</v>
      </c>
      <c r="F1110" s="4">
        <f>IFERROR(F1059/F976,"-")</f>
        <v>3.200000040719551</v>
      </c>
      <c r="G1110" s="4">
        <f t="shared" si="1322"/>
        <v>3.2533333333333325</v>
      </c>
      <c r="H1110" s="4">
        <f t="shared" si="1322"/>
        <v>3.3333333333333353</v>
      </c>
      <c r="I1110" s="4">
        <f t="shared" si="1322"/>
        <v>3.4666666666666694</v>
      </c>
      <c r="J1110" s="4">
        <f t="shared" si="1322"/>
        <v>3.583333333333337</v>
      </c>
      <c r="K1110" s="4">
        <f t="shared" si="1322"/>
        <v>3.6999999999999993</v>
      </c>
      <c r="L1110" s="4">
        <f t="shared" ref="L1110:O1110" si="1324">IFERROR(L1059/L976,"-")</f>
        <v>3.7999999999999972</v>
      </c>
      <c r="M1110" s="4">
        <f t="shared" si="1324"/>
        <v>3.899999999999999</v>
      </c>
      <c r="N1110" s="4">
        <f t="shared" si="1324"/>
        <v>3.8999999999999995</v>
      </c>
      <c r="O1110" s="4">
        <f t="shared" si="1324"/>
        <v>3.8999999999999981</v>
      </c>
      <c r="P1110" s="4">
        <f>IFERROR(P1059/P976,"-")</f>
        <v>3.9000000000000008</v>
      </c>
      <c r="Q1110" s="4">
        <f>IFERROR(Q1059/Q976,"-")</f>
        <v>3.8999999999999977</v>
      </c>
      <c r="S1110" s="3"/>
    </row>
    <row r="1111" spans="2:19" x14ac:dyDescent="0.5">
      <c r="B1111" s="5" t="str">
        <f t="shared" si="1320"/>
        <v>SPS1</v>
      </c>
      <c r="C1111" s="5" t="str">
        <f t="shared" si="1321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325">IFERROR(G1061/G985,"-")</f>
        <v>0.89583333333333415</v>
      </c>
      <c r="H1111" s="4">
        <f t="shared" si="1325"/>
        <v>0.89583333333333337</v>
      </c>
      <c r="I1111" s="4">
        <f t="shared" si="1325"/>
        <v>0.8958333333333337</v>
      </c>
      <c r="J1111" s="4">
        <f t="shared" si="1325"/>
        <v>0.89583333333333381</v>
      </c>
      <c r="K1111" s="4">
        <f t="shared" si="1325"/>
        <v>0.89583333333333359</v>
      </c>
      <c r="L1111" s="4">
        <f t="shared" ref="L1111:O1111" si="1326">IFERROR(L1061/L985,"-")</f>
        <v>0.89583333333333448</v>
      </c>
      <c r="M1111" s="4">
        <f t="shared" si="1326"/>
        <v>0.89583333333333426</v>
      </c>
      <c r="N1111" s="4">
        <f t="shared" si="1326"/>
        <v>0.8958333333333337</v>
      </c>
      <c r="O1111" s="4">
        <f t="shared" si="1326"/>
        <v>0.89583333333333404</v>
      </c>
      <c r="P1111" s="4">
        <f>IFERROR(P1061/P985,"-")</f>
        <v>0.89583333333333415</v>
      </c>
      <c r="Q1111" s="4">
        <f>IFERROR(Q1061/Q985,"-")</f>
        <v>0.89583333333333393</v>
      </c>
      <c r="S1111" s="3"/>
    </row>
    <row r="1112" spans="2:19" x14ac:dyDescent="0.5">
      <c r="B1112" s="5" t="str">
        <f t="shared" si="1320"/>
        <v>SPS1</v>
      </c>
      <c r="C1112" s="5" t="str">
        <f t="shared" si="1321"/>
        <v>CH</v>
      </c>
      <c r="D1112" t="s">
        <v>1093</v>
      </c>
      <c r="E1112" t="s">
        <v>240</v>
      </c>
      <c r="F1112" s="4">
        <f>IFERROR(F1063/F998,"-")</f>
        <v>0.94999999999999962</v>
      </c>
      <c r="G1112" s="4">
        <f t="shared" ref="G1112:K1112" si="1327">IFERROR(G1063/G998,"-")</f>
        <v>0.94999999999999973</v>
      </c>
      <c r="H1112" s="4">
        <f t="shared" si="1327"/>
        <v>0.95000000000000029</v>
      </c>
      <c r="I1112" s="4">
        <f t="shared" si="1327"/>
        <v>0.94999999999999929</v>
      </c>
      <c r="J1112" s="4">
        <f t="shared" si="1327"/>
        <v>0.94999999999999962</v>
      </c>
      <c r="K1112" s="4">
        <f t="shared" si="1327"/>
        <v>0.95000000000000029</v>
      </c>
      <c r="L1112" s="4">
        <f t="shared" ref="L1112:O1112" si="1328">IFERROR(L1063/L998,"-")</f>
        <v>0.95000000000000029</v>
      </c>
      <c r="M1112" s="4">
        <f t="shared" si="1328"/>
        <v>0.94999999999999984</v>
      </c>
      <c r="N1112" s="4">
        <f t="shared" si="1328"/>
        <v>0.95000000000000029</v>
      </c>
      <c r="O1112" s="4">
        <f t="shared" si="1328"/>
        <v>0.94999999999999962</v>
      </c>
      <c r="P1112" s="4">
        <f>IFERROR(P1063/P998,"-")</f>
        <v>0.94999999999999885</v>
      </c>
      <c r="Q1112" s="4">
        <f>IFERROR(Q1063/Q998,"-")</f>
        <v>0.95</v>
      </c>
      <c r="S1112" s="3"/>
    </row>
    <row r="1113" spans="2:19" x14ac:dyDescent="0.5">
      <c r="B1113" s="5" t="str">
        <f t="shared" si="1320"/>
        <v>SPS1</v>
      </c>
      <c r="C1113" s="5" t="str">
        <f t="shared" si="1321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329">IFERROR(G1064/G999,"-")</f>
        <v>-</v>
      </c>
      <c r="H1113" s="4">
        <f t="shared" si="1329"/>
        <v>2.0000000000000004</v>
      </c>
      <c r="I1113" s="4">
        <f t="shared" si="1329"/>
        <v>2.0799999999999996</v>
      </c>
      <c r="J1113" s="4">
        <f t="shared" si="1329"/>
        <v>2.150000000000003</v>
      </c>
      <c r="K1113" s="4">
        <f t="shared" si="1329"/>
        <v>2.2200000000000011</v>
      </c>
      <c r="L1113" s="4">
        <f t="shared" ref="L1113:O1113" si="1330">IFERROR(L1064/L999,"-")</f>
        <v>2.2799999999999985</v>
      </c>
      <c r="M1113" s="4">
        <f t="shared" si="1330"/>
        <v>2.339999999999999</v>
      </c>
      <c r="N1113" s="4">
        <f t="shared" si="1330"/>
        <v>2.339999999999999</v>
      </c>
      <c r="O1113" s="4">
        <f t="shared" si="1330"/>
        <v>2.3400000000000003</v>
      </c>
      <c r="P1113" s="4">
        <f>IFERROR(P1064/P999,"-")</f>
        <v>2.3399999999999985</v>
      </c>
      <c r="Q1113" s="4">
        <f>IFERROR(Q1064/Q999,"-")</f>
        <v>2.339999999999999</v>
      </c>
      <c r="S1113" s="3"/>
    </row>
    <row r="1114" spans="2:19" x14ac:dyDescent="0.5">
      <c r="B1114" s="5" t="str">
        <f t="shared" si="1320"/>
        <v>SPS1</v>
      </c>
      <c r="C1114" s="5" t="str">
        <f t="shared" si="1321"/>
        <v>CH</v>
      </c>
      <c r="D1114" t="s">
        <v>1095</v>
      </c>
      <c r="E1114" t="s">
        <v>240</v>
      </c>
      <c r="F1114" s="4">
        <f>IFERROR(F1066/F1017,"-")</f>
        <v>0.72000000000000064</v>
      </c>
      <c r="G1114" s="4">
        <f t="shared" ref="G1114:K1114" si="1331">IFERROR(G1066/G1017,"-")</f>
        <v>0.7200000000000002</v>
      </c>
      <c r="H1114" s="4">
        <f t="shared" si="1331"/>
        <v>0.72000000000000031</v>
      </c>
      <c r="I1114" s="4">
        <f t="shared" si="1331"/>
        <v>0.71999999999999953</v>
      </c>
      <c r="J1114" s="4">
        <f t="shared" si="1331"/>
        <v>0.71999999999999986</v>
      </c>
      <c r="K1114" s="4" t="str">
        <f t="shared" si="1331"/>
        <v>-</v>
      </c>
      <c r="L1114" s="4" t="str">
        <f t="shared" ref="L1114:O1114" si="1332">IFERROR(L1066/L1017,"-")</f>
        <v>-</v>
      </c>
      <c r="M1114" s="4" t="str">
        <f t="shared" si="1332"/>
        <v>-</v>
      </c>
      <c r="N1114" s="4" t="str">
        <f t="shared" si="1332"/>
        <v>-</v>
      </c>
      <c r="O1114" s="4" t="str">
        <f t="shared" si="1332"/>
        <v>-</v>
      </c>
      <c r="P1114" s="4" t="str">
        <f>IFERROR(P1066/P1017,"-")</f>
        <v>-</v>
      </c>
      <c r="Q1114" s="4" t="str">
        <f>IFERROR(Q1066/Q1017,"-")</f>
        <v>-</v>
      </c>
      <c r="S1114" s="3"/>
    </row>
    <row r="1115" spans="2:19" x14ac:dyDescent="0.5">
      <c r="B1115" s="5" t="str">
        <f t="shared" si="1320"/>
        <v>SPS1</v>
      </c>
      <c r="C1115" s="5" t="str">
        <f t="shared" si="1321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M1115" s="4">
        <v>0.99</v>
      </c>
      <c r="N1115" s="4">
        <v>0.99</v>
      </c>
      <c r="O1115" s="4">
        <v>0.99</v>
      </c>
      <c r="P1115" s="4">
        <v>0.99</v>
      </c>
      <c r="Q1115" s="4">
        <v>0.99</v>
      </c>
      <c r="S1115" s="3"/>
    </row>
    <row r="1116" spans="2:19" x14ac:dyDescent="0.5">
      <c r="B1116" s="5" t="str">
        <f t="shared" si="1320"/>
        <v>SPS1</v>
      </c>
      <c r="C1116" s="5" t="str">
        <f t="shared" si="1321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M1116" s="4">
        <v>0.99</v>
      </c>
      <c r="N1116" s="4">
        <v>0.99</v>
      </c>
      <c r="O1116" s="4">
        <v>0.99</v>
      </c>
      <c r="P1116" s="4">
        <v>0.99</v>
      </c>
      <c r="Q1116" s="4">
        <v>0.99</v>
      </c>
      <c r="S1116" s="3"/>
    </row>
    <row r="1117" spans="2:19" x14ac:dyDescent="0.5">
      <c r="B1117" s="5" t="str">
        <f t="shared" si="1320"/>
        <v>SPS1</v>
      </c>
      <c r="C1117" s="5" t="str">
        <f t="shared" si="1321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M1117" s="4">
        <v>0.99</v>
      </c>
      <c r="N1117" s="4">
        <v>0.99</v>
      </c>
      <c r="O1117" s="4">
        <v>0.99</v>
      </c>
      <c r="P1117" s="4">
        <v>0.99</v>
      </c>
      <c r="Q1117" s="4">
        <v>0.99</v>
      </c>
      <c r="S1117" s="3"/>
    </row>
    <row r="1118" spans="2:19" x14ac:dyDescent="0.5">
      <c r="B1118" s="5" t="str">
        <f t="shared" si="1320"/>
        <v>SPS1</v>
      </c>
      <c r="C1118" s="5" t="str">
        <f t="shared" si="1321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M1118" s="4">
        <v>0.99</v>
      </c>
      <c r="N1118" s="4">
        <v>0.99</v>
      </c>
      <c r="O1118" s="4">
        <v>0.99</v>
      </c>
      <c r="P1118" s="4">
        <v>0.99</v>
      </c>
      <c r="Q1118" s="4">
        <v>0.99</v>
      </c>
      <c r="S1118" s="3"/>
    </row>
    <row r="1119" spans="2:19" x14ac:dyDescent="0.5">
      <c r="B1119" s="5" t="str">
        <f t="shared" si="1320"/>
        <v>SPS1</v>
      </c>
      <c r="C1119" s="5" t="str">
        <f t="shared" si="1321"/>
        <v>CH</v>
      </c>
      <c r="D1119" t="s">
        <v>1100</v>
      </c>
      <c r="E1119" t="s">
        <v>240</v>
      </c>
      <c r="F1119" s="4">
        <f>IFERROR(F1074/F1022,"-")</f>
        <v>0.72000000000000008</v>
      </c>
      <c r="G1119" s="4">
        <f t="shared" ref="G1119:K1119" si="1333">IFERROR(G1074/G1022,"-")</f>
        <v>0.71999999999999986</v>
      </c>
      <c r="H1119" s="4">
        <f t="shared" si="1333"/>
        <v>0.72</v>
      </c>
      <c r="I1119" s="4">
        <f t="shared" si="1333"/>
        <v>0.72</v>
      </c>
      <c r="J1119" s="4">
        <f t="shared" si="1333"/>
        <v>0.72000000000000053</v>
      </c>
      <c r="K1119" s="4">
        <f t="shared" si="1333"/>
        <v>0.72000000000000008</v>
      </c>
      <c r="L1119" s="4">
        <f t="shared" ref="L1119:O1119" si="1334">IFERROR(L1074/L1022,"-")</f>
        <v>0.71999999999999986</v>
      </c>
      <c r="M1119" s="4">
        <f t="shared" si="1334"/>
        <v>0.72</v>
      </c>
      <c r="N1119" s="4">
        <f t="shared" si="1334"/>
        <v>0.7200000000000002</v>
      </c>
      <c r="O1119" s="4">
        <f t="shared" si="1334"/>
        <v>0.72000000000000064</v>
      </c>
      <c r="P1119" s="4">
        <f>IFERROR(P1074/P1022,"-")</f>
        <v>0.71999999999999975</v>
      </c>
      <c r="Q1119" s="4">
        <f>IFERROR(Q1074/Q1022,"-")</f>
        <v>0.71999999999999953</v>
      </c>
      <c r="S1119" s="3"/>
    </row>
    <row r="1120" spans="2:19" x14ac:dyDescent="0.5">
      <c r="B1120" s="5" t="str">
        <f t="shared" si="1320"/>
        <v>SPS1</v>
      </c>
      <c r="C1120" s="5" t="str">
        <f t="shared" si="1321"/>
        <v>CH</v>
      </c>
      <c r="D1120" t="s">
        <v>1101</v>
      </c>
      <c r="E1120" t="s">
        <v>240</v>
      </c>
      <c r="F1120" s="4">
        <f>IFERROR(F1076/F1027,"-")</f>
        <v>0.89999999999999913</v>
      </c>
      <c r="G1120" s="4">
        <f t="shared" ref="G1120:K1120" si="1335">IFERROR(G1076/G1027,"-")</f>
        <v>0.8999999999999998</v>
      </c>
      <c r="H1120" s="4">
        <f t="shared" si="1335"/>
        <v>0.89999999999999891</v>
      </c>
      <c r="I1120" s="4">
        <f t="shared" si="1335"/>
        <v>0.8999999999999998</v>
      </c>
      <c r="J1120" s="4">
        <f t="shared" si="1335"/>
        <v>0.90000000000000024</v>
      </c>
      <c r="K1120" s="4">
        <f t="shared" si="1335"/>
        <v>0.9000000000000008</v>
      </c>
      <c r="L1120" s="4">
        <f t="shared" ref="L1120:O1120" si="1336">IFERROR(L1076/L1027,"-")</f>
        <v>0.89999999999999969</v>
      </c>
      <c r="M1120" s="4">
        <f t="shared" si="1336"/>
        <v>0.9</v>
      </c>
      <c r="N1120" s="4">
        <f t="shared" si="1336"/>
        <v>0.89999999999999991</v>
      </c>
      <c r="O1120" s="4">
        <f t="shared" si="1336"/>
        <v>0.90000000000000036</v>
      </c>
      <c r="P1120" s="4">
        <f>IFERROR(P1076/P1027,"-")</f>
        <v>0.9000000000000008</v>
      </c>
      <c r="Q1120" s="4">
        <f>IFERROR(Q1076/Q1027,"-")</f>
        <v>0.9</v>
      </c>
      <c r="S1120" s="3"/>
    </row>
    <row r="1121" spans="2:19" x14ac:dyDescent="0.5">
      <c r="B1121" s="5" t="str">
        <f t="shared" si="1320"/>
        <v>SPS1</v>
      </c>
      <c r="C1121" s="5" t="str">
        <f t="shared" si="1321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M1121" s="4">
        <v>1</v>
      </c>
      <c r="N1121" s="4">
        <v>1</v>
      </c>
      <c r="O1121" s="4">
        <v>1</v>
      </c>
      <c r="P1121" s="4">
        <v>1</v>
      </c>
      <c r="Q1121" s="4">
        <v>1</v>
      </c>
      <c r="S1121" s="3"/>
    </row>
    <row r="1122" spans="2:19" x14ac:dyDescent="0.5">
      <c r="B1122" s="5" t="str">
        <f t="shared" si="1320"/>
        <v>SPS1</v>
      </c>
      <c r="C1122" s="5" t="str">
        <f t="shared" si="1321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337">IFERROR(G1080/G1039,"-")</f>
        <v>-</v>
      </c>
      <c r="H1122" s="4" t="str">
        <f t="shared" si="1337"/>
        <v>-</v>
      </c>
      <c r="I1122" s="4" t="str">
        <f t="shared" si="1337"/>
        <v>-</v>
      </c>
      <c r="J1122" s="4" t="str">
        <f t="shared" si="1337"/>
        <v>-</v>
      </c>
      <c r="K1122" s="4" t="str">
        <f t="shared" si="1337"/>
        <v>-</v>
      </c>
      <c r="L1122" s="4" t="str">
        <f t="shared" ref="L1122:O1122" si="1338">IFERROR(L1080/L1039,"-")</f>
        <v>-</v>
      </c>
      <c r="M1122" s="4" t="str">
        <f t="shared" si="1338"/>
        <v>-</v>
      </c>
      <c r="N1122" s="4" t="str">
        <f t="shared" si="1338"/>
        <v>-</v>
      </c>
      <c r="O1122" s="4" t="str">
        <f t="shared" si="1338"/>
        <v>-</v>
      </c>
      <c r="P1122" s="4" t="str">
        <f>IFERROR(P1080/P1039,"-")</f>
        <v>-</v>
      </c>
      <c r="Q1122" s="4" t="str">
        <f>IFERROR(Q1080/Q1039,"-")</f>
        <v>-</v>
      </c>
      <c r="S1122" s="3"/>
    </row>
    <row r="1123" spans="2:19" x14ac:dyDescent="0.5">
      <c r="B1123" s="5" t="str">
        <f t="shared" si="1320"/>
        <v>SPS1</v>
      </c>
      <c r="C1123" s="5" t="str">
        <f t="shared" si="1321"/>
        <v>CH</v>
      </c>
      <c r="D1123" t="s">
        <v>1123</v>
      </c>
      <c r="E1123" t="s">
        <v>240</v>
      </c>
      <c r="F1123" s="4">
        <f>IFERROR(F1084/F978,"-")</f>
        <v>0.78999999999999915</v>
      </c>
      <c r="G1123" s="4">
        <f t="shared" ref="G1123:K1124" si="1339">IFERROR(G1084/G978,"-")</f>
        <v>0.79199999999999915</v>
      </c>
      <c r="H1123" s="4">
        <f t="shared" si="1339"/>
        <v>0.79499999999999948</v>
      </c>
      <c r="I1123" s="4">
        <f t="shared" si="1339"/>
        <v>0.8000000000000006</v>
      </c>
      <c r="J1123" s="4">
        <f t="shared" si="1339"/>
        <v>0.80500000000000049</v>
      </c>
      <c r="K1123" s="4">
        <f t="shared" si="1339"/>
        <v>0.8100000000000005</v>
      </c>
      <c r="L1123" s="4">
        <f t="shared" ref="L1123:O1123" si="1340">IFERROR(L1084/L978,"-")</f>
        <v>0.81499999999999972</v>
      </c>
      <c r="M1123" s="4">
        <f t="shared" si="1340"/>
        <v>0.81999999999999951</v>
      </c>
      <c r="N1123" s="4">
        <f t="shared" si="1340"/>
        <v>0.82000000000000017</v>
      </c>
      <c r="O1123" s="4">
        <f t="shared" si="1340"/>
        <v>0.82000000000000017</v>
      </c>
      <c r="P1123" s="4">
        <f>IFERROR(P1084/P978,"-")</f>
        <v>0.81999999999999973</v>
      </c>
      <c r="Q1123" s="4">
        <f>IFERROR(Q1084/Q978,"-")</f>
        <v>0.81999999999999873</v>
      </c>
      <c r="S1123" s="3"/>
    </row>
    <row r="1124" spans="2:19" x14ac:dyDescent="0.5">
      <c r="B1124" s="5" t="str">
        <f t="shared" si="1320"/>
        <v>SPS1</v>
      </c>
      <c r="C1124" s="5" t="str">
        <f t="shared" si="1321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339"/>
        <v>2.8260000000000027</v>
      </c>
      <c r="H1124" s="4">
        <f t="shared" si="1339"/>
        <v>2.8349999999999986</v>
      </c>
      <c r="I1124" s="4">
        <f t="shared" si="1339"/>
        <v>2.8499999999999996</v>
      </c>
      <c r="J1124" s="4">
        <f t="shared" si="1339"/>
        <v>2.93</v>
      </c>
      <c r="K1124" s="4">
        <f t="shared" si="1339"/>
        <v>3.0100000000000002</v>
      </c>
      <c r="L1124" s="4">
        <f t="shared" ref="L1124:O1124" si="1341">IFERROR(L1085/L979,"-")</f>
        <v>3.0649999999999995</v>
      </c>
      <c r="M1124" s="4">
        <f t="shared" si="1341"/>
        <v>3.1200000000000028</v>
      </c>
      <c r="N1124" s="4">
        <f t="shared" si="1341"/>
        <v>3.1200000000000023</v>
      </c>
      <c r="O1124" s="4">
        <f t="shared" si="1341"/>
        <v>3.1199999999999997</v>
      </c>
      <c r="P1124" s="4">
        <f>IFERROR(P1085/P979,"-")</f>
        <v>3.1200000000000006</v>
      </c>
      <c r="Q1124" s="4">
        <f>IFERROR(Q1085/Q979,"-")</f>
        <v>3.1199999999999997</v>
      </c>
      <c r="S1124" s="3"/>
    </row>
    <row r="1125" spans="2:19" x14ac:dyDescent="0.5">
      <c r="B1125" s="5" t="str">
        <f t="shared" si="1320"/>
        <v>SPS1</v>
      </c>
      <c r="C1125" s="5" t="str">
        <f t="shared" si="1321"/>
        <v>CH</v>
      </c>
      <c r="D1125" t="s">
        <v>1104</v>
      </c>
      <c r="E1125" t="s">
        <v>240</v>
      </c>
      <c r="F1125" s="4">
        <f>IFERROR(F1087/F991,"-")</f>
        <v>0.70833333333333426</v>
      </c>
      <c r="G1125" s="4">
        <f t="shared" ref="G1125:K1125" si="1342">IFERROR(G1087/G991,"-")</f>
        <v>0.71458333333333235</v>
      </c>
      <c r="H1125" s="4">
        <f t="shared" si="1342"/>
        <v>0.7239583333333337</v>
      </c>
      <c r="I1125" s="4">
        <f t="shared" si="1342"/>
        <v>0.73958333333333315</v>
      </c>
      <c r="J1125" s="4">
        <f t="shared" si="1342"/>
        <v>0.74739583333333115</v>
      </c>
      <c r="K1125" s="4">
        <f t="shared" si="1342"/>
        <v>0.75520833333353299</v>
      </c>
      <c r="L1125" s="4">
        <f t="shared" ref="L1125:O1125" si="1343">IFERROR(L1087/L991,"-")</f>
        <v>0.75520833333344561</v>
      </c>
      <c r="M1125" s="4">
        <f t="shared" si="1343"/>
        <v>0.75520833333308579</v>
      </c>
      <c r="N1125" s="4">
        <f t="shared" si="1343"/>
        <v>0.75520833333329995</v>
      </c>
      <c r="O1125" s="4">
        <f t="shared" si="1343"/>
        <v>0.75520833333340087</v>
      </c>
      <c r="P1125" s="4">
        <f>IFERROR(P1087/P991,"-")</f>
        <v>0.75520833333335202</v>
      </c>
      <c r="Q1125" s="4">
        <f>IFERROR(Q1087/Q991,"-")</f>
        <v>0.75520833333332571</v>
      </c>
      <c r="S1125" s="3"/>
    </row>
    <row r="1126" spans="2:19" x14ac:dyDescent="0.5">
      <c r="B1126" s="5" t="str">
        <f t="shared" si="1320"/>
        <v>SPS1</v>
      </c>
      <c r="C1126" s="5" t="str">
        <f t="shared" si="1321"/>
        <v>CH</v>
      </c>
      <c r="D1126" t="s">
        <v>1105</v>
      </c>
      <c r="E1126" t="s">
        <v>240</v>
      </c>
      <c r="F1126" s="4">
        <f>IFERROR(F1089/F1007,"-")</f>
        <v>0.74999999999999956</v>
      </c>
      <c r="G1126" s="4">
        <f t="shared" ref="G1126:K1126" si="1344">IFERROR(G1089/G1007,"-")</f>
        <v>0.75400000000000178</v>
      </c>
      <c r="H1126" s="4">
        <f t="shared" si="1344"/>
        <v>0.76</v>
      </c>
      <c r="I1126" s="4">
        <f t="shared" si="1344"/>
        <v>0.77007177419277695</v>
      </c>
      <c r="J1126" s="4">
        <f t="shared" si="1344"/>
        <v>0.78016997864172921</v>
      </c>
      <c r="K1126" s="4">
        <f t="shared" si="1344"/>
        <v>0.79020705524470913</v>
      </c>
      <c r="L1126" s="4">
        <f t="shared" ref="L1126:O1126" si="1345">IFERROR(L1089/L1007,"-")</f>
        <v>0.7952558342701016</v>
      </c>
      <c r="M1126" s="4">
        <f t="shared" si="1345"/>
        <v>0.80078937481510193</v>
      </c>
      <c r="N1126" s="4">
        <f t="shared" si="1345"/>
        <v>0.80077405069205099</v>
      </c>
      <c r="O1126" s="4">
        <f t="shared" si="1345"/>
        <v>0.80712312426860811</v>
      </c>
      <c r="P1126" s="4">
        <f>IFERROR(P1089/P1007,"-")</f>
        <v>0.80894789701161207</v>
      </c>
      <c r="Q1126" s="4">
        <f>IFERROR(Q1089/Q1007,"-")</f>
        <v>0.810377624726764</v>
      </c>
      <c r="S1126" s="3"/>
    </row>
    <row r="1127" spans="2:19" x14ac:dyDescent="0.5">
      <c r="B1127" s="5" t="str">
        <f t="shared" si="1320"/>
        <v>SPS1</v>
      </c>
      <c r="C1127" s="5" t="str">
        <f t="shared" si="1321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346">IFERROR(G1090/G1008,"-")</f>
        <v>-</v>
      </c>
      <c r="H1127" s="4">
        <f t="shared" si="1346"/>
        <v>1.7010000000000003</v>
      </c>
      <c r="I1127" s="4">
        <f t="shared" si="1346"/>
        <v>1.709999999999998</v>
      </c>
      <c r="J1127" s="4">
        <f t="shared" si="1346"/>
        <v>1.7579999999999985</v>
      </c>
      <c r="K1127" s="4">
        <f t="shared" si="1346"/>
        <v>1.8060000000000003</v>
      </c>
      <c r="L1127" s="4">
        <f t="shared" ref="L1127:O1127" si="1347">IFERROR(L1090/L1008,"-")</f>
        <v>1.839</v>
      </c>
      <c r="M1127" s="4">
        <f t="shared" si="1347"/>
        <v>1.8719999999999981</v>
      </c>
      <c r="N1127" s="4">
        <f t="shared" si="1347"/>
        <v>1.8719999999999994</v>
      </c>
      <c r="O1127" s="4">
        <f t="shared" si="1347"/>
        <v>1.8720000000000001</v>
      </c>
      <c r="P1127" s="4">
        <f>IFERROR(P1090/P1008,"-")</f>
        <v>1.8720000000000003</v>
      </c>
      <c r="Q1127" s="4">
        <f>IFERROR(Q1090/Q1008,"-")</f>
        <v>1.872000000000001</v>
      </c>
      <c r="S1127" s="3"/>
    </row>
    <row r="1128" spans="2:19" x14ac:dyDescent="0.5">
      <c r="B1128" s="5" t="str">
        <f t="shared" si="1320"/>
        <v>SPS1</v>
      </c>
      <c r="C1128" s="5" t="str">
        <f t="shared" si="1321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M1128" s="4">
        <v>0.79</v>
      </c>
      <c r="N1128" s="4">
        <v>0.79</v>
      </c>
      <c r="O1128" s="4">
        <v>0.79</v>
      </c>
      <c r="P1128" s="4">
        <v>0.79</v>
      </c>
      <c r="Q1128" s="4">
        <v>0.79</v>
      </c>
      <c r="S1128" s="3"/>
    </row>
    <row r="1129" spans="2:19" x14ac:dyDescent="0.5">
      <c r="B1129" s="5" t="str">
        <f t="shared" si="1320"/>
        <v>SPS1</v>
      </c>
      <c r="C1129" s="5" t="str">
        <f t="shared" si="1321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M1129" s="4">
        <v>0.79</v>
      </c>
      <c r="N1129" s="4">
        <v>0.79</v>
      </c>
      <c r="O1129" s="4">
        <v>0.79</v>
      </c>
      <c r="P1129" s="4">
        <v>0.79</v>
      </c>
      <c r="Q1129" s="4">
        <v>0.79</v>
      </c>
      <c r="S1129" s="3"/>
    </row>
    <row r="1130" spans="2:19" x14ac:dyDescent="0.5">
      <c r="B1130" s="5" t="str">
        <f t="shared" si="1320"/>
        <v>SPS1</v>
      </c>
      <c r="C1130" s="5" t="str">
        <f t="shared" si="1321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M1130" s="4">
        <v>0.79</v>
      </c>
      <c r="N1130" s="4">
        <v>0.79</v>
      </c>
      <c r="O1130" s="4">
        <v>0.79</v>
      </c>
      <c r="P1130" s="4">
        <v>0.79</v>
      </c>
      <c r="Q1130" s="4">
        <v>0.79</v>
      </c>
      <c r="S1130" s="3"/>
    </row>
    <row r="1131" spans="2:19" x14ac:dyDescent="0.5">
      <c r="B1131" s="5" t="str">
        <f t="shared" si="1320"/>
        <v>SPS1</v>
      </c>
      <c r="C1131" s="5" t="str">
        <f t="shared" si="1321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M1131" s="4">
        <v>0.79</v>
      </c>
      <c r="N1131" s="4">
        <v>0.79</v>
      </c>
      <c r="O1131" s="4">
        <v>0.79</v>
      </c>
      <c r="P1131" s="4">
        <v>0.79</v>
      </c>
      <c r="Q1131" s="4">
        <v>0.79</v>
      </c>
      <c r="S1131" s="3"/>
    </row>
    <row r="1132" spans="2:19" x14ac:dyDescent="0.5">
      <c r="B1132" s="5" t="str">
        <f t="shared" si="1320"/>
        <v>SPS1</v>
      </c>
      <c r="C1132" s="5" t="str">
        <f t="shared" si="1321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348">IFERROR(G1100/G1024,"-")</f>
        <v>0.50000000000000033</v>
      </c>
      <c r="H1132" s="4">
        <f t="shared" si="1348"/>
        <v>0.49999999999999911</v>
      </c>
      <c r="I1132" s="4">
        <f t="shared" si="1348"/>
        <v>0.50000000000000022</v>
      </c>
      <c r="J1132" s="4">
        <f t="shared" si="1348"/>
        <v>0.50000000000000056</v>
      </c>
      <c r="K1132" s="4">
        <f t="shared" si="1348"/>
        <v>0.50000000000000078</v>
      </c>
      <c r="L1132" s="4">
        <f t="shared" ref="L1132:O1132" si="1349">IFERROR(L1100/L1024,"-")</f>
        <v>0.50000000000000033</v>
      </c>
      <c r="M1132" s="4">
        <f t="shared" si="1349"/>
        <v>0.50000000000000033</v>
      </c>
      <c r="N1132" s="4">
        <f t="shared" si="1349"/>
        <v>0.49999999999999933</v>
      </c>
      <c r="O1132" s="4">
        <f t="shared" si="1349"/>
        <v>0.49999999999999967</v>
      </c>
      <c r="P1132" s="4">
        <f>IFERROR(P1100/P1024,"-")</f>
        <v>0.50000000000000033</v>
      </c>
      <c r="Q1132" s="4">
        <f>IFERROR(Q1100/Q1024,"-")</f>
        <v>0.49999999999999933</v>
      </c>
      <c r="S1132" s="3"/>
    </row>
    <row r="1133" spans="2:19" x14ac:dyDescent="0.5">
      <c r="B1133" s="5" t="str">
        <f t="shared" si="1320"/>
        <v>SPS1</v>
      </c>
      <c r="C1133" s="5" t="str">
        <f t="shared" si="1321"/>
        <v>CH</v>
      </c>
      <c r="D1133" t="s">
        <v>1112</v>
      </c>
      <c r="E1133" t="s">
        <v>240</v>
      </c>
      <c r="F1133" s="4">
        <f>IFERROR(F1102/F1029,"-")</f>
        <v>0.62500000000000011</v>
      </c>
      <c r="G1133" s="4">
        <f t="shared" ref="G1133:K1133" si="1350">IFERROR(G1102/G1029,"-")</f>
        <v>0.62500000000000011</v>
      </c>
      <c r="H1133" s="4">
        <f t="shared" si="1350"/>
        <v>0.62499999999999922</v>
      </c>
      <c r="I1133" s="4">
        <f t="shared" si="1350"/>
        <v>0.62500000000000067</v>
      </c>
      <c r="J1133" s="4">
        <f t="shared" si="1350"/>
        <v>0.62500000000000089</v>
      </c>
      <c r="K1133" s="4">
        <f t="shared" si="1350"/>
        <v>0.625</v>
      </c>
      <c r="L1133" s="4">
        <f t="shared" ref="L1133:O1133" si="1351">IFERROR(L1102/L1029,"-")</f>
        <v>0.62500000000000078</v>
      </c>
      <c r="M1133" s="4">
        <f t="shared" si="1351"/>
        <v>0.62500000000000011</v>
      </c>
      <c r="N1133" s="4">
        <f t="shared" si="1351"/>
        <v>0.62500000000000089</v>
      </c>
      <c r="O1133" s="4">
        <f t="shared" si="1351"/>
        <v>0.62499999999999911</v>
      </c>
      <c r="P1133" s="4">
        <f>IFERROR(P1102/P1029,"-")</f>
        <v>0.62499999999999967</v>
      </c>
      <c r="Q1133" s="4">
        <f>IFERROR(Q1102/Q1029,"-")</f>
        <v>0.62499999999999967</v>
      </c>
      <c r="S1133" s="3"/>
    </row>
    <row r="1134" spans="2:19" x14ac:dyDescent="0.5">
      <c r="B1134" s="5" t="str">
        <f t="shared" si="1320"/>
        <v>SPS1</v>
      </c>
      <c r="C1134" s="5" t="str">
        <f t="shared" si="1321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M1134" s="4">
        <v>1</v>
      </c>
      <c r="N1134" s="4">
        <v>1</v>
      </c>
      <c r="O1134" s="4">
        <v>1</v>
      </c>
      <c r="P1134" s="4">
        <v>1</v>
      </c>
      <c r="Q1134" s="4">
        <v>1</v>
      </c>
      <c r="S1134" s="3"/>
    </row>
    <row r="1135" spans="2:19" x14ac:dyDescent="0.5">
      <c r="B1135" s="5" t="str">
        <f t="shared" si="1320"/>
        <v>SPS1</v>
      </c>
      <c r="C1135" s="5" t="str">
        <f t="shared" si="1321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352">IFERROR(G1106/G1041,"-")</f>
        <v>-</v>
      </c>
      <c r="H1135" s="4" t="str">
        <f t="shared" si="1352"/>
        <v>-</v>
      </c>
      <c r="I1135" s="4" t="str">
        <f t="shared" si="1352"/>
        <v>-</v>
      </c>
      <c r="J1135" s="4" t="str">
        <f t="shared" si="1352"/>
        <v>-</v>
      </c>
      <c r="K1135" s="4" t="str">
        <f t="shared" si="1352"/>
        <v>-</v>
      </c>
      <c r="L1135" s="4" t="str">
        <f t="shared" ref="L1135:O1135" si="1353">IFERROR(L1106/L1041,"-")</f>
        <v>-</v>
      </c>
      <c r="M1135" s="4" t="str">
        <f t="shared" si="1353"/>
        <v>-</v>
      </c>
      <c r="N1135" s="4" t="str">
        <f t="shared" si="1353"/>
        <v>-</v>
      </c>
      <c r="O1135" s="4" t="str">
        <f t="shared" si="1353"/>
        <v>-</v>
      </c>
      <c r="P1135" s="4" t="str">
        <f>IFERROR(P1106/P1041,"-")</f>
        <v>-</v>
      </c>
      <c r="Q1135" s="4" t="str">
        <f>IFERROR(Q1106/Q1041,"-")</f>
        <v>-</v>
      </c>
      <c r="S1135" s="3"/>
    </row>
    <row r="1136" spans="2:19" x14ac:dyDescent="0.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354">F1137+F1152+F1157+F1180+F1203</f>
        <v>139.15357026915848</v>
      </c>
      <c r="G1136" s="3">
        <f t="shared" si="1354"/>
        <v>135.68018494401281</v>
      </c>
      <c r="H1136" s="3">
        <f t="shared" si="1354"/>
        <v>130.88503053064079</v>
      </c>
      <c r="I1136" s="3">
        <f t="shared" si="1354"/>
        <v>102.45281993489876</v>
      </c>
      <c r="J1136" s="3">
        <f t="shared" si="1354"/>
        <v>80.437431980732072</v>
      </c>
      <c r="K1136" s="3">
        <f t="shared" si="1354"/>
        <v>75.016717380316507</v>
      </c>
      <c r="L1136" s="3">
        <f t="shared" ref="L1136:O1136" si="1355">L1137+L1152+L1157+L1180+L1203</f>
        <v>66.957015553461119</v>
      </c>
      <c r="M1136" s="3">
        <f t="shared" si="1355"/>
        <v>61.017583154553733</v>
      </c>
      <c r="N1136" s="3">
        <f t="shared" si="1355"/>
        <v>57.38676379038354</v>
      </c>
      <c r="O1136" s="3">
        <f t="shared" si="1355"/>
        <v>53.93490583518043</v>
      </c>
      <c r="P1136" s="3">
        <f>P1137+P1152+P1157+P1180+P1203</f>
        <v>51.612479020458537</v>
      </c>
      <c r="Q1136" s="3">
        <f>Q1137+Q1152+Q1157+Q1180+Q1203</f>
        <v>50.245724025879845</v>
      </c>
      <c r="S1136" s="3"/>
    </row>
    <row r="1137" spans="2:19" x14ac:dyDescent="0.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0.73769621006619401</v>
      </c>
      <c r="G1137" s="1">
        <f t="shared" ref="G1137:K1137" si="1356">SUM(G1138:G1151)</f>
        <v>1.5815004329307345</v>
      </c>
      <c r="H1137" s="1">
        <f t="shared" si="1356"/>
        <v>4.2389349518431345</v>
      </c>
      <c r="I1137" s="1">
        <f t="shared" si="1356"/>
        <v>14.160515800748588</v>
      </c>
      <c r="J1137" s="1">
        <f t="shared" si="1356"/>
        <v>23.430308461361985</v>
      </c>
      <c r="K1137" s="1">
        <f t="shared" si="1356"/>
        <v>24.690194271504193</v>
      </c>
      <c r="L1137" s="1">
        <f t="shared" ref="L1137:O1137" si="1357">SUM(L1138:L1151)</f>
        <v>24.710440184659063</v>
      </c>
      <c r="M1137" s="1">
        <f t="shared" si="1357"/>
        <v>24.887869485397125</v>
      </c>
      <c r="N1137" s="1">
        <f t="shared" si="1357"/>
        <v>25.118502357153421</v>
      </c>
      <c r="O1137" s="1">
        <f t="shared" si="1357"/>
        <v>24.830244875573513</v>
      </c>
      <c r="P1137" s="1">
        <f>SUM(P1138:P1151)</f>
        <v>24.799439134331109</v>
      </c>
      <c r="Q1137" s="1">
        <f>SUM(Q1138:Q1151)</f>
        <v>24.645199531593079</v>
      </c>
      <c r="S1137" s="3"/>
    </row>
    <row r="1138" spans="2:19" x14ac:dyDescent="0.5">
      <c r="B1138" s="5" t="str">
        <f t="shared" ref="B1138:B1217" si="1358">B1137</f>
        <v>SPS1</v>
      </c>
      <c r="C1138" s="5" t="str">
        <f t="shared" ref="C1138:C1217" si="1359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0.46788911163275271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0.37688428482172259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0.26221285662697097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0.11309576410136138</v>
      </c>
      <c r="J1138" s="1" cm="1">
        <f t="array" ref="J1138">SUMPRODUCT(("T_C-BATELCEXT"=[1]OUT_TransportEnergyCons!$A$3:$A$1000)*1,("Var_Fin"=[1]OUT_TransportEnergyCons!$B$3:$B$1000)*1,ISNUMBER(SEARCH("ELC",[1]OUT_TransportEnergyCons!$C$3:$C$1000))*1,[1]OUT_TransportEnergyCons!H$3:H$1000)</f>
        <v>0</v>
      </c>
      <c r="K1138" s="1" cm="1">
        <f t="array" ref="K1138">SUMPRODUCT(("T_C-BATELCEXT"=[1]OUT_TransportEnergyCons!$A$3:$A$1000)*1,("Var_Fin"=[1]OUT_TransportEnergyCons!$B$3:$B$1000)*1,ISNUMBER(SEARCH("ELC",[1]OUT_TransportEnergyCons!$C$3:$C$1000))*1,[1]OUT_TransportEnergyCons!I$3:I$1000)</f>
        <v>0</v>
      </c>
      <c r="L1138" s="1" cm="1">
        <f t="array" ref="L1138">SUMPRODUCT(("T_C-BATELCEXT"=[1]OUT_TransportEnergyCons!$A$3:$A$1000)*1,("Var_Fin"=[1]OUT_TransportEnergyCons!$B$3:$B$1000)*1,ISNUMBER(SEARCH("ELC",[1]OUT_TransportEnergyCons!$C$3:$C$1000))*1,[1]OUT_TransportEnergyCons!J$3:J$1000)</f>
        <v>0</v>
      </c>
      <c r="M1138" s="1" cm="1">
        <f t="array" ref="M1138">SUMPRODUCT(("T_C-BATELCEXT"=[1]OUT_TransportEnergyCons!$A$3:$A$1000)*1,("Var_Fin"=[1]OUT_TransportEnergyCons!$B$3:$B$1000)*1,ISNUMBER(SEARCH("ELC",[1]OUT_TransportEnergyCons!$C$3:$C$1000))*1,[1]OUT_TransportEnergyCons!K$3:K$1000)</f>
        <v>0</v>
      </c>
      <c r="N1138" s="1" cm="1">
        <f t="array" ref="N1138">SUMPRODUCT(("T_C-BATELCEXT"=[1]OUT_TransportEnergyCons!$A$3:$A$1000)*1,("Var_Fin"=[1]OUT_TransportEnergyCons!$B$3:$B$1000)*1,ISNUMBER(SEARCH("ELC",[1]OUT_TransportEnergyCons!$C$3:$C$1000))*1,[1]OUT_TransportEnergyCons!L$3:L$1000)</f>
        <v>0</v>
      </c>
      <c r="O1138" s="1" cm="1">
        <f t="array" ref="O1138">SUMPRODUCT(("T_C-BATELCEXT"=[1]OUT_TransportEnergyCons!$A$3:$A$1000)*1,("Var_Fin"=[1]OUT_TransportEnergyCons!$B$3:$B$1000)*1,ISNUMBER(SEARCH("ELC",[1]OUT_TransportEnergyCons!$C$3:$C$1000))*1,[1]OUT_TransportEnergyCons!M$3:M$1000)</f>
        <v>0</v>
      </c>
      <c r="P1138" s="1" cm="1">
        <f t="array" ref="P1138">SUMPRODUCT(("T_C-BATELCEXT"=[1]OUT_TransportEnergyCons!$A$3:$A$1000)*1,("Var_Fin"=[1]OUT_TransportEnergyCons!$B$3:$B$1000)*1,ISNUMBER(SEARCH("ELC",[1]OUT_TransportEnergyCons!$C$3:$C$1000))*1,[1]OUT_TransportEnergyCons!N$3:N$1000)</f>
        <v>0</v>
      </c>
      <c r="Q1138" s="1" cm="1">
        <f t="array" ref="Q1138">SUMPRODUCT(("T_C-BATELCEXT"=[1]OUT_TransportEnergyCons!$A$3:$A$1000)*1,("Var_Fin"=[1]OUT_TransportEnergyCons!$B$3:$B$1000)*1,ISNUMBER(SEARCH("ELC",[1]OUT_TransportEnergyCons!$C$3:$C$1000))*1,[1]OUT_TransportEnergyCons!O$3:O$1000)</f>
        <v>0</v>
      </c>
      <c r="S1138" s="3"/>
    </row>
    <row r="1139" spans="2:19" x14ac:dyDescent="0.5">
      <c r="B1139" s="5" t="str">
        <f t="shared" si="1358"/>
        <v>SPS1</v>
      </c>
      <c r="C1139" s="5" t="str">
        <f t="shared" si="1359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7.6928242958403843E-3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1.7777598126662995E-2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1.3073557963049955E-2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1.1671203757753554E-2</v>
      </c>
      <c r="J1139" s="1" cm="1">
        <f t="array" ref="J1139">SUMPRODUCT(("T_C-BAT-ELC-S1"=[1]OUT_TransportEnergyCons!$A$3:$A$1000)*1,("Var_Fin"=[1]OUT_TransportEnergyCons!$B$3:$B$1000)*1,ISNUMBER(SEARCH("ELC",[1]OUT_TransportEnergyCons!$C$3:$C$1000))*1,[1]OUT_TransportEnergyCons!H$3:H$1000)</f>
        <v>4.7616155231031193E-3</v>
      </c>
      <c r="K1139" s="1" cm="1">
        <f t="array" ref="K1139">SUMPRODUCT(("T_C-BAT-ELC-S1"=[1]OUT_TransportEnergyCons!$A$3:$A$1000)*1,("Var_Fin"=[1]OUT_TransportEnergyCons!$B$3:$B$1000)*1,ISNUMBER(SEARCH("ELC",[1]OUT_TransportEnergyCons!$C$3:$C$1000))*1,[1]OUT_TransportEnergyCons!I$3:I$1000)</f>
        <v>0.12536189852646987</v>
      </c>
      <c r="L1139" s="1" cm="1">
        <f t="array" ref="L1139">SUMPRODUCT(("T_C-BAT-ELC-S1"=[1]OUT_TransportEnergyCons!$A$3:$A$1000)*1,("Var_Fin"=[1]OUT_TransportEnergyCons!$B$3:$B$1000)*1,ISNUMBER(SEARCH("ELC",[1]OUT_TransportEnergyCons!$C$3:$C$1000))*1,[1]OUT_TransportEnergyCons!J$3:J$1000)</f>
        <v>0.36296861081116194</v>
      </c>
      <c r="M1139" s="1" cm="1">
        <f t="array" ref="M1139">SUMPRODUCT(("T_C-BAT-ELC-S1"=[1]OUT_TransportEnergyCons!$A$3:$A$1000)*1,("Var_Fin"=[1]OUT_TransportEnergyCons!$B$3:$B$1000)*1,ISNUMBER(SEARCH("ELC",[1]OUT_TransportEnergyCons!$C$3:$C$1000))*1,[1]OUT_TransportEnergyCons!K$3:K$1000)</f>
        <v>0.78490685205246546</v>
      </c>
      <c r="N1139" s="1" cm="1">
        <f t="array" ref="N1139">SUMPRODUCT(("T_C-BAT-ELC-S1"=[1]OUT_TransportEnergyCons!$A$3:$A$1000)*1,("Var_Fin"=[1]OUT_TransportEnergyCons!$B$3:$B$1000)*1,ISNUMBER(SEARCH("ELC",[1]OUT_TransportEnergyCons!$C$3:$C$1000))*1,[1]OUT_TransportEnergyCons!L$3:L$1000)</f>
        <v>0.83280267102195626</v>
      </c>
      <c r="O1139" s="1" cm="1">
        <f t="array" ref="O1139">SUMPRODUCT(("T_C-BAT-ELC-S1"=[1]OUT_TransportEnergyCons!$A$3:$A$1000)*1,("Var_Fin"=[1]OUT_TransportEnergyCons!$B$3:$B$1000)*1,ISNUMBER(SEARCH("ELC",[1]OUT_TransportEnergyCons!$C$3:$C$1000))*1,[1]OUT_TransportEnergyCons!M$3:M$1000)</f>
        <v>0.79570438434411384</v>
      </c>
      <c r="P1139" s="1" cm="1">
        <f t="array" ref="P1139">SUMPRODUCT(("T_C-BAT-ELC-S1"=[1]OUT_TransportEnergyCons!$A$3:$A$1000)*1,("Var_Fin"=[1]OUT_TransportEnergyCons!$B$3:$B$1000)*1,ISNUMBER(SEARCH("ELC",[1]OUT_TransportEnergyCons!$C$3:$C$1000))*1,[1]OUT_TransportEnergyCons!N$3:N$1000)</f>
        <v>0.78881446937124855</v>
      </c>
      <c r="Q1139" s="1" cm="1">
        <f t="array" ref="Q1139">SUMPRODUCT(("T_C-BAT-ELC-S1"=[1]OUT_TransportEnergyCons!$A$3:$A$1000)*1,("Var_Fin"=[1]OUT_TransportEnergyCons!$B$3:$B$1000)*1,ISNUMBER(SEARCH("ELC",[1]OUT_TransportEnergyCons!$C$3:$C$1000))*1,[1]OUT_TransportEnergyCons!O$3:O$1000)</f>
        <v>0.69766668958987788</v>
      </c>
      <c r="S1139" s="3"/>
    </row>
    <row r="1140" spans="2:19" x14ac:dyDescent="0.5">
      <c r="B1140" s="5" t="str">
        <f t="shared" si="1358"/>
        <v>SPS1</v>
      </c>
      <c r="C1140" s="5" t="str">
        <f t="shared" si="1359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6.6151629084194613E-2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0.10313552003221307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1.8804841313768619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6.8044267723364049</v>
      </c>
      <c r="J1140" s="1" cm="1">
        <f t="array" ref="J1140">SUMPRODUCT(("T_C-BAT-ELC-S2"=[1]OUT_TransportEnergyCons!$A$3:$A$1000)*1,("Var_Fin"=[1]OUT_TransportEnergyCons!$B$3:$B$1000)*1,ISNUMBER(SEARCH("ELC",[1]OUT_TransportEnergyCons!$C$3:$C$1000))*1,[1]OUT_TransportEnergyCons!H$3:H$1000)</f>
        <v>11.00729621648855</v>
      </c>
      <c r="K1140" s="1" cm="1">
        <f t="array" ref="K1140">SUMPRODUCT(("T_C-BAT-ELC-S2"=[1]OUT_TransportEnergyCons!$A$3:$A$1000)*1,("Var_Fin"=[1]OUT_TransportEnergyCons!$B$3:$B$1000)*1,ISNUMBER(SEARCH("ELC",[1]OUT_TransportEnergyCons!$C$3:$C$1000))*1,[1]OUT_TransportEnergyCons!I$3:I$1000)</f>
        <v>11.356162905107084</v>
      </c>
      <c r="L1140" s="1" cm="1">
        <f t="array" ref="L1140">SUMPRODUCT(("T_C-BAT-ELC-S2"=[1]OUT_TransportEnergyCons!$A$3:$A$1000)*1,("Var_Fin"=[1]OUT_TransportEnergyCons!$B$3:$B$1000)*1,ISNUMBER(SEARCH("ELC",[1]OUT_TransportEnergyCons!$C$3:$C$1000))*1,[1]OUT_TransportEnergyCons!J$3:J$1000)</f>
        <v>10.923958395959389</v>
      </c>
      <c r="M1140" s="1" cm="1">
        <f t="array" ref="M1140">SUMPRODUCT(("T_C-BAT-ELC-S2"=[1]OUT_TransportEnergyCons!$A$3:$A$1000)*1,("Var_Fin"=[1]OUT_TransportEnergyCons!$B$3:$B$1000)*1,ISNUMBER(SEARCH("ELC",[1]OUT_TransportEnergyCons!$C$3:$C$1000))*1,[1]OUT_TransportEnergyCons!K$3:K$1000)</f>
        <v>10.378174074896876</v>
      </c>
      <c r="N1140" s="1" cm="1">
        <f t="array" ref="N1140">SUMPRODUCT(("T_C-BAT-ELC-S2"=[1]OUT_TransportEnergyCons!$A$3:$A$1000)*1,("Var_Fin"=[1]OUT_TransportEnergyCons!$B$3:$B$1000)*1,ISNUMBER(SEARCH("ELC",[1]OUT_TransportEnergyCons!$C$3:$C$1000))*1,[1]OUT_TransportEnergyCons!L$3:L$1000)</f>
        <v>9.9524356230263091</v>
      </c>
      <c r="O1140" s="1" cm="1">
        <f t="array" ref="O1140">SUMPRODUCT(("T_C-BAT-ELC-S2"=[1]OUT_TransportEnergyCons!$A$3:$A$1000)*1,("Var_Fin"=[1]OUT_TransportEnergyCons!$B$3:$B$1000)*1,ISNUMBER(SEARCH("ELC",[1]OUT_TransportEnergyCons!$C$3:$C$1000))*1,[1]OUT_TransportEnergyCons!M$3:M$1000)</f>
        <v>9.3590345821595324</v>
      </c>
      <c r="P1140" s="1" cm="1">
        <f t="array" ref="P1140">SUMPRODUCT(("T_C-BAT-ELC-S2"=[1]OUT_TransportEnergyCons!$A$3:$A$1000)*1,("Var_Fin"=[1]OUT_TransportEnergyCons!$B$3:$B$1000)*1,ISNUMBER(SEARCH("ELC",[1]OUT_TransportEnergyCons!$C$3:$C$1000))*1,[1]OUT_TransportEnergyCons!N$3:N$1000)</f>
        <v>8.7154463120767396</v>
      </c>
      <c r="Q1140" s="1" cm="1">
        <f t="array" ref="Q1140">SUMPRODUCT(("T_C-BAT-ELC-S2"=[1]OUT_TransportEnergyCons!$A$3:$A$1000)*1,("Var_Fin"=[1]OUT_TransportEnergyCons!$B$3:$B$1000)*1,ISNUMBER(SEARCH("ELC",[1]OUT_TransportEnergyCons!$C$3:$C$1000))*1,[1]OUT_TransportEnergyCons!O$3:O$1000)</f>
        <v>8.4975534933478674</v>
      </c>
      <c r="S1140" s="3"/>
    </row>
    <row r="1141" spans="2:19" x14ac:dyDescent="0.5">
      <c r="B1141" s="5" t="str">
        <f t="shared" si="1358"/>
        <v>SPS1</v>
      </c>
      <c r="C1141" s="5" t="str">
        <f t="shared" si="1359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4.5857169324019467E-2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9.5026441978611834E-2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0.10467319067915851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1.9659759251702917</v>
      </c>
      <c r="J1141" s="1" cm="1">
        <f t="array" ref="J1141">SUMPRODUCT(("T_C-BAT-ELC-S3"=[1]OUT_TransportEnergyCons!$A$3:$A$1000)*1,("Var_Fin"=[1]OUT_TransportEnergyCons!$B$3:$B$1000)*1,ISNUMBER(SEARCH("ELC",[1]OUT_TransportEnergyCons!$C$3:$C$1000))*1,[1]OUT_TransportEnergyCons!H$3:H$1000)</f>
        <v>5.4589542083199341</v>
      </c>
      <c r="K1141" s="1" cm="1">
        <f t="array" ref="K1141">SUMPRODUCT(("T_C-BAT-ELC-S3"=[1]OUT_TransportEnergyCons!$A$3:$A$1000)*1,("Var_Fin"=[1]OUT_TransportEnergyCons!$B$3:$B$1000)*1,ISNUMBER(SEARCH("ELC",[1]OUT_TransportEnergyCons!$C$3:$C$1000))*1,[1]OUT_TransportEnergyCons!I$3:I$1000)</f>
        <v>7.5131441778108048</v>
      </c>
      <c r="L1141" s="1" cm="1">
        <f t="array" ref="L1141">SUMPRODUCT(("T_C-BAT-ELC-S3"=[1]OUT_TransportEnergyCons!$A$3:$A$1000)*1,("Var_Fin"=[1]OUT_TransportEnergyCons!$B$3:$B$1000)*1,ISNUMBER(SEARCH("ELC",[1]OUT_TransportEnergyCons!$C$3:$C$1000))*1,[1]OUT_TransportEnergyCons!J$3:J$1000)</f>
        <v>7.5926624070856281</v>
      </c>
      <c r="M1141" s="1" cm="1">
        <f t="array" ref="M1141">SUMPRODUCT(("T_C-BAT-ELC-S3"=[1]OUT_TransportEnergyCons!$A$3:$A$1000)*1,("Var_Fin"=[1]OUT_TransportEnergyCons!$B$3:$B$1000)*1,ISNUMBER(SEARCH("ELC",[1]OUT_TransportEnergyCons!$C$3:$C$1000))*1,[1]OUT_TransportEnergyCons!K$3:K$1000)</f>
        <v>6.9561539987500387</v>
      </c>
      <c r="N1141" s="1" cm="1">
        <f t="array" ref="N1141">SUMPRODUCT(("T_C-BAT-ELC-S3"=[1]OUT_TransportEnergyCons!$A$3:$A$1000)*1,("Var_Fin"=[1]OUT_TransportEnergyCons!$B$3:$B$1000)*1,ISNUMBER(SEARCH("ELC",[1]OUT_TransportEnergyCons!$C$3:$C$1000))*1,[1]OUT_TransportEnergyCons!L$3:L$1000)</f>
        <v>7.5590986026115381</v>
      </c>
      <c r="O1141" s="1" cm="1">
        <f t="array" ref="O1141">SUMPRODUCT(("T_C-BAT-ELC-S3"=[1]OUT_TransportEnergyCons!$A$3:$A$1000)*1,("Var_Fin"=[1]OUT_TransportEnergyCons!$B$3:$B$1000)*1,ISNUMBER(SEARCH("ELC",[1]OUT_TransportEnergyCons!$C$3:$C$1000))*1,[1]OUT_TransportEnergyCons!M$3:M$1000)</f>
        <v>7.6855255029045466</v>
      </c>
      <c r="P1141" s="1" cm="1">
        <f t="array" ref="P1141">SUMPRODUCT(("T_C-BAT-ELC-S3"=[1]OUT_TransportEnergyCons!$A$3:$A$1000)*1,("Var_Fin"=[1]OUT_TransportEnergyCons!$B$3:$B$1000)*1,ISNUMBER(SEARCH("ELC",[1]OUT_TransportEnergyCons!$C$3:$C$1000))*1,[1]OUT_TransportEnergyCons!N$3:N$1000)</f>
        <v>8.197695385853029</v>
      </c>
      <c r="Q1141" s="1" cm="1">
        <f t="array" ref="Q1141">SUMPRODUCT(("T_C-BAT-ELC-S3"=[1]OUT_TransportEnergyCons!$A$3:$A$1000)*1,("Var_Fin"=[1]OUT_TransportEnergyCons!$B$3:$B$1000)*1,ISNUMBER(SEARCH("ELC",[1]OUT_TransportEnergyCons!$C$3:$C$1000))*1,[1]OUT_TransportEnergyCons!O$3:O$1000)</f>
        <v>8.3466895004682033</v>
      </c>
      <c r="S1141" s="3"/>
    </row>
    <row r="1142" spans="2:19" x14ac:dyDescent="0.5">
      <c r="B1142" s="5" t="str">
        <f t="shared" si="1358"/>
        <v>SPS1</v>
      </c>
      <c r="C1142" s="5" t="str">
        <f t="shared" si="1359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0.14926696310451026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0.96866624826413106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1.6771047290970784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2.9525197545744941</v>
      </c>
      <c r="J1142" s="1" cm="1">
        <f t="array" ref="J1142">SUMPRODUCT(("T_C-BAT-ELC-S4"=[1]OUT_TransportEnergyCons!$A$3:$A$1000)*1,("Var_Fin"=[1]OUT_TransportEnergyCons!$B$3:$B$1000)*1,ISNUMBER(SEARCH("ELC",[1]OUT_TransportEnergyCons!$C$3:$C$1000))*1,[1]OUT_TransportEnergyCons!H$3:H$1000)</f>
        <v>3.1309630167583502</v>
      </c>
      <c r="K1142" s="1" cm="1">
        <f t="array" ref="K1142">SUMPRODUCT(("T_C-BAT-ELC-S4"=[1]OUT_TransportEnergyCons!$A$3:$A$1000)*1,("Var_Fin"=[1]OUT_TransportEnergyCons!$B$3:$B$1000)*1,ISNUMBER(SEARCH("ELC",[1]OUT_TransportEnergyCons!$C$3:$C$1000))*1,[1]OUT_TransportEnergyCons!I$3:I$1000)</f>
        <v>1.8926521039277542</v>
      </c>
      <c r="L1142" s="1" cm="1">
        <f t="array" ref="L1142">SUMPRODUCT(("T_C-BAT-ELC-S4"=[1]OUT_TransportEnergyCons!$A$3:$A$1000)*1,("Var_Fin"=[1]OUT_TransportEnergyCons!$B$3:$B$1000)*1,ISNUMBER(SEARCH("ELC",[1]OUT_TransportEnergyCons!$C$3:$C$1000))*1,[1]OUT_TransportEnergyCons!J$3:J$1000)</f>
        <v>1.8406777316119407</v>
      </c>
      <c r="M1142" s="1" cm="1">
        <f t="array" ref="M1142">SUMPRODUCT(("T_C-BAT-ELC-S4"=[1]OUT_TransportEnergyCons!$A$3:$A$1000)*1,("Var_Fin"=[1]OUT_TransportEnergyCons!$B$3:$B$1000)*1,ISNUMBER(SEARCH("ELC",[1]OUT_TransportEnergyCons!$C$3:$C$1000))*1,[1]OUT_TransportEnergyCons!K$3:K$1000)</f>
        <v>1.8218554918695185</v>
      </c>
      <c r="N1142" s="1" cm="1">
        <f t="array" ref="N1142">SUMPRODUCT(("T_C-BAT-ELC-S4"=[1]OUT_TransportEnergyCons!$A$3:$A$1000)*1,("Var_Fin"=[1]OUT_TransportEnergyCons!$B$3:$B$1000)*1,ISNUMBER(SEARCH("ELC",[1]OUT_TransportEnergyCons!$C$3:$C$1000))*1,[1]OUT_TransportEnergyCons!L$3:L$1000)</f>
        <v>1.8406988988752535</v>
      </c>
      <c r="O1142" s="1" cm="1">
        <f t="array" ref="O1142">SUMPRODUCT(("T_C-BAT-ELC-S4"=[1]OUT_TransportEnergyCons!$A$3:$A$1000)*1,("Var_Fin"=[1]OUT_TransportEnergyCons!$B$3:$B$1000)*1,ISNUMBER(SEARCH("ELC",[1]OUT_TransportEnergyCons!$C$3:$C$1000))*1,[1]OUT_TransportEnergyCons!M$3:M$1000)</f>
        <v>1.8548652743261325</v>
      </c>
      <c r="P1142" s="1" cm="1">
        <f t="array" ref="P1142">SUMPRODUCT(("T_C-BAT-ELC-S4"=[1]OUT_TransportEnergyCons!$A$3:$A$1000)*1,("Var_Fin"=[1]OUT_TransportEnergyCons!$B$3:$B$1000)*1,ISNUMBER(SEARCH("ELC",[1]OUT_TransportEnergyCons!$C$3:$C$1000))*1,[1]OUT_TransportEnergyCons!N$3:N$1000)</f>
        <v>1.9150849817619078</v>
      </c>
      <c r="Q1142" s="1" cm="1">
        <f t="array" ref="Q1142">SUMPRODUCT(("T_C-BAT-ELC-S4"=[1]OUT_TransportEnergyCons!$A$3:$A$1000)*1,("Var_Fin"=[1]OUT_TransportEnergyCons!$B$3:$B$1000)*1,ISNUMBER(SEARCH("ELC",[1]OUT_TransportEnergyCons!$C$3:$C$1000))*1,[1]OUT_TransportEnergyCons!O$3:O$1000)</f>
        <v>1.962629769427672</v>
      </c>
      <c r="S1142" s="3"/>
    </row>
    <row r="1143" spans="2:19" x14ac:dyDescent="0.5">
      <c r="B1143" s="5" t="str">
        <f t="shared" si="1358"/>
        <v>SPS1</v>
      </c>
      <c r="C1143" s="5" t="str">
        <f t="shared" si="1359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3.6055422477670835E-5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5.4683888672802607E-5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9.3295795803436868E-5</v>
      </c>
      <c r="J1143" s="1" cm="1">
        <f t="array" ref="J1143">SUMPRODUCT(("T-Plg-elc-gsl_S1"=[1]OUT_TransportEnergyCons!$A$3:$A$1000)*1,("Var_Fin"=[1]OUT_TransportEnergyCons!$B$3:$B$1000)*1,ISNUMBER(SEARCH("ELC",[1]OUT_TransportEnergyCons!$C$3:$C$1000))*1,[1]OUT_TransportEnergyCons!H$3:H$1000)</f>
        <v>1.048704216616499E-4</v>
      </c>
      <c r="K1143" s="1" cm="1">
        <f t="array" ref="K1143">SUMPRODUCT(("T-Plg-elc-gsl_S1"=[1]OUT_TransportEnergyCons!$A$3:$A$1000)*1,("Var_Fin"=[1]OUT_TransportEnergyCons!$B$3:$B$1000)*1,ISNUMBER(SEARCH("ELC",[1]OUT_TransportEnergyCons!$C$3:$C$1000))*1,[1]OUT_TransportEnergyCons!I$3:I$1000)</f>
        <v>1.4945429917361081E-4</v>
      </c>
      <c r="L1143" s="1" cm="1">
        <f t="array" ref="L1143">SUMPRODUCT(("T-Plg-elc-gsl_S1"=[1]OUT_TransportEnergyCons!$A$3:$A$1000)*1,("Var_Fin"=[1]OUT_TransportEnergyCons!$B$3:$B$1000)*1,ISNUMBER(SEARCH("ELC",[1]OUT_TransportEnergyCons!$C$3:$C$1000))*1,[1]OUT_TransportEnergyCons!J$3:J$1000)</f>
        <v>2.4013111424626963E-4</v>
      </c>
      <c r="M1143" s="1" cm="1">
        <f t="array" ref="M1143">SUMPRODUCT(("T-Plg-elc-gsl_S1"=[1]OUT_TransportEnergyCons!$A$3:$A$1000)*1,("Var_Fin"=[1]OUT_TransportEnergyCons!$B$3:$B$1000)*1,ISNUMBER(SEARCH("ELC",[1]OUT_TransportEnergyCons!$C$3:$C$1000))*1,[1]OUT_TransportEnergyCons!K$3:K$1000)</f>
        <v>2.6916849541202132E-4</v>
      </c>
      <c r="N1143" s="1" cm="1">
        <f t="array" ref="N1143">SUMPRODUCT(("T-Plg-elc-gsl_S1"=[1]OUT_TransportEnergyCons!$A$3:$A$1000)*1,("Var_Fin"=[1]OUT_TransportEnergyCons!$B$3:$B$1000)*1,ISNUMBER(SEARCH("ELC",[1]OUT_TransportEnergyCons!$C$3:$C$1000))*1,[1]OUT_TransportEnergyCons!L$3:L$1000)</f>
        <v>5.1932893810509577E-4</v>
      </c>
      <c r="O1143" s="1" cm="1">
        <f t="array" ref="O1143">SUMPRODUCT(("T-Plg-elc-gsl_S1"=[1]OUT_TransportEnergyCons!$A$3:$A$1000)*1,("Var_Fin"=[1]OUT_TransportEnergyCons!$B$3:$B$1000)*1,ISNUMBER(SEARCH("ELC",[1]OUT_TransportEnergyCons!$C$3:$C$1000))*1,[1]OUT_TransportEnergyCons!M$3:M$1000)</f>
        <v>9.8100923365247749E-4</v>
      </c>
      <c r="P1143" s="1" cm="1">
        <f t="array" ref="P1143">SUMPRODUCT(("T-Plg-elc-gsl_S1"=[1]OUT_TransportEnergyCons!$A$3:$A$1000)*1,("Var_Fin"=[1]OUT_TransportEnergyCons!$B$3:$B$1000)*1,ISNUMBER(SEARCH("ELC",[1]OUT_TransportEnergyCons!$C$3:$C$1000))*1,[1]OUT_TransportEnergyCons!N$3:N$1000)</f>
        <v>1.463309260850153E-3</v>
      </c>
      <c r="Q1143" s="1" cm="1">
        <f t="array" ref="Q1143">SUMPRODUCT(("T-Plg-elc-gsl_S1"=[1]OUT_TransportEnergyCons!$A$3:$A$1000)*1,("Var_Fin"=[1]OUT_TransportEnergyCons!$B$3:$B$1000)*1,ISNUMBER(SEARCH("ELC",[1]OUT_TransportEnergyCons!$C$3:$C$1000))*1,[1]OUT_TransportEnergyCons!O$3:O$1000)</f>
        <v>2.174626773302964E-3</v>
      </c>
      <c r="S1143" s="3"/>
    </row>
    <row r="1144" spans="2:19" x14ac:dyDescent="0.5">
      <c r="B1144" s="5" t="str">
        <f t="shared" si="1358"/>
        <v>SPS1</v>
      </c>
      <c r="C1144" s="5" t="str">
        <f t="shared" si="1359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8.3851262487658735E-4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6.1715100222366182E-4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1.120410332315455E-3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1.505787435729595E-3</v>
      </c>
      <c r="J1144" s="1" cm="1">
        <f t="array" ref="J1144">SUMPRODUCT(("T-Plg-elc-gsl_S2"=[1]OUT_TransportEnergyCons!$A$3:$A$1000)*1,("Var_Fin"=[1]OUT_TransportEnergyCons!$B$3:$B$1000)*1,ISNUMBER(SEARCH("ELC",[1]OUT_TransportEnergyCons!$C$3:$C$1000))*1,[1]OUT_TransportEnergyCons!H$3:H$1000)</f>
        <v>1.8883448828841943E-3</v>
      </c>
      <c r="K1144" s="1" cm="1">
        <f t="array" ref="K1144">SUMPRODUCT(("T-Plg-elc-gsl_S2"=[1]OUT_TransportEnergyCons!$A$3:$A$1000)*1,("Var_Fin"=[1]OUT_TransportEnergyCons!$B$3:$B$1000)*1,ISNUMBER(SEARCH("ELC",[1]OUT_TransportEnergyCons!$C$3:$C$1000))*1,[1]OUT_TransportEnergyCons!I$3:I$1000)</f>
        <v>7.7870121089960033E-4</v>
      </c>
      <c r="L1144" s="1" cm="1">
        <f t="array" ref="L1144">SUMPRODUCT(("T-Plg-elc-gsl_S2"=[1]OUT_TransportEnergyCons!$A$3:$A$1000)*1,("Var_Fin"=[1]OUT_TransportEnergyCons!$B$3:$B$1000)*1,ISNUMBER(SEARCH("ELC",[1]OUT_TransportEnergyCons!$C$3:$C$1000))*1,[1]OUT_TransportEnergyCons!J$3:J$1000)</f>
        <v>9.8717866216734918E-4</v>
      </c>
      <c r="M1144" s="1" cm="1">
        <f t="array" ref="M1144">SUMPRODUCT(("T-Plg-elc-gsl_S2"=[1]OUT_TransportEnergyCons!$A$3:$A$1000)*1,("Var_Fin"=[1]OUT_TransportEnergyCons!$B$3:$B$1000)*1,ISNUMBER(SEARCH("ELC",[1]OUT_TransportEnergyCons!$C$3:$C$1000))*1,[1]OUT_TransportEnergyCons!K$3:K$1000)</f>
        <v>9.3686555729195124E-4</v>
      </c>
      <c r="N1144" s="1" cm="1">
        <f t="array" ref="N1144">SUMPRODUCT(("T-Plg-elc-gsl_S2"=[1]OUT_TransportEnergyCons!$A$3:$A$1000)*1,("Var_Fin"=[1]OUT_TransportEnergyCons!$B$3:$B$1000)*1,ISNUMBER(SEARCH("ELC",[1]OUT_TransportEnergyCons!$C$3:$C$1000))*1,[1]OUT_TransportEnergyCons!L$3:L$1000)</f>
        <v>1.6463807334528308E-3</v>
      </c>
      <c r="O1144" s="1" cm="1">
        <f t="array" ref="O1144">SUMPRODUCT(("T-Plg-elc-gsl_S2"=[1]OUT_TransportEnergyCons!$A$3:$A$1000)*1,("Var_Fin"=[1]OUT_TransportEnergyCons!$B$3:$B$1000)*1,ISNUMBER(SEARCH("ELC",[1]OUT_TransportEnergyCons!$C$3:$C$1000))*1,[1]OUT_TransportEnergyCons!M$3:M$1000)</f>
        <v>3.7662307100952856E-2</v>
      </c>
      <c r="P1144" s="1" cm="1">
        <f t="array" ref="P1144">SUMPRODUCT(("T-Plg-elc-gsl_S2"=[1]OUT_TransportEnergyCons!$A$3:$A$1000)*1,("Var_Fin"=[1]OUT_TransportEnergyCons!$B$3:$B$1000)*1,ISNUMBER(SEARCH("ELC",[1]OUT_TransportEnergyCons!$C$3:$C$1000))*1,[1]OUT_TransportEnergyCons!N$3:N$1000)</f>
        <v>8.3471204760749013E-2</v>
      </c>
      <c r="Q1144" s="1" cm="1">
        <f t="array" ref="Q1144">SUMPRODUCT(("T-Plg-elc-gsl_S2"=[1]OUT_TransportEnergyCons!$A$3:$A$1000)*1,("Var_Fin"=[1]OUT_TransportEnergyCons!$B$3:$B$1000)*1,ISNUMBER(SEARCH("ELC",[1]OUT_TransportEnergyCons!$C$3:$C$1000))*1,[1]OUT_TransportEnergyCons!O$3:O$1000)</f>
        <v>9.6969122588366125E-2</v>
      </c>
      <c r="S1144" s="3"/>
    </row>
    <row r="1145" spans="2:19" x14ac:dyDescent="0.5">
      <c r="B1145" s="5" t="str">
        <f t="shared" si="1358"/>
        <v>SPS1</v>
      </c>
      <c r="C1145" s="5" t="str">
        <f t="shared" si="1359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1.799244350137455E-2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8.2263704980838195E-2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0.14463013039189912</v>
      </c>
      <c r="J1145" s="1" cm="1">
        <f t="array" ref="J1145">SUMPRODUCT(("T-Plg-elc-gsl_S3"=[1]OUT_TransportEnergyCons!$A$3:$A$1000)*1,("Var_Fin"=[1]OUT_TransportEnergyCons!$B$3:$B$1000)*1,ISNUMBER(SEARCH("ELC",[1]OUT_TransportEnergyCons!$C$3:$C$1000))*1,[1]OUT_TransportEnergyCons!H$3:H$1000)</f>
        <v>0.22191795452638446</v>
      </c>
      <c r="K1145" s="1" cm="1">
        <f t="array" ref="K1145">SUMPRODUCT(("T-Plg-elc-gsl_S3"=[1]OUT_TransportEnergyCons!$A$3:$A$1000)*1,("Var_Fin"=[1]OUT_TransportEnergyCons!$B$3:$B$1000)*1,ISNUMBER(SEARCH("ELC",[1]OUT_TransportEnergyCons!$C$3:$C$1000))*1,[1]OUT_TransportEnergyCons!I$3:I$1000)</f>
        <v>0.16415373266200092</v>
      </c>
      <c r="L1145" s="1" cm="1">
        <f t="array" ref="L1145">SUMPRODUCT(("T-Plg-elc-gsl_S3"=[1]OUT_TransportEnergyCons!$A$3:$A$1000)*1,("Var_Fin"=[1]OUT_TransportEnergyCons!$B$3:$B$1000)*1,ISNUMBER(SEARCH("ELC",[1]OUT_TransportEnergyCons!$C$3:$C$1000))*1,[1]OUT_TransportEnergyCons!J$3:J$1000)</f>
        <v>0.17586399547532808</v>
      </c>
      <c r="M1145" s="1" cm="1">
        <f t="array" ref="M1145">SUMPRODUCT(("T-Plg-elc-gsl_S3"=[1]OUT_TransportEnergyCons!$A$3:$A$1000)*1,("Var_Fin"=[1]OUT_TransportEnergyCons!$B$3:$B$1000)*1,ISNUMBER(SEARCH("ELC",[1]OUT_TransportEnergyCons!$C$3:$C$1000))*1,[1]OUT_TransportEnergyCons!K$3:K$1000)</f>
        <v>7.9755628260082104E-2</v>
      </c>
      <c r="N1145" s="1" cm="1">
        <f t="array" ref="N1145">SUMPRODUCT(("T-Plg-elc-gsl_S3"=[1]OUT_TransportEnergyCons!$A$3:$A$1000)*1,("Var_Fin"=[1]OUT_TransportEnergyCons!$B$3:$B$1000)*1,ISNUMBER(SEARCH("ELC",[1]OUT_TransportEnergyCons!$C$3:$C$1000))*1,[1]OUT_TransportEnergyCons!L$3:L$1000)</f>
        <v>0.19451332132680238</v>
      </c>
      <c r="O1145" s="1" cm="1">
        <f t="array" ref="O1145">SUMPRODUCT(("T-Plg-elc-gsl_S3"=[1]OUT_TransportEnergyCons!$A$3:$A$1000)*1,("Var_Fin"=[1]OUT_TransportEnergyCons!$B$3:$B$1000)*1,ISNUMBER(SEARCH("ELC",[1]OUT_TransportEnergyCons!$C$3:$C$1000))*1,[1]OUT_TransportEnergyCons!M$3:M$1000)</f>
        <v>0.16595183409712869</v>
      </c>
      <c r="P1145" s="1" cm="1">
        <f t="array" ref="P1145">SUMPRODUCT(("T-Plg-elc-gsl_S3"=[1]OUT_TransportEnergyCons!$A$3:$A$1000)*1,("Var_Fin"=[1]OUT_TransportEnergyCons!$B$3:$B$1000)*1,ISNUMBER(SEARCH("ELC",[1]OUT_TransportEnergyCons!$C$3:$C$1000))*1,[1]OUT_TransportEnergyCons!N$3:N$1000)</f>
        <v>0.12296076712807237</v>
      </c>
      <c r="Q1145" s="1" cm="1">
        <f t="array" ref="Q1145">SUMPRODUCT(("T-Plg-elc-gsl_S3"=[1]OUT_TransportEnergyCons!$A$3:$A$1000)*1,("Var_Fin"=[1]OUT_TransportEnergyCons!$B$3:$B$1000)*1,ISNUMBER(SEARCH("ELC",[1]OUT_TransportEnergyCons!$C$3:$C$1000))*1,[1]OUT_TransportEnergyCons!O$3:O$1000)</f>
        <v>2.3735565021955934E-2</v>
      </c>
      <c r="S1145" s="3"/>
    </row>
    <row r="1146" spans="2:19" x14ac:dyDescent="0.5">
      <c r="B1146" s="5" t="str">
        <f t="shared" si="1358"/>
        <v>SPS1</v>
      </c>
      <c r="C1146" s="5" t="str">
        <f t="shared" si="1359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5.0214178074311122E-4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1.1539020936571517E-3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2.1322571286993192E-3</v>
      </c>
      <c r="J1146" s="1" cm="1">
        <f t="array" ref="J1146">SUMPRODUCT(("T-Plg-elc-gsl_S4"=[1]OUT_TransportEnergyCons!$A$3:$A$1000)*1,("Var_Fin"=[1]OUT_TransportEnergyCons!$B$3:$B$1000)*1,ISNUMBER(SEARCH("ELC",[1]OUT_TransportEnergyCons!$C$3:$C$1000))*1,[1]OUT_TransportEnergyCons!H$3:H$1000)</f>
        <v>6.9737774074303807E-3</v>
      </c>
      <c r="K1146" s="1" cm="1">
        <f t="array" ref="K1146">SUMPRODUCT(("T-Plg-elc-gsl_S4"=[1]OUT_TransportEnergyCons!$A$3:$A$1000)*1,("Var_Fin"=[1]OUT_TransportEnergyCons!$B$3:$B$1000)*1,ISNUMBER(SEARCH("ELC",[1]OUT_TransportEnergyCons!$C$3:$C$1000))*1,[1]OUT_TransportEnergyCons!I$3:I$1000)</f>
        <v>2.5193222858263041E-3</v>
      </c>
      <c r="L1146" s="1" cm="1">
        <f t="array" ref="L1146">SUMPRODUCT(("T-Plg-elc-gsl_S4"=[1]OUT_TransportEnergyCons!$A$3:$A$1000)*1,("Var_Fin"=[1]OUT_TransportEnergyCons!$B$3:$B$1000)*1,ISNUMBER(SEARCH("ELC",[1]OUT_TransportEnergyCons!$C$3:$C$1000))*1,[1]OUT_TransportEnergyCons!J$3:J$1000)</f>
        <v>5.2228549750827965E-3</v>
      </c>
      <c r="M1146" s="1" cm="1">
        <f t="array" ref="M1146">SUMPRODUCT(("T-Plg-elc-gsl_S4"=[1]OUT_TransportEnergyCons!$A$3:$A$1000)*1,("Var_Fin"=[1]OUT_TransportEnergyCons!$B$3:$B$1000)*1,ISNUMBER(SEARCH("ELC",[1]OUT_TransportEnergyCons!$C$3:$C$1000))*1,[1]OUT_TransportEnergyCons!K$3:K$1000)</f>
        <v>4.4335688493636538E-3</v>
      </c>
      <c r="N1146" s="1" cm="1">
        <f t="array" ref="N1146">SUMPRODUCT(("T-Plg-elc-gsl_S4"=[1]OUT_TransportEnergyCons!$A$3:$A$1000)*1,("Var_Fin"=[1]OUT_TransportEnergyCons!$B$3:$B$1000)*1,ISNUMBER(SEARCH("ELC",[1]OUT_TransportEnergyCons!$C$3:$C$1000))*1,[1]OUT_TransportEnergyCons!L$3:L$1000)</f>
        <v>9.5027492209730752E-2</v>
      </c>
      <c r="O1146" s="1" cm="1">
        <f t="array" ref="O1146">SUMPRODUCT(("T-Plg-elc-gsl_S4"=[1]OUT_TransportEnergyCons!$A$3:$A$1000)*1,("Var_Fin"=[1]OUT_TransportEnergyCons!$B$3:$B$1000)*1,ISNUMBER(SEARCH("ELC",[1]OUT_TransportEnergyCons!$C$3:$C$1000))*1,[1]OUT_TransportEnergyCons!M$3:M$1000)</f>
        <v>8.9559800790815922E-2</v>
      </c>
      <c r="P1146" s="1" cm="1">
        <f t="array" ref="P1146">SUMPRODUCT(("T-Plg-elc-gsl_S4"=[1]OUT_TransportEnergyCons!$A$3:$A$1000)*1,("Var_Fin"=[1]OUT_TransportEnergyCons!$B$3:$B$1000)*1,ISNUMBER(SEARCH("ELC",[1]OUT_TransportEnergyCons!$C$3:$C$1000))*1,[1]OUT_TransportEnergyCons!N$3:N$1000)</f>
        <v>6.1336472950202808E-2</v>
      </c>
      <c r="Q1146" s="1" cm="1">
        <f t="array" ref="Q1146">SUMPRODUCT(("T-Plg-elc-gsl_S4"=[1]OUT_TransportEnergyCons!$A$3:$A$1000)*1,("Var_Fin"=[1]OUT_TransportEnergyCons!$B$3:$B$1000)*1,ISNUMBER(SEARCH("ELC",[1]OUT_TransportEnergyCons!$C$3:$C$1000))*1,[1]OUT_TransportEnergyCons!O$3:O$1000)</f>
        <v>0.36437025703036185</v>
      </c>
      <c r="S1146" s="3"/>
    </row>
    <row r="1147" spans="2:19" x14ac:dyDescent="0.5">
      <c r="B1147" s="5" t="str">
        <f t="shared" ref="B1147:B1151" si="1360">B1146</f>
        <v>SPS1</v>
      </c>
      <c r="C1147" s="5" t="str">
        <f t="shared" ref="C1147:C1151" si="1361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2.9323124982881666E-5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5.0731809136468452E-5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1.0191304947827739E-4</v>
      </c>
      <c r="J1147" s="1" cm="1">
        <f t="array" ref="J1147">SUMPRODUCT(("T-Plg-elc-dsl_S1"=[1]OUT_TransportEnergyCons!$A$3:$A$1000)*1,("Var_Fin"=[1]OUT_TransportEnergyCons!$B$3:$B$1000)*1,ISNUMBER(SEARCH("ELC",[1]OUT_TransportEnergyCons!$C$3:$C$1000))*1,[1]OUT_TransportEnergyCons!H$3:H$1000)</f>
        <v>1.7285252707372947E-4</v>
      </c>
      <c r="K1147" s="1" cm="1">
        <f t="array" ref="K1147">SUMPRODUCT(("T-Plg-elc-dsl_S1"=[1]OUT_TransportEnergyCons!$A$3:$A$1000)*1,("Var_Fin"=[1]OUT_TransportEnergyCons!$B$3:$B$1000)*1,ISNUMBER(SEARCH("ELC",[1]OUT_TransportEnergyCons!$C$3:$C$1000))*1,[1]OUT_TransportEnergyCons!I$3:I$1000)</f>
        <v>4.0435920874515595E-4</v>
      </c>
      <c r="L1147" s="1" cm="1">
        <f t="array" ref="L1147">SUMPRODUCT(("T-Plg-elc-dsl_S1"=[1]OUT_TransportEnergyCons!$A$3:$A$1000)*1,("Var_Fin"=[1]OUT_TransportEnergyCons!$B$3:$B$1000)*1,ISNUMBER(SEARCH("ELC",[1]OUT_TransportEnergyCons!$C$3:$C$1000))*1,[1]OUT_TransportEnergyCons!J$3:J$1000)</f>
        <v>5.2766756966122986E-4</v>
      </c>
      <c r="M1147" s="1" cm="1">
        <f t="array" ref="M1147">SUMPRODUCT(("T-Plg-elc-dsl_S1"=[1]OUT_TransportEnergyCons!$A$3:$A$1000)*1,("Var_Fin"=[1]OUT_TransportEnergyCons!$B$3:$B$1000)*1,ISNUMBER(SEARCH("ELC",[1]OUT_TransportEnergyCons!$C$3:$C$1000))*1,[1]OUT_TransportEnergyCons!K$3:K$1000)</f>
        <v>1.1559028181481546E-3</v>
      </c>
      <c r="N1147" s="1" cm="1">
        <f t="array" ref="N1147">SUMPRODUCT(("T-Plg-elc-dsl_S1"=[1]OUT_TransportEnergyCons!$A$3:$A$1000)*1,("Var_Fin"=[1]OUT_TransportEnergyCons!$B$3:$B$1000)*1,ISNUMBER(SEARCH("ELC",[1]OUT_TransportEnergyCons!$C$3:$C$1000))*1,[1]OUT_TransportEnergyCons!L$3:L$1000)</f>
        <v>8.5081708782169005E-4</v>
      </c>
      <c r="O1147" s="1" cm="1">
        <f t="array" ref="O1147">SUMPRODUCT(("T-Plg-elc-dsl_S1"=[1]OUT_TransportEnergyCons!$A$3:$A$1000)*1,("Var_Fin"=[1]OUT_TransportEnergyCons!$B$3:$B$1000)*1,ISNUMBER(SEARCH("ELC",[1]OUT_TransportEnergyCons!$C$3:$C$1000))*1,[1]OUT_TransportEnergyCons!M$3:M$1000)</f>
        <v>2.5737417293475342E-4</v>
      </c>
      <c r="P1147" s="1" cm="1">
        <f t="array" ref="P1147">SUMPRODUCT(("T-Plg-elc-dsl_S1"=[1]OUT_TransportEnergyCons!$A$3:$A$1000)*1,("Var_Fin"=[1]OUT_TransportEnergyCons!$B$3:$B$1000)*1,ISNUMBER(SEARCH("ELC",[1]OUT_TransportEnergyCons!$C$3:$C$1000))*1,[1]OUT_TransportEnergyCons!N$3:N$1000)</f>
        <v>9.9911851505483487E-5</v>
      </c>
      <c r="Q1147" s="1" cm="1">
        <f t="array" ref="Q1147">SUMPRODUCT(("T-Plg-elc-dsl_S1"=[1]OUT_TransportEnergyCons!$A$3:$A$1000)*1,("Var_Fin"=[1]OUT_TransportEnergyCons!$B$3:$B$1000)*1,ISNUMBER(SEARCH("ELC",[1]OUT_TransportEnergyCons!$C$3:$C$1000))*1,[1]OUT_TransportEnergyCons!O$3:O$1000)</f>
        <v>4.7007964156860747E-5</v>
      </c>
      <c r="S1147" s="3"/>
    </row>
    <row r="1148" spans="2:19" x14ac:dyDescent="0.5">
      <c r="B1148" s="5" t="str">
        <f t="shared" si="1360"/>
        <v>SPS1</v>
      </c>
      <c r="C1148" s="5" t="str">
        <f t="shared" si="1361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3.8370067733155124E-5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2.2060239462067105E-4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4.0624059496317409E-4</v>
      </c>
      <c r="J1148" s="1" cm="1">
        <f t="array" ref="J1148">SUMPRODUCT(("T-Plg-elc-dsl_S2"=[1]OUT_TransportEnergyCons!$A$3:$A$1000)*1,("Var_Fin"=[1]OUT_TransportEnergyCons!$B$3:$B$1000)*1,ISNUMBER(SEARCH("ELC",[1]OUT_TransportEnergyCons!$C$3:$C$1000))*1,[1]OUT_TransportEnergyCons!H$3:H$1000)</f>
        <v>1.3696098200891512E-3</v>
      </c>
      <c r="K1148" s="1" cm="1">
        <f t="array" ref="K1148">SUMPRODUCT(("T-Plg-elc-dsl_S2"=[1]OUT_TransportEnergyCons!$A$3:$A$1000)*1,("Var_Fin"=[1]OUT_TransportEnergyCons!$B$3:$B$1000)*1,ISNUMBER(SEARCH("ELC",[1]OUT_TransportEnergyCons!$C$3:$C$1000))*1,[1]OUT_TransportEnergyCons!I$3:I$1000)</f>
        <v>2.5699660869651173E-3</v>
      </c>
      <c r="L1148" s="1" cm="1">
        <f t="array" ref="L1148">SUMPRODUCT(("T-Plg-elc-dsl_S2"=[1]OUT_TransportEnergyCons!$A$3:$A$1000)*1,("Var_Fin"=[1]OUT_TransportEnergyCons!$B$3:$B$1000)*1,ISNUMBER(SEARCH("ELC",[1]OUT_TransportEnergyCons!$C$3:$C$1000))*1,[1]OUT_TransportEnergyCons!J$3:J$1000)</f>
        <v>3.1200205711123278E-3</v>
      </c>
      <c r="M1148" s="1" cm="1">
        <f t="array" ref="M1148">SUMPRODUCT(("T-Plg-elc-dsl_S2"=[1]OUT_TransportEnergyCons!$A$3:$A$1000)*1,("Var_Fin"=[1]OUT_TransportEnergyCons!$B$3:$B$1000)*1,ISNUMBER(SEARCH("ELC",[1]OUT_TransportEnergyCons!$C$3:$C$1000))*1,[1]OUT_TransportEnergyCons!K$3:K$1000)</f>
        <v>4.1333316369841326E-3</v>
      </c>
      <c r="N1148" s="1" cm="1">
        <f t="array" ref="N1148">SUMPRODUCT(("T-Plg-elc-dsl_S2"=[1]OUT_TransportEnergyCons!$A$3:$A$1000)*1,("Var_Fin"=[1]OUT_TransportEnergyCons!$B$3:$B$1000)*1,ISNUMBER(SEARCH("ELC",[1]OUT_TransportEnergyCons!$C$3:$C$1000))*1,[1]OUT_TransportEnergyCons!L$3:L$1000)</f>
        <v>2.606521812307938E-3</v>
      </c>
      <c r="O1148" s="1" cm="1">
        <f t="array" ref="O1148">SUMPRODUCT(("T-Plg-elc-dsl_S2"=[1]OUT_TransportEnergyCons!$A$3:$A$1000)*1,("Var_Fin"=[1]OUT_TransportEnergyCons!$B$3:$B$1000)*1,ISNUMBER(SEARCH("ELC",[1]OUT_TransportEnergyCons!$C$3:$C$1000))*1,[1]OUT_TransportEnergyCons!M$3:M$1000)</f>
        <v>1.2810892470069197E-3</v>
      </c>
      <c r="P1148" s="1" cm="1">
        <f t="array" ref="P1148">SUMPRODUCT(("T-Plg-elc-dsl_S2"=[1]OUT_TransportEnergyCons!$A$3:$A$1000)*1,("Var_Fin"=[1]OUT_TransportEnergyCons!$B$3:$B$1000)*1,ISNUMBER(SEARCH("ELC",[1]OUT_TransportEnergyCons!$C$3:$C$1000))*1,[1]OUT_TransportEnergyCons!N$3:N$1000)</f>
        <v>3.0095857975713839E-4</v>
      </c>
      <c r="Q1148" s="1" cm="1">
        <f t="array" ref="Q1148">SUMPRODUCT(("T-Plg-elc-dsl_S2"=[1]OUT_TransportEnergyCons!$A$3:$A$1000)*1,("Var_Fin"=[1]OUT_TransportEnergyCons!$B$3:$B$1000)*1,ISNUMBER(SEARCH("ELC",[1]OUT_TransportEnergyCons!$C$3:$C$1000))*1,[1]OUT_TransportEnergyCons!O$3:O$1000)</f>
        <v>8.7358471347839014E-5</v>
      </c>
      <c r="S1148" s="3"/>
    </row>
    <row r="1149" spans="2:19" x14ac:dyDescent="0.5">
      <c r="B1149" s="5" t="str">
        <f t="shared" si="1360"/>
        <v>SPS1</v>
      </c>
      <c r="C1149" s="5" t="str">
        <f t="shared" si="1361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6.7477262120729548E-4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0.21598232741912055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1.1913798373934685</v>
      </c>
      <c r="J1149" s="1" cm="1">
        <f t="array" ref="J1149">SUMPRODUCT(("T-Plg-elc-dsl_S3"=[1]OUT_TransportEnergyCons!$A$3:$A$1000)*1,("Var_Fin"=[1]OUT_TransportEnergyCons!$B$3:$B$1000)*1,ISNUMBER(SEARCH("ELC",[1]OUT_TransportEnergyCons!$C$3:$C$1000))*1,[1]OUT_TransportEnergyCons!H$3:H$1000)</f>
        <v>2.2482142072294602</v>
      </c>
      <c r="K1149" s="1" cm="1">
        <f t="array" ref="K1149">SUMPRODUCT(("T-Plg-elc-dsl_S3"=[1]OUT_TransportEnergyCons!$A$3:$A$1000)*1,("Var_Fin"=[1]OUT_TransportEnergyCons!$B$3:$B$1000)*1,ISNUMBER(SEARCH("ELC",[1]OUT_TransportEnergyCons!$C$3:$C$1000))*1,[1]OUT_TransportEnergyCons!I$3:I$1000)</f>
        <v>1.6850467687970823</v>
      </c>
      <c r="L1149" s="1" cm="1">
        <f t="array" ref="L1149">SUMPRODUCT(("T-Plg-elc-dsl_S3"=[1]OUT_TransportEnergyCons!$A$3:$A$1000)*1,("Var_Fin"=[1]OUT_TransportEnergyCons!$B$3:$B$1000)*1,ISNUMBER(SEARCH("ELC",[1]OUT_TransportEnergyCons!$C$3:$C$1000))*1,[1]OUT_TransportEnergyCons!J$3:J$1000)</f>
        <v>1.5724382610216006</v>
      </c>
      <c r="M1149" s="1" cm="1">
        <f t="array" ref="M1149">SUMPRODUCT(("T-Plg-elc-dsl_S3"=[1]OUT_TransportEnergyCons!$A$3:$A$1000)*1,("Var_Fin"=[1]OUT_TransportEnergyCons!$B$3:$B$1000)*1,ISNUMBER(SEARCH("ELC",[1]OUT_TransportEnergyCons!$C$3:$C$1000))*1,[1]OUT_TransportEnergyCons!K$3:K$1000)</f>
        <v>1.7313267091685336</v>
      </c>
      <c r="N1149" s="1" cm="1">
        <f t="array" ref="N1149">SUMPRODUCT(("T-Plg-elc-dsl_S3"=[1]OUT_TransportEnergyCons!$A$3:$A$1000)*1,("Var_Fin"=[1]OUT_TransportEnergyCons!$B$3:$B$1000)*1,ISNUMBER(SEARCH("ELC",[1]OUT_TransportEnergyCons!$C$3:$C$1000))*1,[1]OUT_TransportEnergyCons!L$3:L$1000)</f>
        <v>0.9551614504050524</v>
      </c>
      <c r="O1149" s="1" cm="1">
        <f t="array" ref="O1149">SUMPRODUCT(("T-Plg-elc-dsl_S3"=[1]OUT_TransportEnergyCons!$A$3:$A$1000)*1,("Var_Fin"=[1]OUT_TransportEnergyCons!$B$3:$B$1000)*1,ISNUMBER(SEARCH("ELC",[1]OUT_TransportEnergyCons!$C$3:$C$1000))*1,[1]OUT_TransportEnergyCons!M$3:M$1000)</f>
        <v>0.47537847890459728</v>
      </c>
      <c r="P1149" s="1" cm="1">
        <f t="array" ref="P1149">SUMPRODUCT(("T-Plg-elc-dsl_S3"=[1]OUT_TransportEnergyCons!$A$3:$A$1000)*1,("Var_Fin"=[1]OUT_TransportEnergyCons!$B$3:$B$1000)*1,ISNUMBER(SEARCH("ELC",[1]OUT_TransportEnergyCons!$C$3:$C$1000))*1,[1]OUT_TransportEnergyCons!N$3:N$1000)</f>
        <v>6.529996361962892E-2</v>
      </c>
      <c r="Q1149" s="1" cm="1">
        <f t="array" ref="Q1149">SUMPRODUCT(("T-Plg-elc-dsl_S3"=[1]OUT_TransportEnergyCons!$A$3:$A$1000)*1,("Var_Fin"=[1]OUT_TransportEnergyCons!$B$3:$B$1000)*1,ISNUMBER(SEARCH("ELC",[1]OUT_TransportEnergyCons!$C$3:$C$1000))*1,[1]OUT_TransportEnergyCons!O$3:O$1000)</f>
        <v>1.1095755763845059E-4</v>
      </c>
      <c r="S1149" s="3"/>
    </row>
    <row r="1150" spans="2:19" x14ac:dyDescent="0.5">
      <c r="B1150" s="5" t="str">
        <f t="shared" si="1360"/>
        <v>SPS1</v>
      </c>
      <c r="C1150" s="5" t="str">
        <f t="shared" si="1361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1.2008218665069132E-4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5.4012318165239483E-4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8.6854151125939074E-4</v>
      </c>
      <c r="J1150" s="1" cm="1">
        <f t="array" ref="J1150">SUMPRODUCT(("T-Plg-elc-dsl_S4"=[1]OUT_TransportEnergyCons!$A$3:$A$1000)*1,("Var_Fin"=[1]OUT_TransportEnergyCons!$B$3:$B$1000)*1,ISNUMBER(SEARCH("ELC",[1]OUT_TransportEnergyCons!$C$3:$C$1000))*1,[1]OUT_TransportEnergyCons!H$3:H$1000)</f>
        <v>0.43733491543877284</v>
      </c>
      <c r="K1150" s="1" cm="1">
        <f t="array" ref="K1150">SUMPRODUCT(("T-Plg-elc-dsl_S4"=[1]OUT_TransportEnergyCons!$A$3:$A$1000)*1,("Var_Fin"=[1]OUT_TransportEnergyCons!$B$3:$B$1000)*1,ISNUMBER(SEARCH("ELC",[1]OUT_TransportEnergyCons!$C$3:$C$1000))*1,[1]OUT_TransportEnergyCons!I$3:I$1000)</f>
        <v>1.1643571695205868</v>
      </c>
      <c r="L1150" s="1" cm="1">
        <f t="array" ref="L1150">SUMPRODUCT(("T-Plg-elc-dsl_S4"=[1]OUT_TransportEnergyCons!$A$3:$A$1000)*1,("Var_Fin"=[1]OUT_TransportEnergyCons!$B$3:$B$1000)*1,ISNUMBER(SEARCH("ELC",[1]OUT_TransportEnergyCons!$C$3:$C$1000))*1,[1]OUT_TransportEnergyCons!J$3:J$1000)</f>
        <v>1.659811601227543</v>
      </c>
      <c r="M1150" s="1" cm="1">
        <f t="array" ref="M1150">SUMPRODUCT(("T-Plg-elc-dsl_S4"=[1]OUT_TransportEnergyCons!$A$3:$A$1000)*1,("Var_Fin"=[1]OUT_TransportEnergyCons!$B$3:$B$1000)*1,ISNUMBER(SEARCH("ELC",[1]OUT_TransportEnergyCons!$C$3:$C$1000))*1,[1]OUT_TransportEnergyCons!K$3:K$1000)</f>
        <v>1.5624245296393648</v>
      </c>
      <c r="N1150" s="1" cm="1">
        <f t="array" ref="N1150">SUMPRODUCT(("T-Plg-elc-dsl_S4"=[1]OUT_TransportEnergyCons!$A$3:$A$1000)*1,("Var_Fin"=[1]OUT_TransportEnergyCons!$B$3:$B$1000)*1,ISNUMBER(SEARCH("ELC",[1]OUT_TransportEnergyCons!$C$3:$C$1000))*1,[1]OUT_TransportEnergyCons!L$3:L$1000)</f>
        <v>1.4633508131584585</v>
      </c>
      <c r="O1150" s="1" cm="1">
        <f t="array" ref="O1150">SUMPRODUCT(("T-Plg-elc-dsl_S4"=[1]OUT_TransportEnergyCons!$A$3:$A$1000)*1,("Var_Fin"=[1]OUT_TransportEnergyCons!$B$3:$B$1000)*1,ISNUMBER(SEARCH("ELC",[1]OUT_TransportEnergyCons!$C$3:$C$1000))*1,[1]OUT_TransportEnergyCons!M$3:M$1000)</f>
        <v>1.7907143355221227</v>
      </c>
      <c r="P1150" s="1" cm="1">
        <f t="array" ref="P1150">SUMPRODUCT(("T-Plg-elc-dsl_S4"=[1]OUT_TransportEnergyCons!$A$3:$A$1000)*1,("Var_Fin"=[1]OUT_TransportEnergyCons!$B$3:$B$1000)*1,ISNUMBER(SEARCH("ELC",[1]OUT_TransportEnergyCons!$C$3:$C$1000))*1,[1]OUT_TransportEnergyCons!N$3:N$1000)</f>
        <v>2.2928167849690602</v>
      </c>
      <c r="Q1150" s="1" cm="1">
        <f t="array" ref="Q1150">SUMPRODUCT(("T-Plg-elc-dsl_S4"=[1]OUT_TransportEnergyCons!$A$3:$A$1000)*1,("Var_Fin"=[1]OUT_TransportEnergyCons!$B$3:$B$1000)*1,ISNUMBER(SEARCH("ELC",[1]OUT_TransportEnergyCons!$C$3:$C$1000))*1,[1]OUT_TransportEnergyCons!O$3:O$1000)</f>
        <v>2.237661314637251</v>
      </c>
      <c r="S1150" s="3"/>
    </row>
    <row r="1151" spans="2:19" x14ac:dyDescent="0.5">
      <c r="B1151" s="5" t="str">
        <f t="shared" si="1360"/>
        <v>SPS1</v>
      </c>
      <c r="C1151" s="5" t="str">
        <f t="shared" si="1361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0.97170837750698102</v>
      </c>
      <c r="J1151" s="1">
        <f>[1]Transport!F$32</f>
        <v>0.91035687201829407</v>
      </c>
      <c r="K1151" s="1">
        <f>[1]Transport!G$32</f>
        <v>0.78289371206080172</v>
      </c>
      <c r="L1151" s="1">
        <f>[1]Transport!H$32</f>
        <v>0.57196132857420134</v>
      </c>
      <c r="M1151" s="1">
        <f>[1]Transport!I$32</f>
        <v>1.5623433634030457</v>
      </c>
      <c r="N1151" s="1">
        <f>[1]Transport!J$32</f>
        <v>2.2197904359466292</v>
      </c>
      <c r="O1151" s="1">
        <f>[1]Transport!K$32</f>
        <v>2.5733289027699713</v>
      </c>
      <c r="P1151" s="1">
        <f>[1]Transport!L$32</f>
        <v>2.5546486121483598</v>
      </c>
      <c r="Q1151" s="1">
        <f>[1]Transport!M$32</f>
        <v>2.4155038687150814</v>
      </c>
      <c r="S1151" s="3"/>
    </row>
    <row r="1152" spans="2:19" x14ac:dyDescent="0.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8.5713301648909421E-4</v>
      </c>
      <c r="G1152" s="1">
        <f t="shared" ref="G1152:K1152" si="1362">SUM(G1153:G1156)</f>
        <v>2.0245066305579359E-3</v>
      </c>
      <c r="H1152" s="1">
        <f t="shared" si="1362"/>
        <v>1.9422159535738325E-3</v>
      </c>
      <c r="I1152" s="1">
        <f t="shared" si="1362"/>
        <v>1.3127671155438916E-4</v>
      </c>
      <c r="J1152" s="1">
        <f t="shared" si="1362"/>
        <v>1.0738490144258846E-4</v>
      </c>
      <c r="K1152" s="1">
        <f t="shared" si="1362"/>
        <v>8.0598346453990987E-5</v>
      </c>
      <c r="L1152" s="1">
        <f t="shared" ref="L1152:O1152" si="1363">SUM(L1153:L1156)</f>
        <v>8.3244263499374275E-5</v>
      </c>
      <c r="M1152" s="1">
        <f t="shared" si="1363"/>
        <v>8.5364232055623731E-5</v>
      </c>
      <c r="N1152" s="1">
        <f t="shared" si="1363"/>
        <v>7.0197486316663052E-5</v>
      </c>
      <c r="O1152" s="1">
        <f t="shared" si="1363"/>
        <v>6.9803108362088246E-5</v>
      </c>
      <c r="P1152" s="1">
        <f>SUM(P1153:P1156)</f>
        <v>6.3189311223221057E-5</v>
      </c>
      <c r="Q1152" s="1">
        <f>SUM(Q1153:Q1156)</f>
        <v>2.180568049708125E-4</v>
      </c>
      <c r="S1152" s="3"/>
    </row>
    <row r="1153" spans="2:19" x14ac:dyDescent="0.5">
      <c r="B1153" s="5" t="str">
        <f t="shared" si="1358"/>
        <v>SPS1</v>
      </c>
      <c r="C1153" s="5" t="str">
        <f t="shared" si="1359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1.9080393047642729E-5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2.811851103510267E-5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9.5702110555203826E-6</v>
      </c>
      <c r="J1153" s="1" cm="1">
        <f t="array" ref="J1153">SUMPRODUCT(("T_C-FC-H2O-S1"=[1]OUT_TransportEnergyCons!$A$3:$A$1000)*1,("Var_Fin"=[1]OUT_TransportEnergyCons!$B$3:$B$1000)*1,ISNUMBER(SEARCH("H2",[1]OUT_TransportEnergyCons!$C$3:$C$1000))*1,[1]OUT_TransportEnergyCons!H$3:H$1000)</f>
        <v>1.3949267313746183E-5</v>
      </c>
      <c r="K1153" s="1" cm="1">
        <f t="array" ref="K1153">SUMPRODUCT(("T_C-FC-H2O-S1"=[1]OUT_TransportEnergyCons!$A$3:$A$1000)*1,("Var_Fin"=[1]OUT_TransportEnergyCons!$B$3:$B$1000)*1,ISNUMBER(SEARCH("H2",[1]OUT_TransportEnergyCons!$C$3:$C$1000))*1,[1]OUT_TransportEnergyCons!I$3:I$1000)</f>
        <v>1.4624321667122593E-5</v>
      </c>
      <c r="L1153" s="1" cm="1">
        <f t="array" ref="L1153">SUMPRODUCT(("T_C-FC-H2O-S1"=[1]OUT_TransportEnergyCons!$A$3:$A$1000)*1,("Var_Fin"=[1]OUT_TransportEnergyCons!$B$3:$B$1000)*1,ISNUMBER(SEARCH("H2",[1]OUT_TransportEnergyCons!$C$3:$C$1000))*1,[1]OUT_TransportEnergyCons!J$3:J$1000)</f>
        <v>1.2316236887916852E-5</v>
      </c>
      <c r="M1153" s="1" cm="1">
        <f t="array" ref="M1153">SUMPRODUCT(("T_C-FC-H2O-S1"=[1]OUT_TransportEnergyCons!$A$3:$A$1000)*1,("Var_Fin"=[1]OUT_TransportEnergyCons!$B$3:$B$1000)*1,ISNUMBER(SEARCH("H2",[1]OUT_TransportEnergyCons!$C$3:$C$1000))*1,[1]OUT_TransportEnergyCons!K$3:K$1000)</f>
        <v>1.17978840372612E-5</v>
      </c>
      <c r="N1153" s="1" cm="1">
        <f t="array" ref="N1153">SUMPRODUCT(("T_C-FC-H2O-S1"=[1]OUT_TransportEnergyCons!$A$3:$A$1000)*1,("Var_Fin"=[1]OUT_TransportEnergyCons!$B$3:$B$1000)*1,ISNUMBER(SEARCH("H2",[1]OUT_TransportEnergyCons!$C$3:$C$1000))*1,[1]OUT_TransportEnergyCons!L$3:L$1000)</f>
        <v>9.6168984464637368E-6</v>
      </c>
      <c r="O1153" s="1" cm="1">
        <f t="array" ref="O1153">SUMPRODUCT(("T_C-FC-H2O-S1"=[1]OUT_TransportEnergyCons!$A$3:$A$1000)*1,("Var_Fin"=[1]OUT_TransportEnergyCons!$B$3:$B$1000)*1,ISNUMBER(SEARCH("H2",[1]OUT_TransportEnergyCons!$C$3:$C$1000))*1,[1]OUT_TransportEnergyCons!M$3:M$1000)</f>
        <v>8.2780102929830824E-6</v>
      </c>
      <c r="P1153" s="1" cm="1">
        <f t="array" ref="P1153">SUMPRODUCT(("T_C-FC-H2O-S1"=[1]OUT_TransportEnergyCons!$A$3:$A$1000)*1,("Var_Fin"=[1]OUT_TransportEnergyCons!$B$3:$B$1000)*1,ISNUMBER(SEARCH("H2",[1]OUT_TransportEnergyCons!$C$3:$C$1000))*1,[1]OUT_TransportEnergyCons!N$3:N$1000)</f>
        <v>4.9744191498499536E-6</v>
      </c>
      <c r="Q1153" s="1" cm="1">
        <f t="array" ref="Q1153">SUMPRODUCT(("T_C-FC-H2O-S1"=[1]OUT_TransportEnergyCons!$A$3:$A$1000)*1,("Var_Fin"=[1]OUT_TransportEnergyCons!$B$3:$B$1000)*1,ISNUMBER(SEARCH("H2",[1]OUT_TransportEnergyCons!$C$3:$C$1000))*1,[1]OUT_TransportEnergyCons!O$3:O$1000)</f>
        <v>2.8234792834338171E-5</v>
      </c>
      <c r="S1153" s="3"/>
    </row>
    <row r="1154" spans="2:19" x14ac:dyDescent="0.5">
      <c r="B1154" s="5" t="str">
        <f t="shared" si="1358"/>
        <v>SPS1</v>
      </c>
      <c r="C1154" s="5" t="str">
        <f t="shared" si="1359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8.7939805045971468E-5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1.1134274756175536E-4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1.2128114421676163E-4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3.3071098707540536E-5</v>
      </c>
      <c r="J1154" s="1" cm="1">
        <f t="array" ref="J1154">SUMPRODUCT(("T_C-FC-H2O-S2"=[1]OUT_TransportEnergyCons!$A$3:$A$1000)*1,("Var_Fin"=[1]OUT_TransportEnergyCons!$B$3:$B$1000)*1,ISNUMBER(SEARCH("H2",[1]OUT_TransportEnergyCons!$C$3:$C$1000))*1,[1]OUT_TransportEnergyCons!H$3:H$1000)</f>
        <v>2.7025279449327688E-5</v>
      </c>
      <c r="K1154" s="1" cm="1">
        <f t="array" ref="K1154">SUMPRODUCT(("T_C-FC-H2O-S2"=[1]OUT_TransportEnergyCons!$A$3:$A$1000)*1,("Var_Fin"=[1]OUT_TransportEnergyCons!$B$3:$B$1000)*1,ISNUMBER(SEARCH("H2",[1]OUT_TransportEnergyCons!$C$3:$C$1000))*1,[1]OUT_TransportEnergyCons!I$3:I$1000)</f>
        <v>2.0890932979383374E-5</v>
      </c>
      <c r="L1154" s="1" cm="1">
        <f t="array" ref="L1154">SUMPRODUCT(("T_C-FC-H2O-S2"=[1]OUT_TransportEnergyCons!$A$3:$A$1000)*1,("Var_Fin"=[1]OUT_TransportEnergyCons!$B$3:$B$1000)*1,ISNUMBER(SEARCH("H2",[1]OUT_TransportEnergyCons!$C$3:$C$1000))*1,[1]OUT_TransportEnergyCons!J$3:J$1000)</f>
        <v>2.2225775209848694E-5</v>
      </c>
      <c r="M1154" s="1" cm="1">
        <f t="array" ref="M1154">SUMPRODUCT(("T_C-FC-H2O-S2"=[1]OUT_TransportEnergyCons!$A$3:$A$1000)*1,("Var_Fin"=[1]OUT_TransportEnergyCons!$B$3:$B$1000)*1,ISNUMBER(SEARCH("H2",[1]OUT_TransportEnergyCons!$C$3:$C$1000))*1,[1]OUT_TransportEnergyCons!K$3:K$1000)</f>
        <v>2.2913386390193088E-5</v>
      </c>
      <c r="N1154" s="1" cm="1">
        <f t="array" ref="N1154">SUMPRODUCT(("T_C-FC-H2O-S2"=[1]OUT_TransportEnergyCons!$A$3:$A$1000)*1,("Var_Fin"=[1]OUT_TransportEnergyCons!$B$3:$B$1000)*1,ISNUMBER(SEARCH("H2",[1]OUT_TransportEnergyCons!$C$3:$C$1000))*1,[1]OUT_TransportEnergyCons!L$3:L$1000)</f>
        <v>1.8021064318088723E-5</v>
      </c>
      <c r="O1154" s="1" cm="1">
        <f t="array" ref="O1154">SUMPRODUCT(("T_C-FC-H2O-S2"=[1]OUT_TransportEnergyCons!$A$3:$A$1000)*1,("Var_Fin"=[1]OUT_TransportEnergyCons!$B$3:$B$1000)*1,ISNUMBER(SEARCH("H2",[1]OUT_TransportEnergyCons!$C$3:$C$1000))*1,[1]OUT_TransportEnergyCons!M$3:M$1000)</f>
        <v>1.869738122072573E-5</v>
      </c>
      <c r="P1154" s="1" cm="1">
        <f t="array" ref="P1154">SUMPRODUCT(("T_C-FC-H2O-S2"=[1]OUT_TransportEnergyCons!$A$3:$A$1000)*1,("Var_Fin"=[1]OUT_TransportEnergyCons!$B$3:$B$1000)*1,ISNUMBER(SEARCH("H2",[1]OUT_TransportEnergyCons!$C$3:$C$1000))*1,[1]OUT_TransportEnergyCons!N$3:N$1000)</f>
        <v>1.6557506277433887E-5</v>
      </c>
      <c r="Q1154" s="1" cm="1">
        <f t="array" ref="Q1154">SUMPRODUCT(("T_C-FC-H2O-S2"=[1]OUT_TransportEnergyCons!$A$3:$A$1000)*1,("Var_Fin"=[1]OUT_TransportEnergyCons!$B$3:$B$1000)*1,ISNUMBER(SEARCH("H2",[1]OUT_TransportEnergyCons!$C$3:$C$1000))*1,[1]OUT_TransportEnergyCons!O$3:O$1000)</f>
        <v>5.6563481649482363E-5</v>
      </c>
      <c r="S1154" s="3"/>
    </row>
    <row r="1155" spans="2:19" x14ac:dyDescent="0.5">
      <c r="B1155" s="5" t="str">
        <f t="shared" si="1358"/>
        <v>SPS1</v>
      </c>
      <c r="C1155" s="5" t="str">
        <f t="shared" si="1359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7.6919321144312271E-4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1.8743014017228862E-3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1.7604621742501479E-3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6.2682101592131253E-5</v>
      </c>
      <c r="J1155" s="1" cm="1">
        <f t="array" ref="J1155">SUMPRODUCT(("T_C-FC-H2O-S3"=[1]OUT_TransportEnergyCons!$A$3:$A$1000)*1,("Var_Fin"=[1]OUT_TransportEnergyCons!$B$3:$B$1000)*1,ISNUMBER(SEARCH("H2",[1]OUT_TransportEnergyCons!$C$3:$C$1000))*1,[1]OUT_TransportEnergyCons!H$3:H$1000)</f>
        <v>3.8261639420915249E-5</v>
      </c>
      <c r="K1155" s="1" cm="1">
        <f t="array" ref="K1155">SUMPRODUCT(("T_C-FC-H2O-S3"=[1]OUT_TransportEnergyCons!$A$3:$A$1000)*1,("Var_Fin"=[1]OUT_TransportEnergyCons!$B$3:$B$1000)*1,ISNUMBER(SEARCH("H2",[1]OUT_TransportEnergyCons!$C$3:$C$1000))*1,[1]OUT_TransportEnergyCons!I$3:I$1000)</f>
        <v>2.258268271046611E-5</v>
      </c>
      <c r="L1155" s="1" cm="1">
        <f t="array" ref="L1155">SUMPRODUCT(("T_C-FC-H2O-S3"=[1]OUT_TransportEnergyCons!$A$3:$A$1000)*1,("Var_Fin"=[1]OUT_TransportEnergyCons!$B$3:$B$1000)*1,ISNUMBER(SEARCH("H2",[1]OUT_TransportEnergyCons!$C$3:$C$1000))*1,[1]OUT_TransportEnergyCons!J$3:J$1000)</f>
        <v>2.3990648304732281E-5</v>
      </c>
      <c r="M1155" s="1" cm="1">
        <f t="array" ref="M1155">SUMPRODUCT(("T_C-FC-H2O-S3"=[1]OUT_TransportEnergyCons!$A$3:$A$1000)*1,("Var_Fin"=[1]OUT_TransportEnergyCons!$B$3:$B$1000)*1,ISNUMBER(SEARCH("H2",[1]OUT_TransportEnergyCons!$C$3:$C$1000))*1,[1]OUT_TransportEnergyCons!K$3:K$1000)</f>
        <v>2.5265147911122088E-5</v>
      </c>
      <c r="N1155" s="1" cm="1">
        <f t="array" ref="N1155">SUMPRODUCT(("T_C-FC-H2O-S3"=[1]OUT_TransportEnergyCons!$A$3:$A$1000)*1,("Var_Fin"=[1]OUT_TransportEnergyCons!$B$3:$B$1000)*1,ISNUMBER(SEARCH("H2",[1]OUT_TransportEnergyCons!$C$3:$C$1000))*1,[1]OUT_TransportEnergyCons!L$3:L$1000)</f>
        <v>2.2525365183813479E-5</v>
      </c>
      <c r="O1155" s="1" cm="1">
        <f t="array" ref="O1155">SUMPRODUCT(("T_C-FC-H2O-S3"=[1]OUT_TransportEnergyCons!$A$3:$A$1000)*1,("Var_Fin"=[1]OUT_TransportEnergyCons!$B$3:$B$1000)*1,ISNUMBER(SEARCH("H2",[1]OUT_TransportEnergyCons!$C$3:$C$1000))*1,[1]OUT_TransportEnergyCons!M$3:M$1000)</f>
        <v>2.285901496029407E-5</v>
      </c>
      <c r="P1155" s="1" cm="1">
        <f t="array" ref="P1155">SUMPRODUCT(("T_C-FC-H2O-S3"=[1]OUT_TransportEnergyCons!$A$3:$A$1000)*1,("Var_Fin"=[1]OUT_TransportEnergyCons!$B$3:$B$1000)*1,ISNUMBER(SEARCH("H2",[1]OUT_TransportEnergyCons!$C$3:$C$1000))*1,[1]OUT_TransportEnergyCons!N$3:N$1000)</f>
        <v>2.5184175669194779E-5</v>
      </c>
      <c r="Q1155" s="1" cm="1">
        <f t="array" ref="Q1155">SUMPRODUCT(("T_C-FC-H2O-S3"=[1]OUT_TransportEnergyCons!$A$3:$A$1000)*1,("Var_Fin"=[1]OUT_TransportEnergyCons!$B$3:$B$1000)*1,ISNUMBER(SEARCH("H2",[1]OUT_TransportEnergyCons!$C$3:$C$1000))*1,[1]OUT_TransportEnergyCons!O$3:O$1000)</f>
        <v>7.0152162777740656E-5</v>
      </c>
      <c r="S1155" s="3"/>
    </row>
    <row r="1156" spans="2:19" x14ac:dyDescent="0.5">
      <c r="B1156" s="5" t="str">
        <f t="shared" si="1358"/>
        <v>SPS1</v>
      </c>
      <c r="C1156" s="5" t="str">
        <f t="shared" si="1359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1.9782088225651449E-5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3.2354124071820257E-5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2.5953300199196993E-5</v>
      </c>
      <c r="J1156" s="1" cm="1">
        <f t="array" ref="J1156">SUMPRODUCT(("T_C-FC-H2O-S4"=[1]OUT_TransportEnergyCons!$A$3:$A$1000)*1,("Var_Fin"=[1]OUT_TransportEnergyCons!$B$3:$B$1000)*1,ISNUMBER(SEARCH("H2",[1]OUT_TransportEnergyCons!$C$3:$C$1000))*1,[1]OUT_TransportEnergyCons!H$3:H$1000)</f>
        <v>2.814871525859934E-5</v>
      </c>
      <c r="K1156" s="1" cm="1">
        <f t="array" ref="K1156">SUMPRODUCT(("T_C-FC-H2O-S4"=[1]OUT_TransportEnergyCons!$A$3:$A$1000)*1,("Var_Fin"=[1]OUT_TransportEnergyCons!$B$3:$B$1000)*1,ISNUMBER(SEARCH("H2",[1]OUT_TransportEnergyCons!$C$3:$C$1000))*1,[1]OUT_TransportEnergyCons!I$3:I$1000)</f>
        <v>2.250040909701891E-5</v>
      </c>
      <c r="L1156" s="1" cm="1">
        <f t="array" ref="L1156">SUMPRODUCT(("T_C-FC-H2O-S4"=[1]OUT_TransportEnergyCons!$A$3:$A$1000)*1,("Var_Fin"=[1]OUT_TransportEnergyCons!$B$3:$B$1000)*1,ISNUMBER(SEARCH("H2",[1]OUT_TransportEnergyCons!$C$3:$C$1000))*1,[1]OUT_TransportEnergyCons!J$3:J$1000)</f>
        <v>2.4711603096876446E-5</v>
      </c>
      <c r="M1156" s="1" cm="1">
        <f t="array" ref="M1156">SUMPRODUCT(("T_C-FC-H2O-S4"=[1]OUT_TransportEnergyCons!$A$3:$A$1000)*1,("Var_Fin"=[1]OUT_TransportEnergyCons!$B$3:$B$1000)*1,ISNUMBER(SEARCH("H2",[1]OUT_TransportEnergyCons!$C$3:$C$1000))*1,[1]OUT_TransportEnergyCons!K$3:K$1000)</f>
        <v>2.5387813717047356E-5</v>
      </c>
      <c r="N1156" s="1" cm="1">
        <f t="array" ref="N1156">SUMPRODUCT(("T_C-FC-H2O-S4"=[1]OUT_TransportEnergyCons!$A$3:$A$1000)*1,("Var_Fin"=[1]OUT_TransportEnergyCons!$B$3:$B$1000)*1,ISNUMBER(SEARCH("H2",[1]OUT_TransportEnergyCons!$C$3:$C$1000))*1,[1]OUT_TransportEnergyCons!L$3:L$1000)</f>
        <v>2.0034158368297116E-5</v>
      </c>
      <c r="O1156" s="1" cm="1">
        <f t="array" ref="O1156">SUMPRODUCT(("T_C-FC-H2O-S4"=[1]OUT_TransportEnergyCons!$A$3:$A$1000)*1,("Var_Fin"=[1]OUT_TransportEnergyCons!$B$3:$B$1000)*1,ISNUMBER(SEARCH("H2",[1]OUT_TransportEnergyCons!$C$3:$C$1000))*1,[1]OUT_TransportEnergyCons!M$3:M$1000)</f>
        <v>1.9968701888085368E-5</v>
      </c>
      <c r="P1156" s="1" cm="1">
        <f t="array" ref="P1156">SUMPRODUCT(("T_C-FC-H2O-S4"=[1]OUT_TransportEnergyCons!$A$3:$A$1000)*1,("Var_Fin"=[1]OUT_TransportEnergyCons!$B$3:$B$1000)*1,ISNUMBER(SEARCH("H2",[1]OUT_TransportEnergyCons!$C$3:$C$1000))*1,[1]OUT_TransportEnergyCons!N$3:N$1000)</f>
        <v>1.6473210126742432E-5</v>
      </c>
      <c r="Q1156" s="1" cm="1">
        <f t="array" ref="Q1156">SUMPRODUCT(("T_C-FC-H2O-S4"=[1]OUT_TransportEnergyCons!$A$3:$A$1000)*1,("Var_Fin"=[1]OUT_TransportEnergyCons!$B$3:$B$1000)*1,ISNUMBER(SEARCH("H2",[1]OUT_TransportEnergyCons!$C$3:$C$1000))*1,[1]OUT_TransportEnergyCons!O$3:O$1000)</f>
        <v>6.3106367709251301E-5</v>
      </c>
      <c r="S1156" s="3"/>
    </row>
    <row r="1157" spans="2:19" x14ac:dyDescent="0.5">
      <c r="B1157" s="5" t="str">
        <f t="shared" si="1358"/>
        <v>SPS1</v>
      </c>
      <c r="C1157" s="5" t="str">
        <f t="shared" si="1359"/>
        <v>CH</v>
      </c>
      <c r="D1157" t="s">
        <v>1257</v>
      </c>
      <c r="E1157" t="s">
        <v>8</v>
      </c>
      <c r="F1157" s="1">
        <f>SUM(F1162:F1179)</f>
        <v>77.913091834444529</v>
      </c>
      <c r="G1157" s="1">
        <f t="shared" ref="G1157:K1157" si="1364">SUM(G1162:G1179)</f>
        <v>74.750600364681191</v>
      </c>
      <c r="H1157" s="1">
        <f t="shared" si="1364"/>
        <v>78.373449282353732</v>
      </c>
      <c r="I1157" s="1">
        <f t="shared" si="1364"/>
        <v>56.272629826065589</v>
      </c>
      <c r="J1157" s="1">
        <f t="shared" si="1364"/>
        <v>41.1544084674629</v>
      </c>
      <c r="K1157" s="1">
        <f t="shared" si="1364"/>
        <v>36.278794934651366</v>
      </c>
      <c r="L1157" s="1">
        <f t="shared" ref="L1157:O1157" si="1365">SUM(L1162:L1179)</f>
        <v>31.549021635806806</v>
      </c>
      <c r="M1157" s="1">
        <f t="shared" si="1365"/>
        <v>27.662434289965042</v>
      </c>
      <c r="N1157" s="1">
        <f t="shared" si="1365"/>
        <v>25.102614437573965</v>
      </c>
      <c r="O1157" s="1">
        <f t="shared" si="1365"/>
        <v>22.630317171934383</v>
      </c>
      <c r="P1157" s="1">
        <f>SUM(P1162:P1179)</f>
        <v>20.754081691012445</v>
      </c>
      <c r="Q1157" s="1">
        <f>SUM(Q1162:Q1179)</f>
        <v>19.776244152242914</v>
      </c>
      <c r="S1157" s="3"/>
    </row>
    <row r="1158" spans="2:19" x14ac:dyDescent="0.5">
      <c r="B1158" s="5" t="str">
        <f>B1157</f>
        <v>SPS1</v>
      </c>
      <c r="C1158" s="5" t="str">
        <f t="shared" si="1359"/>
        <v>CH</v>
      </c>
      <c r="D1158" t="s">
        <v>1258</v>
      </c>
      <c r="E1158" t="str">
        <f>E1157</f>
        <v>PJ/yr.</v>
      </c>
      <c r="F1158" s="1">
        <f t="shared" ref="F1158:J1158" si="1366">IF(F1157-F1159&lt;0,0,F1157-F1159)</f>
        <v>73.64803565410601</v>
      </c>
      <c r="G1158" s="1">
        <f t="shared" si="1366"/>
        <v>70.658707910020084</v>
      </c>
      <c r="H1158" s="1">
        <f t="shared" si="1366"/>
        <v>74.083175369829235</v>
      </c>
      <c r="I1158" s="1">
        <f t="shared" si="1366"/>
        <v>52.573533651418543</v>
      </c>
      <c r="J1158" s="1">
        <f t="shared" si="1366"/>
        <v>38.659321295690042</v>
      </c>
      <c r="K1158" s="1">
        <f>IF(K1157-K1159&lt;0,0,K1157-K1159)</f>
        <v>34.292457267569802</v>
      </c>
      <c r="L1158" s="1">
        <f t="shared" ref="L1158:O1158" si="1367">IF(L1157-L1159&lt;0,0,L1157-L1159)</f>
        <v>29.821617831624504</v>
      </c>
      <c r="M1158" s="1">
        <f t="shared" si="1367"/>
        <v>26.147289189020853</v>
      </c>
      <c r="N1158" s="1">
        <f t="shared" si="1367"/>
        <v>23.728070642986456</v>
      </c>
      <c r="O1158" s="1">
        <f t="shared" si="1367"/>
        <v>21.390647989665322</v>
      </c>
      <c r="P1158" s="1">
        <f>IF(P1157-P1159&lt;0,0,P1157-P1159)</f>
        <v>19.617349744244205</v>
      </c>
      <c r="Q1158" s="1">
        <f>IF(Q1157-Q1159&lt;0,0,Q1157-Q1159)</f>
        <v>18.692104102263816</v>
      </c>
      <c r="S1158" s="3"/>
    </row>
    <row r="1159" spans="2:19" x14ac:dyDescent="0.5">
      <c r="B1159" s="5" t="str">
        <f t="shared" ref="B1159:B1161" si="1368">B1158</f>
        <v>SPS1</v>
      </c>
      <c r="C1159" s="5" t="str">
        <f t="shared" si="1359"/>
        <v>CH</v>
      </c>
      <c r="D1159" t="s">
        <v>1259</v>
      </c>
      <c r="E1159" t="str">
        <f>E1158</f>
        <v>PJ/yr.</v>
      </c>
      <c r="F1159" s="1">
        <f>SUM(F1160:F1161)</f>
        <v>4.2650561803385232</v>
      </c>
      <c r="G1159" s="1">
        <f t="shared" ref="G1159" si="1369">SUM(G1160:G1161)</f>
        <v>4.0918924546611111</v>
      </c>
      <c r="H1159" s="1">
        <f t="shared" ref="H1159" si="1370">SUM(H1160:H1161)</f>
        <v>4.2902739125244951</v>
      </c>
      <c r="I1159" s="1">
        <f t="shared" ref="I1159" si="1371">SUM(I1160:I1161)</f>
        <v>3.6990961746470448</v>
      </c>
      <c r="J1159" s="1">
        <f t="shared" ref="J1159" si="1372">SUM(J1160:J1161)</f>
        <v>2.4950871717728611</v>
      </c>
      <c r="K1159" s="1">
        <f t="shared" ref="K1159" si="1373">SUM(K1160:K1161)</f>
        <v>1.9863376670815629</v>
      </c>
      <c r="L1159" s="1">
        <f t="shared" ref="L1159:O1159" si="1374">SUM(L1160:L1161)</f>
        <v>1.7274038041823034</v>
      </c>
      <c r="M1159" s="1">
        <f t="shared" si="1374"/>
        <v>1.5151451009441903</v>
      </c>
      <c r="N1159" s="1">
        <f t="shared" si="1374"/>
        <v>1.374543794587511</v>
      </c>
      <c r="O1159" s="1">
        <f t="shared" si="1374"/>
        <v>1.2396691822690624</v>
      </c>
      <c r="P1159" s="1">
        <f>SUM(P1160:P1161)</f>
        <v>1.1367319467682384</v>
      </c>
      <c r="Q1159" s="1">
        <f>SUM(Q1160:Q1161)</f>
        <v>1.0841400499790983</v>
      </c>
      <c r="S1159" s="3"/>
    </row>
    <row r="1160" spans="2:19" x14ac:dyDescent="0.5">
      <c r="B1160" s="5" t="str">
        <f t="shared" si="1368"/>
        <v>SPS1</v>
      </c>
      <c r="C1160" s="5" t="str">
        <f t="shared" si="1359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4.2650561803385232</v>
      </c>
      <c r="G1160" s="1">
        <f>[1]Transport!C$25/SUM([1]Transport!C$21,[1]Transport!C$25)*G1157*(G$35+G$600)/(G$35+G$600+G$39)</f>
        <v>4.0918924546611111</v>
      </c>
      <c r="H1160" s="1">
        <f>[1]Transport!D$25/SUM([1]Transport!D$21,[1]Transport!D$25)*H1157*(H$35+H$600)/(H$35+H$600+H$39)</f>
        <v>4.2902739125244951</v>
      </c>
      <c r="I1160" s="1">
        <f>[1]Transport!E$25/SUM([1]Transport!E$21,[1]Transport!E$25)*I1157*(I$35+I$600)/(I$35+I$600+I$39)</f>
        <v>3.6990961746470448</v>
      </c>
      <c r="J1160" s="1">
        <f>[1]Transport!F$25/SUM([1]Transport!F$21,[1]Transport!F$25)*J1157*(J$35+J$600)/(J$35+J$600+J$39)</f>
        <v>2.4950871717728611</v>
      </c>
      <c r="K1160" s="1">
        <f>[1]Transport!G$25/SUM([1]Transport!G$21,[1]Transport!G$25)*K1157*(K$35+K$600)/(K$35+K$600+K$39)</f>
        <v>1.9863376670815629</v>
      </c>
      <c r="L1160" s="1">
        <f>[1]Transport!H$25/SUM([1]Transport!H$21,[1]Transport!H$25)*L1157*(L$35+L$600)/(L$35+L$600+L$39)</f>
        <v>1.7274038041823034</v>
      </c>
      <c r="M1160" s="1">
        <f>[1]Transport!I$25/SUM([1]Transport!I$21,[1]Transport!I$25)*M1157*(M$35+M$600)/(M$35+M$600+M$39)</f>
        <v>1.5151451009441903</v>
      </c>
      <c r="N1160" s="1">
        <f>[1]Transport!J$25/SUM([1]Transport!J$21,[1]Transport!J$25)*N1157*(N$35+N$600)/(N$35+N$600+N$39)</f>
        <v>1.374543794587511</v>
      </c>
      <c r="O1160" s="1">
        <f>[1]Transport!K$25/SUM([1]Transport!K$21,[1]Transport!K$25)*O1157*(O$35+O$600)/(O$35+O$600+O$39)</f>
        <v>1.2396691822690624</v>
      </c>
      <c r="P1160" s="1">
        <f>[1]Transport!L$25/SUM([1]Transport!L$21,[1]Transport!L$25)*P1157*(P$35+P$600)/(P$35+P$600+P$39)</f>
        <v>1.1367319467682384</v>
      </c>
      <c r="Q1160" s="1">
        <f>[1]Transport!M$25/SUM([1]Transport!M$21,[1]Transport!M$25)*Q1157*(Q$35+Q$600)/(Q$35+Q$600+Q$39)</f>
        <v>1.0841400499790983</v>
      </c>
      <c r="S1160" s="3"/>
    </row>
    <row r="1161" spans="2:19" x14ac:dyDescent="0.5">
      <c r="B1161" s="5" t="str">
        <f t="shared" si="1368"/>
        <v>SPS1</v>
      </c>
      <c r="C1161" s="5" t="str">
        <f t="shared" si="1359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(J$39+J$719)/([1]Transport!F$21+[1]Transport!F$25)*J1157</f>
        <v>0</v>
      </c>
      <c r="K1161" s="1">
        <f>(K$39+K$719)/([1]Transport!G$21+[1]Transport!G$25)*K1157</f>
        <v>0</v>
      </c>
      <c r="L1161" s="1">
        <f>(L$39+L$719)/([1]Transport!H$21+[1]Transport!H$25)*L1157</f>
        <v>0</v>
      </c>
      <c r="M1161" s="1">
        <f>(M$39+M$719)/([1]Transport!I$21+[1]Transport!I$25)*M1157</f>
        <v>0</v>
      </c>
      <c r="N1161" s="1">
        <f>(N$39+N$719)/([1]Transport!J$21+[1]Transport!J$25)*N1157</f>
        <v>0</v>
      </c>
      <c r="O1161" s="1">
        <f>(O$39+O$719)/([1]Transport!K$21+[1]Transport!K$25)*O1157</f>
        <v>0</v>
      </c>
      <c r="P1161" s="1">
        <f>(P$39+P$719)/([1]Transport!L$21+[1]Transport!L$25)*P1157</f>
        <v>0</v>
      </c>
      <c r="Q1161" s="1">
        <f>(Q$39+Q$719)/([1]Transport!M$21+[1]Transport!M$25)*Q1157</f>
        <v>0</v>
      </c>
      <c r="S1161" s="3"/>
    </row>
    <row r="1162" spans="2:19" x14ac:dyDescent="0.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1.2540840734778309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1.2428901933872671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0.9251920376065782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0.43898029021212853</v>
      </c>
      <c r="J1162" s="1" cm="1">
        <f t="array" ref="J1162">SUMPRODUCT(("T_C-HYBGSLEXT"=[1]OUT_TransportEnergyCons!$A$3:$A$1000)*1,("Var_Fin"=[1]OUT_TransportEnergyCons!$B$3:$B$1000)*1,ISNUMBER(SEARCH("GSL",[1]OUT_TransportEnergyCons!$C$3:$C$1000))*1,[1]OUT_TransportEnergyCons!H$3:H$1000)</f>
        <v>0</v>
      </c>
      <c r="K1162" s="1" cm="1">
        <f t="array" ref="K1162">SUMPRODUCT(("T_C-HYBGSLEXT"=[1]OUT_TransportEnergyCons!$A$3:$A$1000)*1,("Var_Fin"=[1]OUT_TransportEnergyCons!$B$3:$B$1000)*1,ISNUMBER(SEARCH("GSL",[1]OUT_TransportEnergyCons!$C$3:$C$1000))*1,[1]OUT_TransportEnergyCons!I$3:I$1000)</f>
        <v>0</v>
      </c>
      <c r="L1162" s="1" cm="1">
        <f t="array" ref="L1162">SUMPRODUCT(("T_C-HYBGSLEXT"=[1]OUT_TransportEnergyCons!$A$3:$A$1000)*1,("Var_Fin"=[1]OUT_TransportEnergyCons!$B$3:$B$1000)*1,ISNUMBER(SEARCH("GSL",[1]OUT_TransportEnergyCons!$C$3:$C$1000))*1,[1]OUT_TransportEnergyCons!J$3:J$1000)</f>
        <v>0</v>
      </c>
      <c r="M1162" s="1" cm="1">
        <f t="array" ref="M1162">SUMPRODUCT(("T_C-HYBGSLEXT"=[1]OUT_TransportEnergyCons!$A$3:$A$1000)*1,("Var_Fin"=[1]OUT_TransportEnergyCons!$B$3:$B$1000)*1,ISNUMBER(SEARCH("GSL",[1]OUT_TransportEnergyCons!$C$3:$C$1000))*1,[1]OUT_TransportEnergyCons!K$3:K$1000)</f>
        <v>0</v>
      </c>
      <c r="N1162" s="1" cm="1">
        <f t="array" ref="N1162">SUMPRODUCT(("T_C-HYBGSLEXT"=[1]OUT_TransportEnergyCons!$A$3:$A$1000)*1,("Var_Fin"=[1]OUT_TransportEnergyCons!$B$3:$B$1000)*1,ISNUMBER(SEARCH("GSL",[1]OUT_TransportEnergyCons!$C$3:$C$1000))*1,[1]OUT_TransportEnergyCons!L$3:L$1000)</f>
        <v>0</v>
      </c>
      <c r="O1162" s="1" cm="1">
        <f t="array" ref="O1162">SUMPRODUCT(("T_C-HYBGSLEXT"=[1]OUT_TransportEnergyCons!$A$3:$A$1000)*1,("Var_Fin"=[1]OUT_TransportEnergyCons!$B$3:$B$1000)*1,ISNUMBER(SEARCH("GSL",[1]OUT_TransportEnergyCons!$C$3:$C$1000))*1,[1]OUT_TransportEnergyCons!M$3:M$1000)</f>
        <v>0</v>
      </c>
      <c r="P1162" s="1" cm="1">
        <f t="array" ref="P1162">SUMPRODUCT(("T_C-HYBGSLEXT"=[1]OUT_TransportEnergyCons!$A$3:$A$1000)*1,("Var_Fin"=[1]OUT_TransportEnergyCons!$B$3:$B$1000)*1,ISNUMBER(SEARCH("GSL",[1]OUT_TransportEnergyCons!$C$3:$C$1000))*1,[1]OUT_TransportEnergyCons!N$3:N$1000)</f>
        <v>0</v>
      </c>
      <c r="Q1162" s="1" cm="1">
        <f t="array" ref="Q1162">SUMPRODUCT(("T_C-HYBGSLEXT"=[1]OUT_TransportEnergyCons!$A$3:$A$1000)*1,("Var_Fin"=[1]OUT_TransportEnergyCons!$B$3:$B$1000)*1,ISNUMBER(SEARCH("GSL",[1]OUT_TransportEnergyCons!$C$3:$C$1000))*1,[1]OUT_TransportEnergyCons!O$3:O$1000)</f>
        <v>0</v>
      </c>
      <c r="S1162" s="3"/>
    </row>
    <row r="1163" spans="2:19" x14ac:dyDescent="0.5">
      <c r="B1163" s="5" t="str">
        <f t="shared" si="1358"/>
        <v>SPS1</v>
      </c>
      <c r="C1163" s="5" t="str">
        <f t="shared" si="1359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4.5740872246227617E-2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5.3659636993016693E-2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3.7751164635871526E-2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2.9253083986120178E-2</v>
      </c>
      <c r="J1163" s="1" cm="1">
        <f t="array" ref="J1163">SUMPRODUCT(("T_C-HY-GSL-S1"=[1]OUT_TransportEnergyCons!$A$3:$A$1000)*1,("Var_Fin"=[1]OUT_TransportEnergyCons!$B$3:$B$1000)*1,ISNUMBER(SEARCH("GSL",[1]OUT_TransportEnergyCons!$C$3:$C$1000))*1,[1]OUT_TransportEnergyCons!H$3:H$1000)</f>
        <v>0.26359136988478504</v>
      </c>
      <c r="K1163" s="1" cm="1">
        <f t="array" ref="K1163">SUMPRODUCT(("T_C-HY-GSL-S1"=[1]OUT_TransportEnergyCons!$A$3:$A$1000)*1,("Var_Fin"=[1]OUT_TransportEnergyCons!$B$3:$B$1000)*1,ISNUMBER(SEARCH("GSL",[1]OUT_TransportEnergyCons!$C$3:$C$1000))*1,[1]OUT_TransportEnergyCons!I$3:I$1000)</f>
        <v>0.51858210280174166</v>
      </c>
      <c r="L1163" s="1" cm="1">
        <f t="array" ref="L1163">SUMPRODUCT(("T_C-HY-GSL-S1"=[1]OUT_TransportEnergyCons!$A$3:$A$1000)*1,("Var_Fin"=[1]OUT_TransportEnergyCons!$B$3:$B$1000)*1,ISNUMBER(SEARCH("GSL",[1]OUT_TransportEnergyCons!$C$3:$C$1000))*1,[1]OUT_TransportEnergyCons!J$3:J$1000)</f>
        <v>0.40569404507803786</v>
      </c>
      <c r="M1163" s="1" cm="1">
        <f t="array" ref="M1163">SUMPRODUCT(("T_C-HY-GSL-S1"=[1]OUT_TransportEnergyCons!$A$3:$A$1000)*1,("Var_Fin"=[1]OUT_TransportEnergyCons!$B$3:$B$1000)*1,ISNUMBER(SEARCH("GSL",[1]OUT_TransportEnergyCons!$C$3:$C$1000))*1,[1]OUT_TransportEnergyCons!K$3:K$1000)</f>
        <v>0.17483976884453695</v>
      </c>
      <c r="N1163" s="1" cm="1">
        <f t="array" ref="N1163">SUMPRODUCT(("T_C-HY-GSL-S1"=[1]OUT_TransportEnergyCons!$A$3:$A$1000)*1,("Var_Fin"=[1]OUT_TransportEnergyCons!$B$3:$B$1000)*1,ISNUMBER(SEARCH("GSL",[1]OUT_TransportEnergyCons!$C$3:$C$1000))*1,[1]OUT_TransportEnergyCons!L$3:L$1000)</f>
        <v>2.5660996326900252E-2</v>
      </c>
      <c r="O1163" s="1" cm="1">
        <f t="array" ref="O1163">SUMPRODUCT(("T_C-HY-GSL-S1"=[1]OUT_TransportEnergyCons!$A$3:$A$1000)*1,("Var_Fin"=[1]OUT_TransportEnergyCons!$B$3:$B$1000)*1,ISNUMBER(SEARCH("GSL",[1]OUT_TransportEnergyCons!$C$3:$C$1000))*1,[1]OUT_TransportEnergyCons!M$3:M$1000)</f>
        <v>0.12611453184867563</v>
      </c>
      <c r="P1163" s="1" cm="1">
        <f t="array" ref="P1163">SUMPRODUCT(("T_C-HY-GSL-S1"=[1]OUT_TransportEnergyCons!$A$3:$A$1000)*1,("Var_Fin"=[1]OUT_TransportEnergyCons!$B$3:$B$1000)*1,ISNUMBER(SEARCH("GSL",[1]OUT_TransportEnergyCons!$C$3:$C$1000))*1,[1]OUT_TransportEnergyCons!N$3:N$1000)</f>
        <v>0.44101201004091817</v>
      </c>
      <c r="Q1163" s="1" cm="1">
        <f t="array" ref="Q1163">SUMPRODUCT(("T_C-HY-GSL-S1"=[1]OUT_TransportEnergyCons!$A$3:$A$1000)*1,("Var_Fin"=[1]OUT_TransportEnergyCons!$B$3:$B$1000)*1,ISNUMBER(SEARCH("GSL",[1]OUT_TransportEnergyCons!$C$3:$C$1000))*1,[1]OUT_TransportEnergyCons!O$3:O$1000)</f>
        <v>0.59894486953560455</v>
      </c>
      <c r="S1163" s="3"/>
    </row>
    <row r="1164" spans="2:19" x14ac:dyDescent="0.5">
      <c r="B1164" s="5" t="str">
        <f t="shared" si="1358"/>
        <v>SPS1</v>
      </c>
      <c r="C1164" s="5" t="str">
        <f t="shared" si="1359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0.13863985025818204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0.20518867572298452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0.27032767381206918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0.21665701483614619</v>
      </c>
      <c r="J1164" s="1" cm="1">
        <f t="array" ref="J1164">SUMPRODUCT(("T_C-HY-GSL-S2"=[1]OUT_TransportEnergyCons!$A$3:$A$1000)*1,("Var_Fin"=[1]OUT_TransportEnergyCons!$B$3:$B$1000)*1,ISNUMBER(SEARCH("GSL",[1]OUT_TransportEnergyCons!$C$3:$C$1000))*1,[1]OUT_TransportEnergyCons!H$3:H$1000)</f>
        <v>1.0934786369366205</v>
      </c>
      <c r="K1164" s="1" cm="1">
        <f t="array" ref="K1164">SUMPRODUCT(("T_C-HY-GSL-S2"=[1]OUT_TransportEnergyCons!$A$3:$A$1000)*1,("Var_Fin"=[1]OUT_TransportEnergyCons!$B$3:$B$1000)*1,ISNUMBER(SEARCH("GSL",[1]OUT_TransportEnergyCons!$C$3:$C$1000))*1,[1]OUT_TransportEnergyCons!I$3:I$1000)</f>
        <v>0.92715514765289986</v>
      </c>
      <c r="L1164" s="1" cm="1">
        <f t="array" ref="L1164">SUMPRODUCT(("T_C-HY-GSL-S2"=[1]OUT_TransportEnergyCons!$A$3:$A$1000)*1,("Var_Fin"=[1]OUT_TransportEnergyCons!$B$3:$B$1000)*1,ISNUMBER(SEARCH("GSL",[1]OUT_TransportEnergyCons!$C$3:$C$1000))*1,[1]OUT_TransportEnergyCons!J$3:J$1000)</f>
        <v>0.65532507654236538</v>
      </c>
      <c r="M1164" s="1" cm="1">
        <f t="array" ref="M1164">SUMPRODUCT(("T_C-HY-GSL-S2"=[1]OUT_TransportEnergyCons!$A$3:$A$1000)*1,("Var_Fin"=[1]OUT_TransportEnergyCons!$B$3:$B$1000)*1,ISNUMBER(SEARCH("GSL",[1]OUT_TransportEnergyCons!$C$3:$C$1000))*1,[1]OUT_TransportEnergyCons!K$3:K$1000)</f>
        <v>4.9171510533190296E-3</v>
      </c>
      <c r="N1164" s="1" cm="1">
        <f t="array" ref="N1164">SUMPRODUCT(("T_C-HY-GSL-S2"=[1]OUT_TransportEnergyCons!$A$3:$A$1000)*1,("Var_Fin"=[1]OUT_TransportEnergyCons!$B$3:$B$1000)*1,ISNUMBER(SEARCH("GSL",[1]OUT_TransportEnergyCons!$C$3:$C$1000))*1,[1]OUT_TransportEnergyCons!L$3:L$1000)</f>
        <v>3.1596534602800169E-3</v>
      </c>
      <c r="O1164" s="1" cm="1">
        <f t="array" ref="O1164">SUMPRODUCT(("T_C-HY-GSL-S2"=[1]OUT_TransportEnergyCons!$A$3:$A$1000)*1,("Var_Fin"=[1]OUT_TransportEnergyCons!$B$3:$B$1000)*1,ISNUMBER(SEARCH("GSL",[1]OUT_TransportEnergyCons!$C$3:$C$1000))*1,[1]OUT_TransportEnergyCons!M$3:M$1000)</f>
        <v>4.1129033756759472E-3</v>
      </c>
      <c r="P1164" s="1" cm="1">
        <f t="array" ref="P1164">SUMPRODUCT(("T_C-HY-GSL-S2"=[1]OUT_TransportEnergyCons!$A$3:$A$1000)*1,("Var_Fin"=[1]OUT_TransportEnergyCons!$B$3:$B$1000)*1,ISNUMBER(SEARCH("GSL",[1]OUT_TransportEnergyCons!$C$3:$C$1000))*1,[1]OUT_TransportEnergyCons!N$3:N$1000)</f>
        <v>5.6745816509654965E-3</v>
      </c>
      <c r="Q1164" s="1" cm="1">
        <f t="array" ref="Q1164">SUMPRODUCT(("T_C-HY-GSL-S2"=[1]OUT_TransportEnergyCons!$A$3:$A$1000)*1,("Var_Fin"=[1]OUT_TransportEnergyCons!$B$3:$B$1000)*1,ISNUMBER(SEARCH("GSL",[1]OUT_TransportEnergyCons!$C$3:$C$1000))*1,[1]OUT_TransportEnergyCons!O$3:O$1000)</f>
        <v>5.687256543060939E-3</v>
      </c>
      <c r="S1164" s="3"/>
    </row>
    <row r="1165" spans="2:19" x14ac:dyDescent="0.5">
      <c r="B1165" s="5" t="str">
        <f t="shared" si="1358"/>
        <v>SPS1</v>
      </c>
      <c r="C1165" s="5" t="str">
        <f t="shared" si="1359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0.10275998380197145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1.1167455582213908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1.0565047929904414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0.84483975972777414</v>
      </c>
      <c r="J1165" s="1" cm="1">
        <f t="array" ref="J1165">SUMPRODUCT(("T_C-HY-GSL-S3"=[1]OUT_TransportEnergyCons!$A$3:$A$1000)*1,("Var_Fin"=[1]OUT_TransportEnergyCons!$B$3:$B$1000)*1,ISNUMBER(SEARCH("GSL",[1]OUT_TransportEnergyCons!$C$3:$C$1000))*1,[1]OUT_TransportEnergyCons!H$3:H$1000)</f>
        <v>0.26806793360161324</v>
      </c>
      <c r="K1165" s="1" cm="1">
        <f t="array" ref="K1165">SUMPRODUCT(("T_C-HY-GSL-S3"=[1]OUT_TransportEnergyCons!$A$3:$A$1000)*1,("Var_Fin"=[1]OUT_TransportEnergyCons!$B$3:$B$1000)*1,ISNUMBER(SEARCH("GSL",[1]OUT_TransportEnergyCons!$C$3:$C$1000))*1,[1]OUT_TransportEnergyCons!I$3:I$1000)</f>
        <v>1.698054411199507E-3</v>
      </c>
      <c r="L1165" s="1" cm="1">
        <f t="array" ref="L1165">SUMPRODUCT(("T_C-HY-GSL-S3"=[1]OUT_TransportEnergyCons!$A$3:$A$1000)*1,("Var_Fin"=[1]OUT_TransportEnergyCons!$B$3:$B$1000)*1,ISNUMBER(SEARCH("GSL",[1]OUT_TransportEnergyCons!$C$3:$C$1000))*1,[1]OUT_TransportEnergyCons!J$3:J$1000)</f>
        <v>1.8842076011816205E-3</v>
      </c>
      <c r="M1165" s="1" cm="1">
        <f t="array" ref="M1165">SUMPRODUCT(("T_C-HY-GSL-S3"=[1]OUT_TransportEnergyCons!$A$3:$A$1000)*1,("Var_Fin"=[1]OUT_TransportEnergyCons!$B$3:$B$1000)*1,ISNUMBER(SEARCH("GSL",[1]OUT_TransportEnergyCons!$C$3:$C$1000))*1,[1]OUT_TransportEnergyCons!K$3:K$1000)</f>
        <v>2.267394756228067E-3</v>
      </c>
      <c r="N1165" s="1" cm="1">
        <f t="array" ref="N1165">SUMPRODUCT(("T_C-HY-GSL-S3"=[1]OUT_TransportEnergyCons!$A$3:$A$1000)*1,("Var_Fin"=[1]OUT_TransportEnergyCons!$B$3:$B$1000)*1,ISNUMBER(SEARCH("GSL",[1]OUT_TransportEnergyCons!$C$3:$C$1000))*1,[1]OUT_TransportEnergyCons!L$3:L$1000)</f>
        <v>2.0890830650104929E-3</v>
      </c>
      <c r="O1165" s="1" cm="1">
        <f t="array" ref="O1165">SUMPRODUCT(("T_C-HY-GSL-S3"=[1]OUT_TransportEnergyCons!$A$3:$A$1000)*1,("Var_Fin"=[1]OUT_TransportEnergyCons!$B$3:$B$1000)*1,ISNUMBER(SEARCH("GSL",[1]OUT_TransportEnergyCons!$C$3:$C$1000))*1,[1]OUT_TransportEnergyCons!M$3:M$1000)</f>
        <v>2.3157855131826334E-3</v>
      </c>
      <c r="P1165" s="1" cm="1">
        <f t="array" ref="P1165">SUMPRODUCT(("T_C-HY-GSL-S3"=[1]OUT_TransportEnergyCons!$A$3:$A$1000)*1,("Var_Fin"=[1]OUT_TransportEnergyCons!$B$3:$B$1000)*1,ISNUMBER(SEARCH("GSL",[1]OUT_TransportEnergyCons!$C$3:$C$1000))*1,[1]OUT_TransportEnergyCons!N$3:N$1000)</f>
        <v>2.2733915558883549E-3</v>
      </c>
      <c r="Q1165" s="1" cm="1">
        <f t="array" ref="Q1165">SUMPRODUCT(("T_C-HY-GSL-S3"=[1]OUT_TransportEnergyCons!$A$3:$A$1000)*1,("Var_Fin"=[1]OUT_TransportEnergyCons!$B$3:$B$1000)*1,ISNUMBER(SEARCH("GSL",[1]OUT_TransportEnergyCons!$C$3:$C$1000))*1,[1]OUT_TransportEnergyCons!O$3:O$1000)</f>
        <v>2.026059026851568E-3</v>
      </c>
      <c r="S1165" s="3"/>
    </row>
    <row r="1166" spans="2:19" x14ac:dyDescent="0.5">
      <c r="B1166" s="5" t="str">
        <f t="shared" si="1358"/>
        <v>SPS1</v>
      </c>
      <c r="C1166" s="5" t="str">
        <f t="shared" si="1359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9.0700878256903636E-2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0.13557374610005996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0.13032663409860337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0.10821392633056717</v>
      </c>
      <c r="J1166" s="1" cm="1">
        <f t="array" ref="J1166">SUMPRODUCT(("T_C-HY-GSL-S4"=[1]OUT_TransportEnergyCons!$A$3:$A$1000)*1,("Var_Fin"=[1]OUT_TransportEnergyCons!$B$3:$B$1000)*1,ISNUMBER(SEARCH("GSL",[1]OUT_TransportEnergyCons!$C$3:$C$1000))*1,[1]OUT_TransportEnergyCons!H$3:H$1000)</f>
        <v>1.7506834049339177E-2</v>
      </c>
      <c r="K1166" s="1" cm="1">
        <f t="array" ref="K1166">SUMPRODUCT(("T_C-HY-GSL-S4"=[1]OUT_TransportEnergyCons!$A$3:$A$1000)*1,("Var_Fin"=[1]OUT_TransportEnergyCons!$B$3:$B$1000)*1,ISNUMBER(SEARCH("GSL",[1]OUT_TransportEnergyCons!$C$3:$C$1000))*1,[1]OUT_TransportEnergyCons!I$3:I$1000)</f>
        <v>5.1465843977613552E-3</v>
      </c>
      <c r="L1166" s="1" cm="1">
        <f t="array" ref="L1166">SUMPRODUCT(("T_C-HY-GSL-S4"=[1]OUT_TransportEnergyCons!$A$3:$A$1000)*1,("Var_Fin"=[1]OUT_TransportEnergyCons!$B$3:$B$1000)*1,ISNUMBER(SEARCH("GSL",[1]OUT_TransportEnergyCons!$C$3:$C$1000))*1,[1]OUT_TransportEnergyCons!J$3:J$1000)</f>
        <v>6.993686454543146E-3</v>
      </c>
      <c r="M1166" s="1" cm="1">
        <f t="array" ref="M1166">SUMPRODUCT(("T_C-HY-GSL-S4"=[1]OUT_TransportEnergyCons!$A$3:$A$1000)*1,("Var_Fin"=[1]OUT_TransportEnergyCons!$B$3:$B$1000)*1,ISNUMBER(SEARCH("GSL",[1]OUT_TransportEnergyCons!$C$3:$C$1000))*1,[1]OUT_TransportEnergyCons!K$3:K$1000)</f>
        <v>1.1349468486527008</v>
      </c>
      <c r="N1166" s="1" cm="1">
        <f t="array" ref="N1166">SUMPRODUCT(("T_C-HY-GSL-S4"=[1]OUT_TransportEnergyCons!$A$3:$A$1000)*1,("Var_Fin"=[1]OUT_TransportEnergyCons!$B$3:$B$1000)*1,ISNUMBER(SEARCH("GSL",[1]OUT_TransportEnergyCons!$C$3:$C$1000))*1,[1]OUT_TransportEnergyCons!L$3:L$1000)</f>
        <v>1.0644991388026397</v>
      </c>
      <c r="O1166" s="1" cm="1">
        <f t="array" ref="O1166">SUMPRODUCT(("T_C-HY-GSL-S4"=[1]OUT_TransportEnergyCons!$A$3:$A$1000)*1,("Var_Fin"=[1]OUT_TransportEnergyCons!$B$3:$B$1000)*1,ISNUMBER(SEARCH("GSL",[1]OUT_TransportEnergyCons!$C$3:$C$1000))*1,[1]OUT_TransportEnergyCons!M$3:M$1000)</f>
        <v>0.84429192256778962</v>
      </c>
      <c r="P1166" s="1" cm="1">
        <f t="array" ref="P1166">SUMPRODUCT(("T_C-HY-GSL-S4"=[1]OUT_TransportEnergyCons!$A$3:$A$1000)*1,("Var_Fin"=[1]OUT_TransportEnergyCons!$B$3:$B$1000)*1,ISNUMBER(SEARCH("GSL",[1]OUT_TransportEnergyCons!$C$3:$C$1000))*1,[1]OUT_TransportEnergyCons!N$3:N$1000)</f>
        <v>0.27857498670273556</v>
      </c>
      <c r="Q1166" s="1" cm="1">
        <f t="array" ref="Q1166">SUMPRODUCT(("T_C-HY-GSL-S4"=[1]OUT_TransportEnergyCons!$A$3:$A$1000)*1,("Var_Fin"=[1]OUT_TransportEnergyCons!$B$3:$B$1000)*1,ISNUMBER(SEARCH("GSL",[1]OUT_TransportEnergyCons!$C$3:$C$1000))*1,[1]OUT_TransportEnergyCons!O$3:O$1000)</f>
        <v>4.5511432001343445E-3</v>
      </c>
      <c r="S1166" s="3"/>
    </row>
    <row r="1167" spans="2:19" x14ac:dyDescent="0.5">
      <c r="B1167" s="5" t="str">
        <f t="shared" si="1358"/>
        <v>SPS1</v>
      </c>
      <c r="C1167" s="5" t="str">
        <f t="shared" si="1359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63.987649809436491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54.421420108026219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46.926129239007736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12.990672273330809</v>
      </c>
      <c r="J1167" s="1" cm="1">
        <f t="array" ref="J1167">SUMPRODUCT(("T_C-ICEGSLEXT"=[1]OUT_TransportEnergyCons!$A$3:$A$1000)*1,("Var_Fin"=[1]OUT_TransportEnergyCons!$B$3:$B$1000)*1,ISNUMBER(SEARCH("GSL",[1]OUT_TransportEnergyCons!$C$3:$C$1000))*1,[1]OUT_TransportEnergyCons!H$3:H$1000)</f>
        <v>0</v>
      </c>
      <c r="K1167" s="1" cm="1">
        <f t="array" ref="K1167">SUMPRODUCT(("T_C-ICEGSLEXT"=[1]OUT_TransportEnergyCons!$A$3:$A$1000)*1,("Var_Fin"=[1]OUT_TransportEnergyCons!$B$3:$B$1000)*1,ISNUMBER(SEARCH("GSL",[1]OUT_TransportEnergyCons!$C$3:$C$1000))*1,[1]OUT_TransportEnergyCons!I$3:I$1000)</f>
        <v>0</v>
      </c>
      <c r="L1167" s="1" cm="1">
        <f t="array" ref="L1167">SUMPRODUCT(("T_C-ICEGSLEXT"=[1]OUT_TransportEnergyCons!$A$3:$A$1000)*1,("Var_Fin"=[1]OUT_TransportEnergyCons!$B$3:$B$1000)*1,ISNUMBER(SEARCH("GSL",[1]OUT_TransportEnergyCons!$C$3:$C$1000))*1,[1]OUT_TransportEnergyCons!J$3:J$1000)</f>
        <v>0</v>
      </c>
      <c r="M1167" s="1" cm="1">
        <f t="array" ref="M1167">SUMPRODUCT(("T_C-ICEGSLEXT"=[1]OUT_TransportEnergyCons!$A$3:$A$1000)*1,("Var_Fin"=[1]OUT_TransportEnergyCons!$B$3:$B$1000)*1,ISNUMBER(SEARCH("GSL",[1]OUT_TransportEnergyCons!$C$3:$C$1000))*1,[1]OUT_TransportEnergyCons!K$3:K$1000)</f>
        <v>0</v>
      </c>
      <c r="N1167" s="1" cm="1">
        <f t="array" ref="N1167">SUMPRODUCT(("T_C-ICEGSLEXT"=[1]OUT_TransportEnergyCons!$A$3:$A$1000)*1,("Var_Fin"=[1]OUT_TransportEnergyCons!$B$3:$B$1000)*1,ISNUMBER(SEARCH("GSL",[1]OUT_TransportEnergyCons!$C$3:$C$1000))*1,[1]OUT_TransportEnergyCons!L$3:L$1000)</f>
        <v>0</v>
      </c>
      <c r="O1167" s="1" cm="1">
        <f t="array" ref="O1167">SUMPRODUCT(("T_C-ICEGSLEXT"=[1]OUT_TransportEnergyCons!$A$3:$A$1000)*1,("Var_Fin"=[1]OUT_TransportEnergyCons!$B$3:$B$1000)*1,ISNUMBER(SEARCH("GSL",[1]OUT_TransportEnergyCons!$C$3:$C$1000))*1,[1]OUT_TransportEnergyCons!M$3:M$1000)</f>
        <v>0</v>
      </c>
      <c r="P1167" s="1" cm="1">
        <f t="array" ref="P1167">SUMPRODUCT(("T_C-ICEGSLEXT"=[1]OUT_TransportEnergyCons!$A$3:$A$1000)*1,("Var_Fin"=[1]OUT_TransportEnergyCons!$B$3:$B$1000)*1,ISNUMBER(SEARCH("GSL",[1]OUT_TransportEnergyCons!$C$3:$C$1000))*1,[1]OUT_TransportEnergyCons!N$3:N$1000)</f>
        <v>0</v>
      </c>
      <c r="Q1167" s="1" cm="1">
        <f t="array" ref="Q1167">SUMPRODUCT(("T_C-ICEGSLEXT"=[1]OUT_TransportEnergyCons!$A$3:$A$1000)*1,("Var_Fin"=[1]OUT_TransportEnergyCons!$B$3:$B$1000)*1,ISNUMBER(SEARCH("GSL",[1]OUT_TransportEnergyCons!$C$3:$C$1000))*1,[1]OUT_TransportEnergyCons!O$3:O$1000)</f>
        <v>0</v>
      </c>
      <c r="S1167" s="3"/>
    </row>
    <row r="1168" spans="2:19" x14ac:dyDescent="0.5">
      <c r="B1168" s="5" t="str">
        <f t="shared" si="1358"/>
        <v>SPS1</v>
      </c>
      <c r="C1168" s="5" t="str">
        <f t="shared" si="1359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0.49706191347047263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0.55083178811725586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0.38363895289295968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0.29199906328122599</v>
      </c>
      <c r="J1168" s="1" cm="1">
        <f t="array" ref="J1168">SUMPRODUCT(("T_C-ICE-GSL-S1"=[1]OUT_TransportEnergyCons!$A$3:$A$1000)*1,("Var_Fin"=[1]OUT_TransportEnergyCons!$B$3:$B$1000)*1,ISNUMBER(SEARCH("GSL",[1]OUT_TransportEnergyCons!$C$3:$C$1000))*1,[1]OUT_TransportEnergyCons!H$3:H$1000)</f>
        <v>1.7535644252660246E-2</v>
      </c>
      <c r="K1168" s="1" cm="1">
        <f t="array" ref="K1168">SUMPRODUCT(("T_C-ICE-GSL-S1"=[1]OUT_TransportEnergyCons!$A$3:$A$1000)*1,("Var_Fin"=[1]OUT_TransportEnergyCons!$B$3:$B$1000)*1,ISNUMBER(SEARCH("GSL",[1]OUT_TransportEnergyCons!$C$3:$C$1000))*1,[1]OUT_TransportEnergyCons!I$3:I$1000)</f>
        <v>2.5725323943600665E-3</v>
      </c>
      <c r="L1168" s="1" cm="1">
        <f t="array" ref="L1168">SUMPRODUCT(("T_C-ICE-GSL-S1"=[1]OUT_TransportEnergyCons!$A$3:$A$1000)*1,("Var_Fin"=[1]OUT_TransportEnergyCons!$B$3:$B$1000)*1,ISNUMBER(SEARCH("GSL",[1]OUT_TransportEnergyCons!$C$3:$C$1000))*1,[1]OUT_TransportEnergyCons!J$3:J$1000)</f>
        <v>1.6140237553727756E-3</v>
      </c>
      <c r="M1168" s="1" cm="1">
        <f t="array" ref="M1168">SUMPRODUCT(("T_C-ICE-GSL-S1"=[1]OUT_TransportEnergyCons!$A$3:$A$1000)*1,("Var_Fin"=[1]OUT_TransportEnergyCons!$B$3:$B$1000)*1,ISNUMBER(SEARCH("GSL",[1]OUT_TransportEnergyCons!$C$3:$C$1000))*1,[1]OUT_TransportEnergyCons!K$3:K$1000)</f>
        <v>1.0316552917493645E-3</v>
      </c>
      <c r="N1168" s="1" cm="1">
        <f t="array" ref="N1168">SUMPRODUCT(("T_C-ICE-GSL-S1"=[1]OUT_TransportEnergyCons!$A$3:$A$1000)*1,("Var_Fin"=[1]OUT_TransportEnergyCons!$B$3:$B$1000)*1,ISNUMBER(SEARCH("GSL",[1]OUT_TransportEnergyCons!$C$3:$C$1000))*1,[1]OUT_TransportEnergyCons!L$3:L$1000)</f>
        <v>5.3690038979366684E-4</v>
      </c>
      <c r="O1168" s="1" cm="1">
        <f t="array" ref="O1168">SUMPRODUCT(("T_C-ICE-GSL-S1"=[1]OUT_TransportEnergyCons!$A$3:$A$1000)*1,("Var_Fin"=[1]OUT_TransportEnergyCons!$B$3:$B$1000)*1,ISNUMBER(SEARCH("GSL",[1]OUT_TransportEnergyCons!$C$3:$C$1000))*1,[1]OUT_TransportEnergyCons!M$3:M$1000)</f>
        <v>5.0234038332049621E-4</v>
      </c>
      <c r="P1168" s="1" cm="1">
        <f t="array" ref="P1168">SUMPRODUCT(("T_C-ICE-GSL-S1"=[1]OUT_TransportEnergyCons!$A$3:$A$1000)*1,("Var_Fin"=[1]OUT_TransportEnergyCons!$B$3:$B$1000)*1,ISNUMBER(SEARCH("GSL",[1]OUT_TransportEnergyCons!$C$3:$C$1000))*1,[1]OUT_TransportEnergyCons!N$3:N$1000)</f>
        <v>5.6129555596221242E-4</v>
      </c>
      <c r="Q1168" s="1" cm="1">
        <f t="array" ref="Q1168">SUMPRODUCT(("T_C-ICE-GSL-S1"=[1]OUT_TransportEnergyCons!$A$3:$A$1000)*1,("Var_Fin"=[1]OUT_TransportEnergyCons!$B$3:$B$1000)*1,ISNUMBER(SEARCH("GSL",[1]OUT_TransportEnergyCons!$C$3:$C$1000))*1,[1]OUT_TransportEnergyCons!O$3:O$1000)</f>
        <v>7.283116030382935E-4</v>
      </c>
      <c r="S1168" s="3"/>
    </row>
    <row r="1169" spans="2:19" x14ac:dyDescent="0.5">
      <c r="B1169" s="5" t="str">
        <f t="shared" si="1358"/>
        <v>SPS1</v>
      </c>
      <c r="C1169" s="5" t="str">
        <f t="shared" si="1359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3.7685589770991683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5.3071927007513668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5.2561340999253181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4.1245910215830195</v>
      </c>
      <c r="J1169" s="1" cm="1">
        <f t="array" ref="J1169">SUMPRODUCT(("T_C-ICE-GSL-S2"=[1]OUT_TransportEnergyCons!$A$3:$A$1000)*1,("Var_Fin"=[1]OUT_TransportEnergyCons!$B$3:$B$1000)*1,ISNUMBER(SEARCH("GSL",[1]OUT_TransportEnergyCons!$C$3:$C$1000))*1,[1]OUT_TransportEnergyCons!H$3:H$1000)</f>
        <v>0.18023538436321299</v>
      </c>
      <c r="K1169" s="1" cm="1">
        <f t="array" ref="K1169">SUMPRODUCT(("T_C-ICE-GSL-S2"=[1]OUT_TransportEnergyCons!$A$3:$A$1000)*1,("Var_Fin"=[1]OUT_TransportEnergyCons!$B$3:$B$1000)*1,ISNUMBER(SEARCH("GSL",[1]OUT_TransportEnergyCons!$C$3:$C$1000))*1,[1]OUT_TransportEnergyCons!I$3:I$1000)</f>
        <v>1.1959724380838022E-2</v>
      </c>
      <c r="L1169" s="1" cm="1">
        <f t="array" ref="L1169">SUMPRODUCT(("T_C-ICE-GSL-S2"=[1]OUT_TransportEnergyCons!$A$3:$A$1000)*1,("Var_Fin"=[1]OUT_TransportEnergyCons!$B$3:$B$1000)*1,ISNUMBER(SEARCH("GSL",[1]OUT_TransportEnergyCons!$C$3:$C$1000))*1,[1]OUT_TransportEnergyCons!J$3:J$1000)</f>
        <v>5.2504194471445064E-3</v>
      </c>
      <c r="M1169" s="1" cm="1">
        <f t="array" ref="M1169">SUMPRODUCT(("T_C-ICE-GSL-S2"=[1]OUT_TransportEnergyCons!$A$3:$A$1000)*1,("Var_Fin"=[1]OUT_TransportEnergyCons!$B$3:$B$1000)*1,ISNUMBER(SEARCH("GSL",[1]OUT_TransportEnergyCons!$C$3:$C$1000))*1,[1]OUT_TransportEnergyCons!K$3:K$1000)</f>
        <v>2.5879047569241443E-3</v>
      </c>
      <c r="N1169" s="1" cm="1">
        <f t="array" ref="N1169">SUMPRODUCT(("T_C-ICE-GSL-S2"=[1]OUT_TransportEnergyCons!$A$3:$A$1000)*1,("Var_Fin"=[1]OUT_TransportEnergyCons!$B$3:$B$1000)*1,ISNUMBER(SEARCH("GSL",[1]OUT_TransportEnergyCons!$C$3:$C$1000))*1,[1]OUT_TransportEnergyCons!L$3:L$1000)</f>
        <v>1.3240813056327096E-3</v>
      </c>
      <c r="O1169" s="1" cm="1">
        <f t="array" ref="O1169">SUMPRODUCT(("T_C-ICE-GSL-S2"=[1]OUT_TransportEnergyCons!$A$3:$A$1000)*1,("Var_Fin"=[1]OUT_TransportEnergyCons!$B$3:$B$1000)*1,ISNUMBER(SEARCH("GSL",[1]OUT_TransportEnergyCons!$C$3:$C$1000))*1,[1]OUT_TransportEnergyCons!M$3:M$1000)</f>
        <v>1.2614798584847234E-3</v>
      </c>
      <c r="P1169" s="1" cm="1">
        <f t="array" ref="P1169">SUMPRODUCT(("T_C-ICE-GSL-S2"=[1]OUT_TransportEnergyCons!$A$3:$A$1000)*1,("Var_Fin"=[1]OUT_TransportEnergyCons!$B$3:$B$1000)*1,ISNUMBER(SEARCH("GSL",[1]OUT_TransportEnergyCons!$C$3:$C$1000))*1,[1]OUT_TransportEnergyCons!N$3:N$1000)</f>
        <v>1.427751933666313E-3</v>
      </c>
      <c r="Q1169" s="1" cm="1">
        <f t="array" ref="Q1169">SUMPRODUCT(("T_C-ICE-GSL-S2"=[1]OUT_TransportEnergyCons!$A$3:$A$1000)*1,("Var_Fin"=[1]OUT_TransportEnergyCons!$B$3:$B$1000)*1,ISNUMBER(SEARCH("GSL",[1]OUT_TransportEnergyCons!$C$3:$C$1000))*1,[1]OUT_TransportEnergyCons!O$3:O$1000)</f>
        <v>1.7508657872641706E-3</v>
      </c>
      <c r="S1169" s="3"/>
    </row>
    <row r="1170" spans="2:19" x14ac:dyDescent="0.5">
      <c r="B1170" s="5" t="str">
        <f t="shared" si="1358"/>
        <v>SPS1</v>
      </c>
      <c r="C1170" s="5" t="str">
        <f t="shared" si="1359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3.7789947602878469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5.7411839712528776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7.5624741136902482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6.2661639018808426</v>
      </c>
      <c r="J1170" s="1" cm="1">
        <f t="array" ref="J1170">SUMPRODUCT(("T_C-ICE-GSL-S3"=[1]OUT_TransportEnergyCons!$A$3:$A$1000)*1,("Var_Fin"=[1]OUT_TransportEnergyCons!$B$3:$B$1000)*1,ISNUMBER(SEARCH("GSL",[1]OUT_TransportEnergyCons!$C$3:$C$1000))*1,[1]OUT_TransportEnergyCons!H$3:H$1000)</f>
        <v>2.3141427426220296</v>
      </c>
      <c r="K1170" s="1" cm="1">
        <f t="array" ref="K1170">SUMPRODUCT(("T_C-ICE-GSL-S3"=[1]OUT_TransportEnergyCons!$A$3:$A$1000)*1,("Var_Fin"=[1]OUT_TransportEnergyCons!$B$3:$B$1000)*1,ISNUMBER(SEARCH("GSL",[1]OUT_TransportEnergyCons!$C$3:$C$1000))*1,[1]OUT_TransportEnergyCons!I$3:I$1000)</f>
        <v>0.9718532922155162</v>
      </c>
      <c r="L1170" s="1" cm="1">
        <f t="array" ref="L1170">SUMPRODUCT(("T_C-ICE-GSL-S3"=[1]OUT_TransportEnergyCons!$A$3:$A$1000)*1,("Var_Fin"=[1]OUT_TransportEnergyCons!$B$3:$B$1000)*1,ISNUMBER(SEARCH("GSL",[1]OUT_TransportEnergyCons!$C$3:$C$1000))*1,[1]OUT_TransportEnergyCons!J$3:J$1000)</f>
        <v>0.54669637703049212</v>
      </c>
      <c r="M1170" s="1" cm="1">
        <f t="array" ref="M1170">SUMPRODUCT(("T_C-ICE-GSL-S3"=[1]OUT_TransportEnergyCons!$A$3:$A$1000)*1,("Var_Fin"=[1]OUT_TransportEnergyCons!$B$3:$B$1000)*1,ISNUMBER(SEARCH("GSL",[1]OUT_TransportEnergyCons!$C$3:$C$1000))*1,[1]OUT_TransportEnergyCons!K$3:K$1000)</f>
        <v>1.6478161376826454E-2</v>
      </c>
      <c r="N1170" s="1" cm="1">
        <f t="array" ref="N1170">SUMPRODUCT(("T_C-ICE-GSL-S3"=[1]OUT_TransportEnergyCons!$A$3:$A$1000)*1,("Var_Fin"=[1]OUT_TransportEnergyCons!$B$3:$B$1000)*1,ISNUMBER(SEARCH("GSL",[1]OUT_TransportEnergyCons!$C$3:$C$1000))*1,[1]OUT_TransportEnergyCons!L$3:L$1000)</f>
        <v>3.5296718408840163E-3</v>
      </c>
      <c r="O1170" s="1" cm="1">
        <f t="array" ref="O1170">SUMPRODUCT(("T_C-ICE-GSL-S3"=[1]OUT_TransportEnergyCons!$A$3:$A$1000)*1,("Var_Fin"=[1]OUT_TransportEnergyCons!$B$3:$B$1000)*1,ISNUMBER(SEARCH("GSL",[1]OUT_TransportEnergyCons!$C$3:$C$1000))*1,[1]OUT_TransportEnergyCons!M$3:M$1000)</f>
        <v>2.2492000061473845E-3</v>
      </c>
      <c r="P1170" s="1" cm="1">
        <f t="array" ref="P1170">SUMPRODUCT(("T_C-ICE-GSL-S3"=[1]OUT_TransportEnergyCons!$A$3:$A$1000)*1,("Var_Fin"=[1]OUT_TransportEnergyCons!$B$3:$B$1000)*1,ISNUMBER(SEARCH("GSL",[1]OUT_TransportEnergyCons!$C$3:$C$1000))*1,[1]OUT_TransportEnergyCons!N$3:N$1000)</f>
        <v>2.404271591534893E-3</v>
      </c>
      <c r="Q1170" s="1" cm="1">
        <f t="array" ref="Q1170">SUMPRODUCT(("T_C-ICE-GSL-S3"=[1]OUT_TransportEnergyCons!$A$3:$A$1000)*1,("Var_Fin"=[1]OUT_TransportEnergyCons!$B$3:$B$1000)*1,ISNUMBER(SEARCH("GSL",[1]OUT_TransportEnergyCons!$C$3:$C$1000))*1,[1]OUT_TransportEnergyCons!O$3:O$1000)</f>
        <v>2.5810702628052623E-3</v>
      </c>
      <c r="S1170" s="3"/>
    </row>
    <row r="1171" spans="2:19" x14ac:dyDescent="0.5">
      <c r="B1171" s="5" t="str">
        <f t="shared" si="1358"/>
        <v>SPS1</v>
      </c>
      <c r="C1171" s="5" t="str">
        <f t="shared" si="1359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3.9032072481870652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5.2550572588992148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13.259071660408665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25.498961634479191</v>
      </c>
      <c r="J1171" s="1" cm="1">
        <f t="array" ref="J1171">SUMPRODUCT(("T_C-ICE-GSL-S4"=[1]OUT_TransportEnergyCons!$A$3:$A$1000)*1,("Var_Fin"=[1]OUT_TransportEnergyCons!$B$3:$B$1000)*1,ISNUMBER(SEARCH("GSL",[1]OUT_TransportEnergyCons!$C$3:$C$1000))*1,[1]OUT_TransportEnergyCons!H$3:H$1000)</f>
        <v>32.142434764772794</v>
      </c>
      <c r="K1171" s="1" cm="1">
        <f t="array" ref="K1171">SUMPRODUCT(("T_C-ICE-GSL-S4"=[1]OUT_TransportEnergyCons!$A$3:$A$1000)*1,("Var_Fin"=[1]OUT_TransportEnergyCons!$B$3:$B$1000)*1,ISNUMBER(SEARCH("GSL",[1]OUT_TransportEnergyCons!$C$3:$C$1000))*1,[1]OUT_TransportEnergyCons!I$3:I$1000)</f>
        <v>29.514969191698981</v>
      </c>
      <c r="L1171" s="1" cm="1">
        <f t="array" ref="L1171">SUMPRODUCT(("T_C-ICE-GSL-S4"=[1]OUT_TransportEnergyCons!$A$3:$A$1000)*1,("Var_Fin"=[1]OUT_TransportEnergyCons!$B$3:$B$1000)*1,ISNUMBER(SEARCH("GSL",[1]OUT_TransportEnergyCons!$C$3:$C$1000))*1,[1]OUT_TransportEnergyCons!J$3:J$1000)</f>
        <v>25.947853489373625</v>
      </c>
      <c r="M1171" s="1" cm="1">
        <f t="array" ref="M1171">SUMPRODUCT(("T_C-ICE-GSL-S4"=[1]OUT_TransportEnergyCons!$A$3:$A$1000)*1,("Var_Fin"=[1]OUT_TransportEnergyCons!$B$3:$B$1000)*1,ISNUMBER(SEARCH("GSL",[1]OUT_TransportEnergyCons!$C$3:$C$1000))*1,[1]OUT_TransportEnergyCons!K$3:K$1000)</f>
        <v>22.751483237701187</v>
      </c>
      <c r="N1171" s="1" cm="1">
        <f t="array" ref="N1171">SUMPRODUCT(("T_C-ICE-GSL-S4"=[1]OUT_TransportEnergyCons!$A$3:$A$1000)*1,("Var_Fin"=[1]OUT_TransportEnergyCons!$B$3:$B$1000)*1,ISNUMBER(SEARCH("GSL",[1]OUT_TransportEnergyCons!$C$3:$C$1000))*1,[1]OUT_TransportEnergyCons!L$3:L$1000)</f>
        <v>20.316911354505841</v>
      </c>
      <c r="O1171" s="1" cm="1">
        <f t="array" ref="O1171">SUMPRODUCT(("T_C-ICE-GSL-S4"=[1]OUT_TransportEnergyCons!$A$3:$A$1000)*1,("Var_Fin"=[1]OUT_TransportEnergyCons!$B$3:$B$1000)*1,ISNUMBER(SEARCH("GSL",[1]OUT_TransportEnergyCons!$C$3:$C$1000))*1,[1]OUT_TransportEnergyCons!M$3:M$1000)</f>
        <v>18.040384948565904</v>
      </c>
      <c r="P1171" s="1" cm="1">
        <f t="array" ref="P1171">SUMPRODUCT(("T_C-ICE-GSL-S4"=[1]OUT_TransportEnergyCons!$A$3:$A$1000)*1,("Var_Fin"=[1]OUT_TransportEnergyCons!$B$3:$B$1000)*1,ISNUMBER(SEARCH("GSL",[1]OUT_TransportEnergyCons!$C$3:$C$1000))*1,[1]OUT_TransportEnergyCons!N$3:N$1000)</f>
        <v>16.481423979487307</v>
      </c>
      <c r="Q1171" s="1" cm="1">
        <f t="array" ref="Q1171">SUMPRODUCT(("T_C-ICE-GSL-S4"=[1]OUT_TransportEnergyCons!$A$3:$A$1000)*1,("Var_Fin"=[1]OUT_TransportEnergyCons!$B$3:$B$1000)*1,ISNUMBER(SEARCH("GSL",[1]OUT_TransportEnergyCons!$C$3:$C$1000))*1,[1]OUT_TransportEnergyCons!O$3:O$1000)</f>
        <v>15.306699388487138</v>
      </c>
      <c r="S1171" s="3"/>
    </row>
    <row r="1172" spans="2:19" x14ac:dyDescent="0.5">
      <c r="B1172" s="5" t="str">
        <f t="shared" si="1358"/>
        <v>SPS1</v>
      </c>
      <c r="C1172" s="5" t="str">
        <f t="shared" si="1359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5.287065568758616E-4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0.21362522088053429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0.19927904156277754</v>
      </c>
      <c r="J1172" s="1" cm="1">
        <f t="array" ref="J1172">SUMPRODUCT(("T_C-MHY-GSL-S1"=[1]OUT_TransportEnergyCons!$A$3:$A$1000)*1,("Var_Fin"=[1]OUT_TransportEnergyCons!$B$3:$B$1000)*1,ISNUMBER(SEARCH("GSL",[1]OUT_TransportEnergyCons!$C$3:$C$1000))*1,[1]OUT_TransportEnergyCons!H$3:H$1000)</f>
        <v>0.14365144866216567</v>
      </c>
      <c r="K1172" s="1" cm="1">
        <f t="array" ref="K1172">SUMPRODUCT(("T_C-MHY-GSL-S1"=[1]OUT_TransportEnergyCons!$A$3:$A$1000)*1,("Var_Fin"=[1]OUT_TransportEnergyCons!$B$3:$B$1000)*1,ISNUMBER(SEARCH("GSL",[1]OUT_TransportEnergyCons!$C$3:$C$1000))*1,[1]OUT_TransportEnergyCons!I$3:I$1000)</f>
        <v>2.7984442480860801E-2</v>
      </c>
      <c r="L1172" s="1" cm="1">
        <f t="array" ref="L1172">SUMPRODUCT(("T_C-MHY-GSL-S1"=[1]OUT_TransportEnergyCons!$A$3:$A$1000)*1,("Var_Fin"=[1]OUT_TransportEnergyCons!$B$3:$B$1000)*1,ISNUMBER(SEARCH("GSL",[1]OUT_TransportEnergyCons!$C$3:$C$1000))*1,[1]OUT_TransportEnergyCons!J$3:J$1000)</f>
        <v>1.0546228746054894E-3</v>
      </c>
      <c r="M1172" s="1" cm="1">
        <f t="array" ref="M1172">SUMPRODUCT(("T_C-MHY-GSL-S1"=[1]OUT_TransportEnergyCons!$A$3:$A$1000)*1,("Var_Fin"=[1]OUT_TransportEnergyCons!$B$3:$B$1000)*1,ISNUMBER(SEARCH("GSL",[1]OUT_TransportEnergyCons!$C$3:$C$1000))*1,[1]OUT_TransportEnergyCons!K$3:K$1000)</f>
        <v>7.8538741072699053E-4</v>
      </c>
      <c r="N1172" s="1" cm="1">
        <f t="array" ref="N1172">SUMPRODUCT(("T_C-MHY-GSL-S1"=[1]OUT_TransportEnergyCons!$A$3:$A$1000)*1,("Var_Fin"=[1]OUT_TransportEnergyCons!$B$3:$B$1000)*1,ISNUMBER(SEARCH("GSL",[1]OUT_TransportEnergyCons!$C$3:$C$1000))*1,[1]OUT_TransportEnergyCons!L$3:L$1000)</f>
        <v>5.7700979773411517E-4</v>
      </c>
      <c r="O1172" s="1" cm="1">
        <f t="array" ref="O1172">SUMPRODUCT(("T_C-MHY-GSL-S1"=[1]OUT_TransportEnergyCons!$A$3:$A$1000)*1,("Var_Fin"=[1]OUT_TransportEnergyCons!$B$3:$B$1000)*1,ISNUMBER(SEARCH("GSL",[1]OUT_TransportEnergyCons!$C$3:$C$1000))*1,[1]OUT_TransportEnergyCons!M$3:M$1000)</f>
        <v>8.7601290154534371E-4</v>
      </c>
      <c r="P1172" s="1" cm="1">
        <f t="array" ref="P1172">SUMPRODUCT(("T_C-MHY-GSL-S1"=[1]OUT_TransportEnergyCons!$A$3:$A$1000)*1,("Var_Fin"=[1]OUT_TransportEnergyCons!$B$3:$B$1000)*1,ISNUMBER(SEARCH("GSL",[1]OUT_TransportEnergyCons!$C$3:$C$1000))*1,[1]OUT_TransportEnergyCons!N$3:N$1000)</f>
        <v>2.1295416978715422E-3</v>
      </c>
      <c r="Q1172" s="1" cm="1">
        <f t="array" ref="Q1172">SUMPRODUCT(("T_C-MHY-GSL-S1"=[1]OUT_TransportEnergyCons!$A$3:$A$1000)*1,("Var_Fin"=[1]OUT_TransportEnergyCons!$B$3:$B$1000)*1,ISNUMBER(SEARCH("GSL",[1]OUT_TransportEnergyCons!$C$3:$C$1000))*1,[1]OUT_TransportEnergyCons!O$3:O$1000)</f>
        <v>2.8326311911772368E-3</v>
      </c>
      <c r="S1172" s="3"/>
    </row>
    <row r="1173" spans="2:19" x14ac:dyDescent="0.5">
      <c r="B1173" s="5" t="str">
        <f t="shared" si="1358"/>
        <v>SPS1</v>
      </c>
      <c r="C1173" s="5" t="str">
        <f t="shared" si="1359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4.2509709292458126E-4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5.2216076505128012E-3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6.5661637246925142E-3</v>
      </c>
      <c r="J1173" s="1" cm="1">
        <f t="array" ref="J1173">SUMPRODUCT(("T_C-MHY-GSL-S2"=[1]OUT_TransportEnergyCons!$A$3:$A$1000)*1,("Var_Fin"=[1]OUT_TransportEnergyCons!$B$3:$B$1000)*1,ISNUMBER(SEARCH("GSL",[1]OUT_TransportEnergyCons!$C$3:$C$1000))*1,[1]OUT_TransportEnergyCons!H$3:H$1000)</f>
        <v>5.8277169841480982E-3</v>
      </c>
      <c r="K1173" s="1" cm="1">
        <f t="array" ref="K1173">SUMPRODUCT(("T_C-MHY-GSL-S2"=[1]OUT_TransportEnergyCons!$A$3:$A$1000)*1,("Var_Fin"=[1]OUT_TransportEnergyCons!$B$3:$B$1000)*1,ISNUMBER(SEARCH("GSL",[1]OUT_TransportEnergyCons!$C$3:$C$1000))*1,[1]OUT_TransportEnergyCons!I$3:I$1000)</f>
        <v>3.3651950538923481E-3</v>
      </c>
      <c r="L1173" s="1" cm="1">
        <f t="array" ref="L1173">SUMPRODUCT(("T_C-MHY-GSL-S2"=[1]OUT_TransportEnergyCons!$A$3:$A$1000)*1,("Var_Fin"=[1]OUT_TransportEnergyCons!$B$3:$B$1000)*1,ISNUMBER(SEARCH("GSL",[1]OUT_TransportEnergyCons!$C$3:$C$1000))*1,[1]OUT_TransportEnergyCons!J$3:J$1000)</f>
        <v>1.8235469050112082E-3</v>
      </c>
      <c r="M1173" s="1" cm="1">
        <f t="array" ref="M1173">SUMPRODUCT(("T_C-MHY-GSL-S2"=[1]OUT_TransportEnergyCons!$A$3:$A$1000)*1,("Var_Fin"=[1]OUT_TransportEnergyCons!$B$3:$B$1000)*1,ISNUMBER(SEARCH("GSL",[1]OUT_TransportEnergyCons!$C$3:$C$1000))*1,[1]OUT_TransportEnergyCons!K$3:K$1000)</f>
        <v>1.4327235646977353E-3</v>
      </c>
      <c r="N1173" s="1" cm="1">
        <f t="array" ref="N1173">SUMPRODUCT(("T_C-MHY-GSL-S2"=[1]OUT_TransportEnergyCons!$A$3:$A$1000)*1,("Var_Fin"=[1]OUT_TransportEnergyCons!$B$3:$B$1000)*1,ISNUMBER(SEARCH("GSL",[1]OUT_TransportEnergyCons!$C$3:$C$1000))*1,[1]OUT_TransportEnergyCons!L$3:L$1000)</f>
        <v>1.1271892175852987E-3</v>
      </c>
      <c r="O1173" s="1" cm="1">
        <f t="array" ref="O1173">SUMPRODUCT(("T_C-MHY-GSL-S2"=[1]OUT_TransportEnergyCons!$A$3:$A$1000)*1,("Var_Fin"=[1]OUT_TransportEnergyCons!$B$3:$B$1000)*1,ISNUMBER(SEARCH("GSL",[1]OUT_TransportEnergyCons!$C$3:$C$1000))*1,[1]OUT_TransportEnergyCons!M$3:M$1000)</f>
        <v>1.5268457692297899E-3</v>
      </c>
      <c r="P1173" s="1" cm="1">
        <f t="array" ref="P1173">SUMPRODUCT(("T_C-MHY-GSL-S2"=[1]OUT_TransportEnergyCons!$A$3:$A$1000)*1,("Var_Fin"=[1]OUT_TransportEnergyCons!$B$3:$B$1000)*1,ISNUMBER(SEARCH("GSL",[1]OUT_TransportEnergyCons!$C$3:$C$1000))*1,[1]OUT_TransportEnergyCons!N$3:N$1000)</f>
        <v>2.3660083857006083E-3</v>
      </c>
      <c r="Q1173" s="1" cm="1">
        <f t="array" ref="Q1173">SUMPRODUCT(("T_C-MHY-GSL-S2"=[1]OUT_TransportEnergyCons!$A$3:$A$1000)*1,("Var_Fin"=[1]OUT_TransportEnergyCons!$B$3:$B$1000)*1,ISNUMBER(SEARCH("GSL",[1]OUT_TransportEnergyCons!$C$3:$C$1000))*1,[1]OUT_TransportEnergyCons!O$3:O$1000)</f>
        <v>2.6512551279878845E-3</v>
      </c>
      <c r="S1173" s="3"/>
    </row>
    <row r="1174" spans="2:19" x14ac:dyDescent="0.5">
      <c r="B1174" s="5" t="str">
        <f t="shared" si="1358"/>
        <v>SPS1</v>
      </c>
      <c r="C1174" s="5" t="str">
        <f t="shared" si="1359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6.7180516142249477E-4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3.8087735383467271E-3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5.3934826387267692E-3</v>
      </c>
      <c r="J1174" s="1" cm="1">
        <f t="array" ref="J1174">SUMPRODUCT(("T_C-MHY-GSL-S3"=[1]OUT_TransportEnergyCons!$A$3:$A$1000)*1,("Var_Fin"=[1]OUT_TransportEnergyCons!$B$3:$B$1000)*1,ISNUMBER(SEARCH("GSL",[1]OUT_TransportEnergyCons!$C$3:$C$1000))*1,[1]OUT_TransportEnergyCons!H$3:H$1000)</f>
        <v>4.8101299331856926E-3</v>
      </c>
      <c r="K1174" s="1" cm="1">
        <f t="array" ref="K1174">SUMPRODUCT(("T_C-MHY-GSL-S3"=[1]OUT_TransportEnergyCons!$A$3:$A$1000)*1,("Var_Fin"=[1]OUT_TransportEnergyCons!$B$3:$B$1000)*1,ISNUMBER(SEARCH("GSL",[1]OUT_TransportEnergyCons!$C$3:$C$1000))*1,[1]OUT_TransportEnergyCons!I$3:I$1000)</f>
        <v>3.223594887000805E-3</v>
      </c>
      <c r="L1174" s="1" cm="1">
        <f t="array" ref="L1174">SUMPRODUCT(("T_C-MHY-GSL-S3"=[1]OUT_TransportEnergyCons!$A$3:$A$1000)*1,("Var_Fin"=[1]OUT_TransportEnergyCons!$B$3:$B$1000)*1,ISNUMBER(SEARCH("GSL",[1]OUT_TransportEnergyCons!$C$3:$C$1000))*1,[1]OUT_TransportEnergyCons!J$3:J$1000)</f>
        <v>2.395140027943892E-3</v>
      </c>
      <c r="M1174" s="1" cm="1">
        <f t="array" ref="M1174">SUMPRODUCT(("T_C-MHY-GSL-S3"=[1]OUT_TransportEnergyCons!$A$3:$A$1000)*1,("Var_Fin"=[1]OUT_TransportEnergyCons!$B$3:$B$1000)*1,ISNUMBER(SEARCH("GSL",[1]OUT_TransportEnergyCons!$C$3:$C$1000))*1,[1]OUT_TransportEnergyCons!K$3:K$1000)</f>
        <v>2.2404085988186493E-3</v>
      </c>
      <c r="N1174" s="1" cm="1">
        <f t="array" ref="N1174">SUMPRODUCT(("T_C-MHY-GSL-S3"=[1]OUT_TransportEnergyCons!$A$3:$A$1000)*1,("Var_Fin"=[1]OUT_TransportEnergyCons!$B$3:$B$1000)*1,ISNUMBER(SEARCH("GSL",[1]OUT_TransportEnergyCons!$C$3:$C$1000))*1,[1]OUT_TransportEnergyCons!L$3:L$1000)</f>
        <v>1.8825337968505764E-3</v>
      </c>
      <c r="O1174" s="1" cm="1">
        <f t="array" ref="O1174">SUMPRODUCT(("T_C-MHY-GSL-S3"=[1]OUT_TransportEnergyCons!$A$3:$A$1000)*1,("Var_Fin"=[1]OUT_TransportEnergyCons!$B$3:$B$1000)*1,ISNUMBER(SEARCH("GSL",[1]OUT_TransportEnergyCons!$C$3:$C$1000))*1,[1]OUT_TransportEnergyCons!M$3:M$1000)</f>
        <v>2.5155374994169444E-3</v>
      </c>
      <c r="P1174" s="1" cm="1">
        <f t="array" ref="P1174">SUMPRODUCT(("T_C-MHY-GSL-S3"=[1]OUT_TransportEnergyCons!$A$3:$A$1000)*1,("Var_Fin"=[1]OUT_TransportEnergyCons!$B$3:$B$1000)*1,ISNUMBER(SEARCH("GSL",[1]OUT_TransportEnergyCons!$C$3:$C$1000))*1,[1]OUT_TransportEnergyCons!N$3:N$1000)</f>
        <v>3.7066697126899389E-3</v>
      </c>
      <c r="Q1174" s="1" cm="1">
        <f t="array" ref="Q1174">SUMPRODUCT(("T_C-MHY-GSL-S3"=[1]OUT_TransportEnergyCons!$A$3:$A$1000)*1,("Var_Fin"=[1]OUT_TransportEnergyCons!$B$3:$B$1000)*1,ISNUMBER(SEARCH("GSL",[1]OUT_TransportEnergyCons!$C$3:$C$1000))*1,[1]OUT_TransportEnergyCons!O$3:O$1000)</f>
        <v>3.6645736240716446E-3</v>
      </c>
      <c r="S1174" s="3"/>
    </row>
    <row r="1175" spans="2:19" x14ac:dyDescent="0.5">
      <c r="B1175" s="5" t="str">
        <f t="shared" si="1358"/>
        <v>SPS1</v>
      </c>
      <c r="C1175" s="5" t="str">
        <f t="shared" si="1359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8.8495283000311425E-4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0.99754893232783148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3.9961716679066743</v>
      </c>
      <c r="J1175" s="1" cm="1">
        <f t="array" ref="J1175">SUMPRODUCT(("T_C-MHY-GSL-S4"=[1]OUT_TransportEnergyCons!$A$3:$A$1000)*1,("Var_Fin"=[1]OUT_TransportEnergyCons!$B$3:$B$1000)*1,ISNUMBER(SEARCH("GSL",[1]OUT_TransportEnergyCons!$C$3:$C$1000))*1,[1]OUT_TransportEnergyCons!H$3:H$1000)</f>
        <v>3.6691428084583642</v>
      </c>
      <c r="K1175" s="1" cm="1">
        <f t="array" ref="K1175">SUMPRODUCT(("T_C-MHY-GSL-S4"=[1]OUT_TransportEnergyCons!$A$3:$A$1000)*1,("Var_Fin"=[1]OUT_TransportEnergyCons!$B$3:$B$1000)*1,ISNUMBER(SEARCH("GSL",[1]OUT_TransportEnergyCons!$C$3:$C$1000))*1,[1]OUT_TransportEnergyCons!I$3:I$1000)</f>
        <v>3.8008059209296454</v>
      </c>
      <c r="L1175" s="1" cm="1">
        <f t="array" ref="L1175">SUMPRODUCT(("T_C-MHY-GSL-S4"=[1]OUT_TransportEnergyCons!$A$3:$A$1000)*1,("Var_Fin"=[1]OUT_TransportEnergyCons!$B$3:$B$1000)*1,ISNUMBER(SEARCH("GSL",[1]OUT_TransportEnergyCons!$C$3:$C$1000))*1,[1]OUT_TransportEnergyCons!J$3:J$1000)</f>
        <v>3.6052468444649848</v>
      </c>
      <c r="M1175" s="1" cm="1">
        <f t="array" ref="M1175">SUMPRODUCT(("T_C-MHY-GSL-S4"=[1]OUT_TransportEnergyCons!$A$3:$A$1000)*1,("Var_Fin"=[1]OUT_TransportEnergyCons!$B$3:$B$1000)*1,ISNUMBER(SEARCH("GSL",[1]OUT_TransportEnergyCons!$C$3:$C$1000))*1,[1]OUT_TransportEnergyCons!K$3:K$1000)</f>
        <v>3.4597262005996638</v>
      </c>
      <c r="N1175" s="1" cm="1">
        <f t="array" ref="N1175">SUMPRODUCT(("T_C-MHY-GSL-S4"=[1]OUT_TransportEnergyCons!$A$3:$A$1000)*1,("Var_Fin"=[1]OUT_TransportEnergyCons!$B$3:$B$1000)*1,ISNUMBER(SEARCH("GSL",[1]OUT_TransportEnergyCons!$C$3:$C$1000))*1,[1]OUT_TransportEnergyCons!L$3:L$1000)</f>
        <v>3.2958039339856535</v>
      </c>
      <c r="O1175" s="1" cm="1">
        <f t="array" ref="O1175">SUMPRODUCT(("T_C-MHY-GSL-S4"=[1]OUT_TransportEnergyCons!$A$3:$A$1000)*1,("Var_Fin"=[1]OUT_TransportEnergyCons!$B$3:$B$1000)*1,ISNUMBER(SEARCH("GSL",[1]OUT_TransportEnergyCons!$C$3:$C$1000))*1,[1]OUT_TransportEnergyCons!M$3:M$1000)</f>
        <v>3.182919122170067</v>
      </c>
      <c r="P1175" s="1" cm="1">
        <f t="array" ref="P1175">SUMPRODUCT(("T_C-MHY-GSL-S4"=[1]OUT_TransportEnergyCons!$A$3:$A$1000)*1,("Var_Fin"=[1]OUT_TransportEnergyCons!$B$3:$B$1000)*1,ISNUMBER(SEARCH("GSL",[1]OUT_TransportEnergyCons!$C$3:$C$1000))*1,[1]OUT_TransportEnergyCons!N$3:N$1000)</f>
        <v>3.0982021175837176</v>
      </c>
      <c r="Q1175" s="1" cm="1">
        <f t="array" ref="Q1175">SUMPRODUCT(("T_C-MHY-GSL-S4"=[1]OUT_TransportEnergyCons!$A$3:$A$1000)*1,("Var_Fin"=[1]OUT_TransportEnergyCons!$B$3:$B$1000)*1,ISNUMBER(SEARCH("GSL",[1]OUT_TransportEnergyCons!$C$3:$C$1000))*1,[1]OUT_TransportEnergyCons!O$3:O$1000)</f>
        <v>3.0547782317637151</v>
      </c>
      <c r="S1175" s="3"/>
    </row>
    <row r="1176" spans="2:19" x14ac:dyDescent="0.5">
      <c r="B1176" s="5" t="str">
        <f t="shared" si="1358"/>
        <v>SPS1</v>
      </c>
      <c r="C1176" s="5" t="str">
        <f t="shared" si="1359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3.0324009456596295E-4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8.1102151621157336E-4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9.7920582645405528E-4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9.6594955620467945E-4</v>
      </c>
      <c r="J1176" s="1" cm="1">
        <f t="array" ref="J1176">SUMPRODUCT(("T-Plg-GSL-mix_S1"=[1]OUT_TransportEnergyCons!$A$3:$A$1000)*1,("Var_Fin"=[1]OUT_TransportEnergyCons!$B$3:$B$1000)*1,ISNUMBER(SEARCH("GSL",[1]OUT_TransportEnergyCons!$C$3:$C$1000))*1,[1]OUT_TransportEnergyCons!H$3:H$1000)</f>
        <v>7.8682268599069671E-4</v>
      </c>
      <c r="K1176" s="1" cm="1">
        <f t="array" ref="K1176">SUMPRODUCT(("T-Plg-GSL-mix_S1"=[1]OUT_TransportEnergyCons!$A$3:$A$1000)*1,("Var_Fin"=[1]OUT_TransportEnergyCons!$B$3:$B$1000)*1,ISNUMBER(SEARCH("GSL",[1]OUT_TransportEnergyCons!$C$3:$C$1000))*1,[1]OUT_TransportEnergyCons!I$3:I$1000)</f>
        <v>7.1093841037321906E-4</v>
      </c>
      <c r="L1176" s="1" cm="1">
        <f t="array" ref="L1176">SUMPRODUCT(("T-Plg-GSL-mix_S1"=[1]OUT_TransportEnergyCons!$A$3:$A$1000)*1,("Var_Fin"=[1]OUT_TransportEnergyCons!$B$3:$B$1000)*1,ISNUMBER(SEARCH("GSL",[1]OUT_TransportEnergyCons!$C$3:$C$1000))*1,[1]OUT_TransportEnergyCons!J$3:J$1000)</f>
        <v>8.4301690016034755E-4</v>
      </c>
      <c r="M1176" s="1" cm="1">
        <f t="array" ref="M1176">SUMPRODUCT(("T-Plg-GSL-mix_S1"=[1]OUT_TransportEnergyCons!$A$3:$A$1000)*1,("Var_Fin"=[1]OUT_TransportEnergyCons!$B$3:$B$1000)*1,ISNUMBER(SEARCH("GSL",[1]OUT_TransportEnergyCons!$C$3:$C$1000))*1,[1]OUT_TransportEnergyCons!K$3:K$1000)</f>
        <v>6.4786025660470579E-4</v>
      </c>
      <c r="N1176" s="1" cm="1">
        <f t="array" ref="N1176">SUMPRODUCT(("T-Plg-GSL-mix_S1"=[1]OUT_TransportEnergyCons!$A$3:$A$1000)*1,("Var_Fin"=[1]OUT_TransportEnergyCons!$B$3:$B$1000)*1,ISNUMBER(SEARCH("GSL",[1]OUT_TransportEnergyCons!$C$3:$C$1000))*1,[1]OUT_TransportEnergyCons!L$3:L$1000)</f>
        <v>1.1968281605258028E-3</v>
      </c>
      <c r="O1176" s="1" cm="1">
        <f t="array" ref="O1176">SUMPRODUCT(("T-Plg-GSL-mix_S1"=[1]OUT_TransportEnergyCons!$A$3:$A$1000)*1,("Var_Fin"=[1]OUT_TransportEnergyCons!$B$3:$B$1000)*1,ISNUMBER(SEARCH("GSL",[1]OUT_TransportEnergyCons!$C$3:$C$1000))*1,[1]OUT_TransportEnergyCons!M$3:M$1000)</f>
        <v>2.2432768133429761E-3</v>
      </c>
      <c r="P1176" s="1" cm="1">
        <f t="array" ref="P1176">SUMPRODUCT(("T-Plg-GSL-mix_S1"=[1]OUT_TransportEnergyCons!$A$3:$A$1000)*1,("Var_Fin"=[1]OUT_TransportEnergyCons!$B$3:$B$1000)*1,ISNUMBER(SEARCH("GSL",[1]OUT_TransportEnergyCons!$C$3:$C$1000))*1,[1]OUT_TransportEnergyCons!N$3:N$1000)</f>
        <v>3.3035942467496133E-3</v>
      </c>
      <c r="Q1176" s="1" cm="1">
        <f t="array" ref="Q1176">SUMPRODUCT(("T-Plg-GSL-mix_S1"=[1]OUT_TransportEnergyCons!$A$3:$A$1000)*1,("Var_Fin"=[1]OUT_TransportEnergyCons!$B$3:$B$1000)*1,ISNUMBER(SEARCH("GSL",[1]OUT_TransportEnergyCons!$C$3:$C$1000))*1,[1]OUT_TransportEnergyCons!O$3:O$1000)</f>
        <v>5.0522327234742183E-3</v>
      </c>
      <c r="S1176" s="3"/>
    </row>
    <row r="1177" spans="2:19" x14ac:dyDescent="0.5">
      <c r="B1177" s="5" t="str">
        <f t="shared" si="1358"/>
        <v>SPS1</v>
      </c>
      <c r="C1177" s="5" t="str">
        <f t="shared" si="1359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8.4784238759082795E-2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0.16697374179666225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0.16118533179049341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0.13064856941398431</v>
      </c>
      <c r="J1177" s="1" cm="1">
        <f t="array" ref="J1177">SUMPRODUCT(("T-Plg-GSL-mix_S2"=[1]OUT_TransportEnergyCons!$A$3:$A$1000)*1,("Var_Fin"=[1]OUT_TransportEnergyCons!$B$3:$B$1000)*1,ISNUMBER(SEARCH("GSL",[1]OUT_TransportEnergyCons!$C$3:$C$1000))*1,[1]OUT_TransportEnergyCons!H$3:H$1000)</f>
        <v>1.4162162043245356E-2</v>
      </c>
      <c r="K1177" s="1" cm="1">
        <f t="array" ref="K1177">SUMPRODUCT(("T-Plg-GSL-mix_S2"=[1]OUT_TransportEnergyCons!$A$3:$A$1000)*1,("Var_Fin"=[1]OUT_TransportEnergyCons!$B$3:$B$1000)*1,ISNUMBER(SEARCH("GSL",[1]OUT_TransportEnergyCons!$C$3:$C$1000))*1,[1]OUT_TransportEnergyCons!I$3:I$1000)</f>
        <v>3.0944478261565379E-3</v>
      </c>
      <c r="L1177" s="1" cm="1">
        <f t="array" ref="L1177">SUMPRODUCT(("T-Plg-GSL-mix_S2"=[1]OUT_TransportEnergyCons!$A$3:$A$1000)*1,("Var_Fin"=[1]OUT_TransportEnergyCons!$B$3:$B$1000)*1,ISNUMBER(SEARCH("GSL",[1]OUT_TransportEnergyCons!$C$3:$C$1000))*1,[1]OUT_TransportEnergyCons!J$3:J$1000)</f>
        <v>2.8159656693087527E-3</v>
      </c>
      <c r="M1177" s="1" cm="1">
        <f t="array" ref="M1177">SUMPRODUCT(("T-Plg-GSL-mix_S2"=[1]OUT_TransportEnergyCons!$A$3:$A$1000)*1,("Var_Fin"=[1]OUT_TransportEnergyCons!$B$3:$B$1000)*1,ISNUMBER(SEARCH("GSL",[1]OUT_TransportEnergyCons!$C$3:$C$1000))*1,[1]OUT_TransportEnergyCons!K$3:K$1000)</f>
        <v>1.7678097875394321E-3</v>
      </c>
      <c r="N1177" s="1" cm="1">
        <f t="array" ref="N1177">SUMPRODUCT(("T-Plg-GSL-mix_S2"=[1]OUT_TransportEnergyCons!$A$3:$A$1000)*1,("Var_Fin"=[1]OUT_TransportEnergyCons!$B$3:$B$1000)*1,ISNUMBER(SEARCH("GSL",[1]OUT_TransportEnergyCons!$C$3:$C$1000))*1,[1]OUT_TransportEnergyCons!L$3:L$1000)</f>
        <v>2.9886232155260542E-3</v>
      </c>
      <c r="O1177" s="1" cm="1">
        <f t="array" ref="O1177">SUMPRODUCT(("T-Plg-GSL-mix_S2"=[1]OUT_TransportEnergyCons!$A$3:$A$1000)*1,("Var_Fin"=[1]OUT_TransportEnergyCons!$B$3:$B$1000)*1,ISNUMBER(SEARCH("GSL",[1]OUT_TransportEnergyCons!$C$3:$C$1000))*1,[1]OUT_TransportEnergyCons!M$3:M$1000)</f>
        <v>8.4750193343881661E-2</v>
      </c>
      <c r="P1177" s="1" cm="1">
        <f t="array" ref="P1177">SUMPRODUCT(("T-Plg-GSL-mix_S2"=[1]OUT_TransportEnergyCons!$A$3:$A$1000)*1,("Var_Fin"=[1]OUT_TransportEnergyCons!$B$3:$B$1000)*1,ISNUMBER(SEARCH("GSL",[1]OUT_TransportEnergyCons!$C$3:$C$1000))*1,[1]OUT_TransportEnergyCons!N$3:N$1000)</f>
        <v>0.1908123275290293</v>
      </c>
      <c r="Q1177" s="1" cm="1">
        <f t="array" ref="Q1177">SUMPRODUCT(("T-Plg-GSL-mix_S2"=[1]OUT_TransportEnergyCons!$A$3:$A$1000)*1,("Var_Fin"=[1]OUT_TransportEnergyCons!$B$3:$B$1000)*1,ISNUMBER(SEARCH("GSL",[1]OUT_TransportEnergyCons!$C$3:$C$1000))*1,[1]OUT_TransportEnergyCons!O$3:O$1000)</f>
        <v>0.23029832726136168</v>
      </c>
      <c r="S1177" s="3"/>
    </row>
    <row r="1178" spans="2:19" x14ac:dyDescent="0.5">
      <c r="B1178" s="5" t="str">
        <f t="shared" si="1358"/>
        <v>SPS1</v>
      </c>
      <c r="C1178" s="5" t="str">
        <f t="shared" si="1359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8.9914022149498674E-2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0.2452194178961889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0.89003509803387382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0.88852458598262463</v>
      </c>
      <c r="J1178" s="1" cm="1">
        <f t="array" ref="J1178">SUMPRODUCT(("T-Plg-GSL-mix_S3"=[1]OUT_TransportEnergyCons!$A$3:$A$1000)*1,("Var_Fin"=[1]OUT_TransportEnergyCons!$B$3:$B$1000)*1,ISNUMBER(SEARCH("GSL",[1]OUT_TransportEnergyCons!$C$3:$C$1000))*1,[1]OUT_TransportEnergyCons!H$3:H$1000)</f>
        <v>0.98405081425454421</v>
      </c>
      <c r="K1178" s="1" cm="1">
        <f t="array" ref="K1178">SUMPRODUCT(("T-Plg-GSL-mix_S3"=[1]OUT_TransportEnergyCons!$A$3:$A$1000)*1,("Var_Fin"=[1]OUT_TransportEnergyCons!$B$3:$B$1000)*1,ISNUMBER(SEARCH("GSL",[1]OUT_TransportEnergyCons!$C$3:$C$1000))*1,[1]OUT_TransportEnergyCons!I$3:I$1000)</f>
        <v>0.47772329542101649</v>
      </c>
      <c r="L1178" s="1" cm="1">
        <f t="array" ref="L1178">SUMPRODUCT(("T-Plg-GSL-mix_S3"=[1]OUT_TransportEnergyCons!$A$3:$A$1000)*1,("Var_Fin"=[1]OUT_TransportEnergyCons!$B$3:$B$1000)*1,ISNUMBER(SEARCH("GSL",[1]OUT_TransportEnergyCons!$C$3:$C$1000))*1,[1]OUT_TransportEnergyCons!J$3:J$1000)</f>
        <v>0.35159196500183199</v>
      </c>
      <c r="M1178" s="1" cm="1">
        <f t="array" ref="M1178">SUMPRODUCT(("T-Plg-GSL-mix_S3"=[1]OUT_TransportEnergyCons!$A$3:$A$1000)*1,("Var_Fin"=[1]OUT_TransportEnergyCons!$B$3:$B$1000)*1,ISNUMBER(SEARCH("GSL",[1]OUT_TransportEnergyCons!$C$3:$C$1000))*1,[1]OUT_TransportEnergyCons!K$3:K$1000)</f>
        <v>0.10076075229473194</v>
      </c>
      <c r="N1178" s="1" cm="1">
        <f t="array" ref="N1178">SUMPRODUCT(("T-Plg-GSL-mix_S3"=[1]OUT_TransportEnergyCons!$A$3:$A$1000)*1,("Var_Fin"=[1]OUT_TransportEnergyCons!$B$3:$B$1000)*1,ISNUMBER(SEARCH("GSL",[1]OUT_TransportEnergyCons!$C$3:$C$1000))*1,[1]OUT_TransportEnergyCons!L$3:L$1000)</f>
        <v>0.24403885312094448</v>
      </c>
      <c r="O1178" s="1" cm="1">
        <f t="array" ref="O1178">SUMPRODUCT(("T-Plg-GSL-mix_S3"=[1]OUT_TransportEnergyCons!$A$3:$A$1000)*1,("Var_Fin"=[1]OUT_TransportEnergyCons!$B$3:$B$1000)*1,ISNUMBER(SEARCH("GSL",[1]OUT_TransportEnergyCons!$C$3:$C$1000))*1,[1]OUT_TransportEnergyCons!M$3:M$1000)</f>
        <v>0.20620667575753546</v>
      </c>
      <c r="P1178" s="1" cm="1">
        <f t="array" ref="P1178">SUMPRODUCT(("T-Plg-GSL-mix_S3"=[1]OUT_TransportEnergyCons!$A$3:$A$1000)*1,("Var_Fin"=[1]OUT_TransportEnergyCons!$B$3:$B$1000)*1,ISNUMBER(SEARCH("GSL",[1]OUT_TransportEnergyCons!$C$3:$C$1000))*1,[1]OUT_TransportEnergyCons!N$3:N$1000)</f>
        <v>0.15261347538654718</v>
      </c>
      <c r="Q1178" s="1" cm="1">
        <f t="array" ref="Q1178">SUMPRODUCT(("T-Plg-GSL-mix_S3"=[1]OUT_TransportEnergyCons!$A$3:$A$1000)*1,("Var_Fin"=[1]OUT_TransportEnergyCons!$B$3:$B$1000)*1,ISNUMBER(SEARCH("GSL",[1]OUT_TransportEnergyCons!$C$3:$C$1000))*1,[1]OUT_TransportEnergyCons!O$3:O$1000)</f>
        <v>2.9821500643772564E-2</v>
      </c>
      <c r="S1178" s="3"/>
    </row>
    <row r="1179" spans="2:19" x14ac:dyDescent="0.5">
      <c r="B1179" s="5" t="str">
        <f t="shared" si="1358"/>
        <v>SPS1</v>
      </c>
      <c r="C1179" s="5" t="str">
        <f t="shared" si="1359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0.17069196691923716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0.30534198435922555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0.29349474323718605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0.2347483956320971</v>
      </c>
      <c r="J1179" s="1" cm="1">
        <f t="array" ref="J1179">SUMPRODUCT(("T-Plg-GSL-mix_S4"=[1]OUT_TransportEnergyCons!$A$3:$A$1000)*1,("Var_Fin"=[1]OUT_TransportEnergyCons!$B$3:$B$1000)*1,ISNUMBER(SEARCH("GSL",[1]OUT_TransportEnergyCons!$C$3:$C$1000))*1,[1]OUT_TransportEnergyCons!H$3:H$1000)</f>
        <v>3.4983253958195133E-2</v>
      </c>
      <c r="K1179" s="1" cm="1">
        <f t="array" ref="K1179">SUMPRODUCT(("T-Plg-GSL-mix_S4"=[1]OUT_TransportEnergyCons!$A$3:$A$1000)*1,("Var_Fin"=[1]OUT_TransportEnergyCons!$B$3:$B$1000)*1,ISNUMBER(SEARCH("GSL",[1]OUT_TransportEnergyCons!$C$3:$C$1000))*1,[1]OUT_TransportEnergyCons!I$3:I$1000)</f>
        <v>7.9504696891282527E-3</v>
      </c>
      <c r="L1179" s="1" cm="1">
        <f t="array" ref="L1179">SUMPRODUCT(("T-Plg-GSL-mix_S4"=[1]OUT_TransportEnergyCons!$A$3:$A$1000)*1,("Var_Fin"=[1]OUT_TransportEnergyCons!$B$3:$B$1000)*1,ISNUMBER(SEARCH("GSL",[1]OUT_TransportEnergyCons!$C$3:$C$1000))*1,[1]OUT_TransportEnergyCons!J$3:J$1000)</f>
        <v>1.1939208680197507E-2</v>
      </c>
      <c r="M1179" s="1" cm="1">
        <f t="array" ref="M1179">SUMPRODUCT(("T-Plg-GSL-mix_S4"=[1]OUT_TransportEnergyCons!$A$3:$A$1000)*1,("Var_Fin"=[1]OUT_TransportEnergyCons!$B$3:$B$1000)*1,ISNUMBER(SEARCH("GSL",[1]OUT_TransportEnergyCons!$C$3:$C$1000))*1,[1]OUT_TransportEnergyCons!K$3:K$1000)</f>
        <v>6.5210250187793832E-3</v>
      </c>
      <c r="N1179" s="1" cm="1">
        <f t="array" ref="N1179">SUMPRODUCT(("T-Plg-GSL-mix_S4"=[1]OUT_TransportEnergyCons!$A$3:$A$1000)*1,("Var_Fin"=[1]OUT_TransportEnergyCons!$B$3:$B$1000)*1,ISNUMBER(SEARCH("GSL",[1]OUT_TransportEnergyCons!$C$3:$C$1000))*1,[1]OUT_TransportEnergyCons!L$3:L$1000)</f>
        <v>0.13728858658216386</v>
      </c>
      <c r="O1179" s="1" cm="1">
        <f t="array" ref="O1179">SUMPRODUCT(("T-Plg-GSL-mix_S4"=[1]OUT_TransportEnergyCons!$A$3:$A$1000)*1,("Var_Fin"=[1]OUT_TransportEnergyCons!$B$3:$B$1000)*1,ISNUMBER(SEARCH("GSL",[1]OUT_TransportEnergyCons!$C$3:$C$1000))*1,[1]OUT_TransportEnergyCons!M$3:M$1000)</f>
        <v>0.12804639556018335</v>
      </c>
      <c r="P1179" s="1" cm="1">
        <f t="array" ref="P1179">SUMPRODUCT(("T-Plg-GSL-mix_S4"=[1]OUT_TransportEnergyCons!$A$3:$A$1000)*1,("Var_Fin"=[1]OUT_TransportEnergyCons!$B$3:$B$1000)*1,ISNUMBER(SEARCH("GSL",[1]OUT_TransportEnergyCons!$C$3:$C$1000))*1,[1]OUT_TransportEnergyCons!N$3:N$1000)</f>
        <v>8.7595687951161488E-2</v>
      </c>
      <c r="Q1179" s="1" cm="1">
        <f t="array" ref="Q1179">SUMPRODUCT(("T-Plg-GSL-mix_S4"=[1]OUT_TransportEnergyCons!$A$3:$A$1000)*1,("Var_Fin"=[1]OUT_TransportEnergyCons!$B$3:$B$1000)*1,ISNUMBER(SEARCH("GSL",[1]OUT_TransportEnergyCons!$C$3:$C$1000))*1,[1]OUT_TransportEnergyCons!O$3:O$1000)</f>
        <v>0.5241764354614511</v>
      </c>
      <c r="S1179" s="3"/>
    </row>
    <row r="1180" spans="2:19" x14ac:dyDescent="0.5">
      <c r="B1180" s="5" t="str">
        <f t="shared" si="1358"/>
        <v>SPS1</v>
      </c>
      <c r="C1180" s="5" t="str">
        <f t="shared" si="1359"/>
        <v>CH</v>
      </c>
      <c r="D1180" t="s">
        <v>1280</v>
      </c>
      <c r="E1180" t="s">
        <v>8</v>
      </c>
      <c r="F1180" s="1">
        <f>SUM(F1185:F1202)</f>
        <v>60.39861089659211</v>
      </c>
      <c r="G1180" s="1">
        <f t="shared" ref="G1180:K1180" si="1375">SUM(G1185:G1202)</f>
        <v>59.260451251877683</v>
      </c>
      <c r="H1180" s="1">
        <f t="shared" si="1375"/>
        <v>48.175036893497428</v>
      </c>
      <c r="I1180" s="1">
        <f t="shared" si="1375"/>
        <v>32.018649836296746</v>
      </c>
      <c r="J1180" s="1">
        <f t="shared" si="1375"/>
        <v>15.851969832760965</v>
      </c>
      <c r="K1180" s="1">
        <f t="shared" si="1375"/>
        <v>14.047031477011778</v>
      </c>
      <c r="L1180" s="1">
        <f t="shared" ref="L1180:O1180" si="1376">SUM(L1185:L1202)</f>
        <v>10.696871963264726</v>
      </c>
      <c r="M1180" s="1">
        <f t="shared" si="1376"/>
        <v>8.4666373722243371</v>
      </c>
      <c r="N1180" s="1">
        <f t="shared" si="1376"/>
        <v>7.1650889977158636</v>
      </c>
      <c r="O1180" s="1">
        <f t="shared" si="1376"/>
        <v>6.4737992450339803</v>
      </c>
      <c r="P1180" s="1">
        <f>SUM(P1185:P1202)</f>
        <v>6.0584567342467164</v>
      </c>
      <c r="Q1180" s="1">
        <f>SUM(Q1185:Q1202)</f>
        <v>5.8236210486823783</v>
      </c>
      <c r="S1180" s="3"/>
    </row>
    <row r="1181" spans="2:19" x14ac:dyDescent="0.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58.899684691248659</v>
      </c>
      <c r="G1181" s="1">
        <f t="shared" ref="G1181:K1181" si="1377">IF(G1180-G1182&lt;0,0,G1180-G1182)</f>
        <v>57.708772092255849</v>
      </c>
      <c r="H1181" s="1">
        <f t="shared" si="1377"/>
        <v>46.013757984105915</v>
      </c>
      <c r="I1181" s="1">
        <f t="shared" si="1377"/>
        <v>30.985769719492183</v>
      </c>
      <c r="J1181" s="1">
        <f t="shared" si="1377"/>
        <v>15.293327201471039</v>
      </c>
      <c r="K1181" s="1">
        <f t="shared" si="1377"/>
        <v>13.498502317053562</v>
      </c>
      <c r="L1181" s="1">
        <f t="shared" ref="L1181:O1181" si="1378">IF(L1180-L1182&lt;0,0,L1180-L1182)</f>
        <v>10.274634802553431</v>
      </c>
      <c r="M1181" s="1">
        <f t="shared" si="1378"/>
        <v>8.1272735085784138</v>
      </c>
      <c r="N1181" s="1">
        <f t="shared" si="1378"/>
        <v>6.8749905866802949</v>
      </c>
      <c r="O1181" s="1">
        <f t="shared" si="1378"/>
        <v>6.1677164137567591</v>
      </c>
      <c r="P1181" s="1">
        <f>IF(P1180-P1182&lt;0,0,P1180-P1182)</f>
        <v>5.7108319232368014</v>
      </c>
      <c r="Q1181" s="1">
        <f>IF(Q1180-Q1182&lt;0,0,Q1180-Q1182)</f>
        <v>5.4699151454206918</v>
      </c>
      <c r="S1181" s="3"/>
    </row>
    <row r="1182" spans="2:19" x14ac:dyDescent="0.5">
      <c r="B1182" s="5" t="str">
        <f t="shared" ref="B1182:B1184" si="1379">B1181</f>
        <v>SPS1</v>
      </c>
      <c r="C1182" s="5" t="str">
        <f t="shared" ref="C1182:C1184" si="1380">C1181</f>
        <v>CH</v>
      </c>
      <c r="D1182" t="s">
        <v>1282</v>
      </c>
      <c r="E1182" t="str">
        <f t="shared" ref="E1182:E1184" si="1381">E1181</f>
        <v>PJ/yr.</v>
      </c>
      <c r="F1182" s="1">
        <f>SUM(F1183:F1184)</f>
        <v>1.4989262053434509</v>
      </c>
      <c r="G1182" s="1">
        <f t="shared" ref="G1182" si="1382">SUM(G1183:G1184)</f>
        <v>1.5516791596218318</v>
      </c>
      <c r="H1182" s="1">
        <f t="shared" ref="H1182" si="1383">SUM(H1183:H1184)</f>
        <v>2.1612789093915143</v>
      </c>
      <c r="I1182" s="1">
        <f t="shared" ref="I1182" si="1384">SUM(I1183:I1184)</f>
        <v>1.0328801168045632</v>
      </c>
      <c r="J1182" s="1">
        <f t="shared" ref="J1182" si="1385">SUM(J1183:J1184)</f>
        <v>0.55864263128992531</v>
      </c>
      <c r="K1182" s="1">
        <f t="shared" ref="K1182" si="1386">SUM(K1183:K1184)</f>
        <v>0.54852915995821561</v>
      </c>
      <c r="L1182" s="1">
        <f t="shared" ref="L1182:O1182" si="1387">SUM(L1183:L1184)</f>
        <v>0.42223716071129536</v>
      </c>
      <c r="M1182" s="1">
        <f t="shared" si="1387"/>
        <v>0.33936386364592303</v>
      </c>
      <c r="N1182" s="1">
        <f t="shared" si="1387"/>
        <v>0.29009841103556838</v>
      </c>
      <c r="O1182" s="1">
        <f t="shared" si="1387"/>
        <v>0.30608283127722113</v>
      </c>
      <c r="P1182" s="1">
        <f>SUM(P1183:P1184)</f>
        <v>0.34762481100991527</v>
      </c>
      <c r="Q1182" s="1">
        <f>SUM(Q1183:Q1184)</f>
        <v>0.35370590326168638</v>
      </c>
      <c r="S1182" s="3"/>
    </row>
    <row r="1183" spans="2:19" x14ac:dyDescent="0.5">
      <c r="B1183" s="5" t="str">
        <f t="shared" si="1379"/>
        <v>SPS1</v>
      </c>
      <c r="C1183" s="5" t="str">
        <f t="shared" si="1380"/>
        <v>CH</v>
      </c>
      <c r="D1183" t="s">
        <v>1283</v>
      </c>
      <c r="E1183" t="str">
        <f t="shared" si="1381"/>
        <v>PJ/yr.</v>
      </c>
      <c r="F1183" s="1">
        <f>[1]Transport!B$26/SUM([1]Transport!B$22,[1]Transport!B$26)*F1180*(F$34+F$582)/(F$34+F$582+F$38)</f>
        <v>1.4989262053434509</v>
      </c>
      <c r="G1183" s="1">
        <f>[1]Transport!C$26/SUM([1]Transport!C$22,[1]Transport!C$26)*G1180*(G$34+G$582)/(G$34+G$582+G$38)</f>
        <v>1.5516791596218318</v>
      </c>
      <c r="H1183" s="1">
        <f>[1]Transport!D$26/SUM([1]Transport!D$22,[1]Transport!D$26)*H1180*(H$34+H$582)/(H$34+H$582+H$38)</f>
        <v>2.1612789093915143</v>
      </c>
      <c r="I1183" s="1">
        <f>[1]Transport!E$26/SUM([1]Transport!E$22,[1]Transport!E$26)*I1180*(I$34+I$582)/(I$34+I$582+I$38)</f>
        <v>1.0328801168045632</v>
      </c>
      <c r="J1183" s="1">
        <f>[1]Transport!F$26/SUM([1]Transport!F$22,[1]Transport!F$26)*J1180*(J$34+J$582)/(J$34+J$582+J$38)</f>
        <v>0.55864263128992531</v>
      </c>
      <c r="K1183" s="1">
        <f>[1]Transport!G$26/SUM([1]Transport!G$22,[1]Transport!G$26)*K1180*(K$34+K$582)/(K$34+K$582+K$38)</f>
        <v>0.54852915995821561</v>
      </c>
      <c r="L1183" s="1">
        <f>[1]Transport!H$26/SUM([1]Transport!H$22,[1]Transport!H$26)*L1180*(L$34+L$582)/(L$34+L$582+L$38)</f>
        <v>0.42223716071129536</v>
      </c>
      <c r="M1183" s="1">
        <f>[1]Transport!I$26/SUM([1]Transport!I$22,[1]Transport!I$26)*M1180*(M$34+M$582)/(M$34+M$582+M$38)</f>
        <v>0.33936386364592303</v>
      </c>
      <c r="N1183" s="1">
        <f>[1]Transport!J$26/SUM([1]Transport!J$22,[1]Transport!J$26)*N1180*(N$34+N$582)/(N$34+N$582+N$38)</f>
        <v>0.29009841103556838</v>
      </c>
      <c r="O1183" s="1">
        <f>[1]Transport!K$26/SUM([1]Transport!K$22,[1]Transport!K$26)*O1180*(O$34+O$582)/(O$34+O$582+O$38)</f>
        <v>0.30608283127722113</v>
      </c>
      <c r="P1183" s="1">
        <f>[1]Transport!L$26/SUM([1]Transport!L$22,[1]Transport!L$26)*P1180*(P$34+P$582)/(P$34+P$582+P$38)</f>
        <v>0.34762481100991527</v>
      </c>
      <c r="Q1183" s="1">
        <f>[1]Transport!M$26/SUM([1]Transport!M$22,[1]Transport!M$26)*Q1180*(Q$34+Q$582)/(Q$34+Q$582+Q$38)</f>
        <v>0.35370590326168638</v>
      </c>
      <c r="S1183" s="3"/>
    </row>
    <row r="1184" spans="2:19" x14ac:dyDescent="0.5">
      <c r="B1184" s="5" t="str">
        <f t="shared" si="1379"/>
        <v>SPS1</v>
      </c>
      <c r="C1184" s="5" t="str">
        <f t="shared" si="1380"/>
        <v>CH</v>
      </c>
      <c r="D1184" t="s">
        <v>1284</v>
      </c>
      <c r="E1184" t="str">
        <f t="shared" si="1381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(J$38+J$718)/([1]Transport!F$22+[1]Transport!F$26)*J1180</f>
        <v>0</v>
      </c>
      <c r="K1184" s="1">
        <f>(K$38+K$718)/([1]Transport!G$22+[1]Transport!G$26)*K1180</f>
        <v>0</v>
      </c>
      <c r="L1184" s="1">
        <f>(L$38+L$718)/([1]Transport!H$22+[1]Transport!H$26)*L1180</f>
        <v>0</v>
      </c>
      <c r="M1184" s="1">
        <f>(M$38+M$718)/([1]Transport!I$22+[1]Transport!I$26)*M1180</f>
        <v>0</v>
      </c>
      <c r="N1184" s="1">
        <f>(N$38+N$718)/([1]Transport!J$22+[1]Transport!J$26)*N1180</f>
        <v>0</v>
      </c>
      <c r="O1184" s="1">
        <f>(O$38+O$718)/([1]Transport!K$22+[1]Transport!K$26)*O1180</f>
        <v>0</v>
      </c>
      <c r="P1184" s="1">
        <f>(P$38+P$718)/([1]Transport!L$22+[1]Transport!L$26)*P1180</f>
        <v>0</v>
      </c>
      <c r="Q1184" s="1">
        <f>(Q$38+Q$718)/([1]Transport!M$22+[1]Transport!M$26)*Q1180</f>
        <v>0</v>
      </c>
      <c r="R1184" s="1"/>
      <c r="S1184" s="3"/>
    </row>
    <row r="1185" spans="2:19" x14ac:dyDescent="0.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SUMPRODUCT(("T_C-HYBDSLEXT"=[1]OUT_TransportEnergyCons!$A$3:$A$1000)*1,("Var_Fin"=[1]OUT_TransportEnergyCons!$B$3:$B$1000)*1,ISNUMBER(SEARCH("DSL",[1]OUT_TransportEnergyCons!$C$3:$C$1000))*1,[1]OUT_TransportEnergyCons!H$3:H$1000)</f>
        <v>0</v>
      </c>
      <c r="K1185" s="1" cm="1">
        <f t="array" ref="K1185">SUMPRODUCT(("T_C-HYBDSLEXT"=[1]OUT_TransportEnergyCons!$A$3:$A$1000)*1,("Var_Fin"=[1]OUT_TransportEnergyCons!$B$3:$B$1000)*1,ISNUMBER(SEARCH("DSL",[1]OUT_TransportEnergyCons!$C$3:$C$1000))*1,[1]OUT_TransportEnergyCons!I$3:I$1000)</f>
        <v>0</v>
      </c>
      <c r="L1185" s="1" cm="1">
        <f t="array" ref="L1185">SUMPRODUCT(("T_C-HYBDSLEXT"=[1]OUT_TransportEnergyCons!$A$3:$A$1000)*1,("Var_Fin"=[1]OUT_TransportEnergyCons!$B$3:$B$1000)*1,ISNUMBER(SEARCH("DSL",[1]OUT_TransportEnergyCons!$C$3:$C$1000))*1,[1]OUT_TransportEnergyCons!J$3:J$1000)</f>
        <v>0</v>
      </c>
      <c r="M1185" s="1" cm="1">
        <f t="array" ref="M1185">SUMPRODUCT(("T_C-HYBDSLEXT"=[1]OUT_TransportEnergyCons!$A$3:$A$1000)*1,("Var_Fin"=[1]OUT_TransportEnergyCons!$B$3:$B$1000)*1,ISNUMBER(SEARCH("DSL",[1]OUT_TransportEnergyCons!$C$3:$C$1000))*1,[1]OUT_TransportEnergyCons!K$3:K$1000)</f>
        <v>0</v>
      </c>
      <c r="N1185" s="1" cm="1">
        <f t="array" ref="N1185">SUMPRODUCT(("T_C-HYBDSLEXT"=[1]OUT_TransportEnergyCons!$A$3:$A$1000)*1,("Var_Fin"=[1]OUT_TransportEnergyCons!$B$3:$B$1000)*1,ISNUMBER(SEARCH("DSL",[1]OUT_TransportEnergyCons!$C$3:$C$1000))*1,[1]OUT_TransportEnergyCons!L$3:L$1000)</f>
        <v>0</v>
      </c>
      <c r="O1185" s="1" cm="1">
        <f t="array" ref="O1185">SUMPRODUCT(("T_C-HYBDSLEXT"=[1]OUT_TransportEnergyCons!$A$3:$A$1000)*1,("Var_Fin"=[1]OUT_TransportEnergyCons!$B$3:$B$1000)*1,ISNUMBER(SEARCH("DSL",[1]OUT_TransportEnergyCons!$C$3:$C$1000))*1,[1]OUT_TransportEnergyCons!M$3:M$1000)</f>
        <v>0</v>
      </c>
      <c r="P1185" s="1" cm="1">
        <f t="array" ref="P1185">SUMPRODUCT(("T_C-HYBDSLEXT"=[1]OUT_TransportEnergyCons!$A$3:$A$1000)*1,("Var_Fin"=[1]OUT_TransportEnergyCons!$B$3:$B$1000)*1,ISNUMBER(SEARCH("DSL",[1]OUT_TransportEnergyCons!$C$3:$C$1000))*1,[1]OUT_TransportEnergyCons!N$3:N$1000)</f>
        <v>0</v>
      </c>
      <c r="Q1185" s="1" cm="1">
        <f t="array" ref="Q1185">SUMPRODUCT(("T_C-HYBDSLEXT"=[1]OUT_TransportEnergyCons!$A$3:$A$1000)*1,("Var_Fin"=[1]OUT_TransportEnergyCons!$B$3:$B$1000)*1,ISNUMBER(SEARCH("DSL",[1]OUT_TransportEnergyCons!$C$3:$C$1000))*1,[1]OUT_TransportEnergyCons!O$3:O$1000)</f>
        <v>0</v>
      </c>
      <c r="S1185" s="3"/>
    </row>
    <row r="1186" spans="2:19" x14ac:dyDescent="0.5">
      <c r="B1186" s="5" t="str">
        <f t="shared" si="1358"/>
        <v>SPS1</v>
      </c>
      <c r="C1186" s="5" t="str">
        <f t="shared" si="1359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3.3106760812366982E-5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0.1601274452309604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0.10669854096326323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8.5984920310170368E-2</v>
      </c>
      <c r="J1186" s="1" cm="1">
        <f t="array" ref="J1186">SUMPRODUCT(("T_C-HY-DSL-S1"=[1]OUT_TransportEnergyCons!$A$3:$A$1000)*1,("Var_Fin"=[1]OUT_TransportEnergyCons!$B$3:$B$1000)*1,ISNUMBER(SEARCH("DSL",[1]OUT_TransportEnergyCons!$C$3:$C$1000))*1,[1]OUT_TransportEnergyCons!H$3:H$1000)</f>
        <v>0.77886173994785435</v>
      </c>
      <c r="K1186" s="1" cm="1">
        <f t="array" ref="K1186">SUMPRODUCT(("T_C-HY-DSL-S1"=[1]OUT_TransportEnergyCons!$A$3:$A$1000)*1,("Var_Fin"=[1]OUT_TransportEnergyCons!$B$3:$B$1000)*1,ISNUMBER(SEARCH("DSL",[1]OUT_TransportEnergyCons!$C$3:$C$1000))*1,[1]OUT_TransportEnergyCons!I$3:I$1000)</f>
        <v>0.86012617285028115</v>
      </c>
      <c r="L1186" s="1" cm="1">
        <f t="array" ref="L1186">SUMPRODUCT(("T_C-HY-DSL-S1"=[1]OUT_TransportEnergyCons!$A$3:$A$1000)*1,("Var_Fin"=[1]OUT_TransportEnergyCons!$B$3:$B$1000)*1,ISNUMBER(SEARCH("DSL",[1]OUT_TransportEnergyCons!$C$3:$C$1000))*1,[1]OUT_TransportEnergyCons!J$3:J$1000)</f>
        <v>1.052713133279316</v>
      </c>
      <c r="M1186" s="1" cm="1">
        <f t="array" ref="M1186">SUMPRODUCT(("T_C-HY-DSL-S1"=[1]OUT_TransportEnergyCons!$A$3:$A$1000)*1,("Var_Fin"=[1]OUT_TransportEnergyCons!$B$3:$B$1000)*1,ISNUMBER(SEARCH("DSL",[1]OUT_TransportEnergyCons!$C$3:$C$1000))*1,[1]OUT_TransportEnergyCons!K$3:K$1000)</f>
        <v>0.48171726427728823</v>
      </c>
      <c r="N1186" s="1" cm="1">
        <f t="array" ref="N1186">SUMPRODUCT(("T_C-HY-DSL-S1"=[1]OUT_TransportEnergyCons!$A$3:$A$1000)*1,("Var_Fin"=[1]OUT_TransportEnergyCons!$B$3:$B$1000)*1,ISNUMBER(SEARCH("DSL",[1]OUT_TransportEnergyCons!$C$3:$C$1000))*1,[1]OUT_TransportEnergyCons!L$3:L$1000)</f>
        <v>0.51191765555650481</v>
      </c>
      <c r="O1186" s="1" cm="1">
        <f t="array" ref="O1186">SUMPRODUCT(("T_C-HY-DSL-S1"=[1]OUT_TransportEnergyCons!$A$3:$A$1000)*1,("Var_Fin"=[1]OUT_TransportEnergyCons!$B$3:$B$1000)*1,ISNUMBER(SEARCH("DSL",[1]OUT_TransportEnergyCons!$C$3:$C$1000))*1,[1]OUT_TransportEnergyCons!M$3:M$1000)</f>
        <v>0.37064602471511798</v>
      </c>
      <c r="P1186" s="1" cm="1">
        <f t="array" ref="P1186">SUMPRODUCT(("T_C-HY-DSL-S1"=[1]OUT_TransportEnergyCons!$A$3:$A$1000)*1,("Var_Fin"=[1]OUT_TransportEnergyCons!$B$3:$B$1000)*1,ISNUMBER(SEARCH("DSL",[1]OUT_TransportEnergyCons!$C$3:$C$1000))*1,[1]OUT_TransportEnergyCons!N$3:N$1000)</f>
        <v>9.7713840207864946E-4</v>
      </c>
      <c r="Q1186" s="1" cm="1">
        <f t="array" ref="Q1186">SUMPRODUCT(("T_C-HY-DSL-S1"=[1]OUT_TransportEnergyCons!$A$3:$A$1000)*1,("Var_Fin"=[1]OUT_TransportEnergyCons!$B$3:$B$1000)*1,ISNUMBER(SEARCH("DSL",[1]OUT_TransportEnergyCons!$C$3:$C$1000))*1,[1]OUT_TransportEnergyCons!O$3:O$1000)</f>
        <v>9.8373689740556569E-4</v>
      </c>
      <c r="R1186" s="1"/>
      <c r="S1186" s="3"/>
    </row>
    <row r="1187" spans="2:19" x14ac:dyDescent="0.5">
      <c r="B1187" s="5" t="str">
        <f t="shared" si="1358"/>
        <v>SPS1</v>
      </c>
      <c r="C1187" s="5" t="str">
        <f t="shared" si="1359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2.7631437090979497E-3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0.58956808683771356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0.81544051995096756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0.67499055095692162</v>
      </c>
      <c r="J1187" s="1" cm="1">
        <f t="array" ref="J1187">SUMPRODUCT(("T_C-HY-DSL-S2"=[1]OUT_TransportEnergyCons!$A$3:$A$1000)*1,("Var_Fin"=[1]OUT_TransportEnergyCons!$B$3:$B$1000)*1,ISNUMBER(SEARCH("DSL",[1]OUT_TransportEnergyCons!$C$3:$C$1000))*1,[1]OUT_TransportEnergyCons!H$3:H$1000)</f>
        <v>0.32114529179127727</v>
      </c>
      <c r="K1187" s="1" cm="1">
        <f t="array" ref="K1187">SUMPRODUCT(("T_C-HY-DSL-S2"=[1]OUT_TransportEnergyCons!$A$3:$A$1000)*1,("Var_Fin"=[1]OUT_TransportEnergyCons!$B$3:$B$1000)*1,ISNUMBER(SEARCH("DSL",[1]OUT_TransportEnergyCons!$C$3:$C$1000))*1,[1]OUT_TransportEnergyCons!I$3:I$1000)</f>
        <v>2.5874349483979469E-2</v>
      </c>
      <c r="L1187" s="1" cm="1">
        <f t="array" ref="L1187">SUMPRODUCT(("T_C-HY-DSL-S2"=[1]OUT_TransportEnergyCons!$A$3:$A$1000)*1,("Var_Fin"=[1]OUT_TransportEnergyCons!$B$3:$B$1000)*1,ISNUMBER(SEARCH("DSL",[1]OUT_TransportEnergyCons!$C$3:$C$1000))*1,[1]OUT_TransportEnergyCons!J$3:J$1000)</f>
        <v>1.000507652055002E-2</v>
      </c>
      <c r="M1187" s="1" cm="1">
        <f t="array" ref="M1187">SUMPRODUCT(("T_C-HY-DSL-S2"=[1]OUT_TransportEnergyCons!$A$3:$A$1000)*1,("Var_Fin"=[1]OUT_TransportEnergyCons!$B$3:$B$1000)*1,ISNUMBER(SEARCH("DSL",[1]OUT_TransportEnergyCons!$C$3:$C$1000))*1,[1]OUT_TransportEnergyCons!K$3:K$1000)</f>
        <v>7.1115543214411809E-3</v>
      </c>
      <c r="N1187" s="1" cm="1">
        <f t="array" ref="N1187">SUMPRODUCT(("T_C-HY-DSL-S2"=[1]OUT_TransportEnergyCons!$A$3:$A$1000)*1,("Var_Fin"=[1]OUT_TransportEnergyCons!$B$3:$B$1000)*1,ISNUMBER(SEARCH("DSL",[1]OUT_TransportEnergyCons!$C$3:$C$1000))*1,[1]OUT_TransportEnergyCons!L$3:L$1000)</f>
        <v>5.1543502368799994E-3</v>
      </c>
      <c r="O1187" s="1" cm="1">
        <f t="array" ref="O1187">SUMPRODUCT(("T_C-HY-DSL-S2"=[1]OUT_TransportEnergyCons!$A$3:$A$1000)*1,("Var_Fin"=[1]OUT_TransportEnergyCons!$B$3:$B$1000)*1,ISNUMBER(SEARCH("DSL",[1]OUT_TransportEnergyCons!$C$3:$C$1000))*1,[1]OUT_TransportEnergyCons!M$3:M$1000)</f>
        <v>5.9983805132846285E-3</v>
      </c>
      <c r="P1187" s="1" cm="1">
        <f t="array" ref="P1187">SUMPRODUCT(("T_C-HY-DSL-S2"=[1]OUT_TransportEnergyCons!$A$3:$A$1000)*1,("Var_Fin"=[1]OUT_TransportEnergyCons!$B$3:$B$1000)*1,ISNUMBER(SEARCH("DSL",[1]OUT_TransportEnergyCons!$C$3:$C$1000))*1,[1]OUT_TransportEnergyCons!N$3:N$1000)</f>
        <v>0.40475441207238172</v>
      </c>
      <c r="Q1187" s="1" cm="1">
        <f t="array" ref="Q1187">SUMPRODUCT(("T_C-HY-DSL-S2"=[1]OUT_TransportEnergyCons!$A$3:$A$1000)*1,("Var_Fin"=[1]OUT_TransportEnergyCons!$B$3:$B$1000)*1,ISNUMBER(SEARCH("DSL",[1]OUT_TransportEnergyCons!$C$3:$C$1000))*1,[1]OUT_TransportEnergyCons!O$3:O$1000)</f>
        <v>0.46669525633021169</v>
      </c>
      <c r="S1187" s="3"/>
    </row>
    <row r="1188" spans="2:19" x14ac:dyDescent="0.5">
      <c r="B1188" s="5" t="str">
        <f t="shared" si="1358"/>
        <v>SPS1</v>
      </c>
      <c r="C1188" s="5" t="str">
        <f t="shared" si="1359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2.9052077669813051E-2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4.6149696838826706E-2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4.4296561306982722E-2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3.3475319106563831E-2</v>
      </c>
      <c r="J1188" s="1" cm="1">
        <f t="array" ref="J1188">SUMPRODUCT(("T_C-HY-DSL-S3"=[1]OUT_TransportEnergyCons!$A$3:$A$1000)*1,("Var_Fin"=[1]OUT_TransportEnergyCons!$B$3:$B$1000)*1,ISNUMBER(SEARCH("DSL",[1]OUT_TransportEnergyCons!$C$3:$C$1000))*1,[1]OUT_TransportEnergyCons!H$3:H$1000)</f>
        <v>7.208971187244775E-3</v>
      </c>
      <c r="K1188" s="1" cm="1">
        <f t="array" ref="K1188">SUMPRODUCT(("T_C-HY-DSL-S3"=[1]OUT_TransportEnergyCons!$A$3:$A$1000)*1,("Var_Fin"=[1]OUT_TransportEnergyCons!$B$3:$B$1000)*1,ISNUMBER(SEARCH("DSL",[1]OUT_TransportEnergyCons!$C$3:$C$1000))*1,[1]OUT_TransportEnergyCons!I$3:I$1000)</f>
        <v>1.3800458635702094E-3</v>
      </c>
      <c r="L1188" s="1" cm="1">
        <f t="array" ref="L1188">SUMPRODUCT(("T_C-HY-DSL-S3"=[1]OUT_TransportEnergyCons!$A$3:$A$1000)*1,("Var_Fin"=[1]OUT_TransportEnergyCons!$B$3:$B$1000)*1,ISNUMBER(SEARCH("DSL",[1]OUT_TransportEnergyCons!$C$3:$C$1000))*1,[1]OUT_TransportEnergyCons!J$3:J$1000)</f>
        <v>1.7201102077974988E-3</v>
      </c>
      <c r="M1188" s="1" cm="1">
        <f t="array" ref="M1188">SUMPRODUCT(("T_C-HY-DSL-S3"=[1]OUT_TransportEnergyCons!$A$3:$A$1000)*1,("Var_Fin"=[1]OUT_TransportEnergyCons!$B$3:$B$1000)*1,ISNUMBER(SEARCH("DSL",[1]OUT_TransportEnergyCons!$C$3:$C$1000))*1,[1]OUT_TransportEnergyCons!K$3:K$1000)</f>
        <v>2.2172181682136843E-3</v>
      </c>
      <c r="N1188" s="1" cm="1">
        <f t="array" ref="N1188">SUMPRODUCT(("T_C-HY-DSL-S3"=[1]OUT_TransportEnergyCons!$A$3:$A$1000)*1,("Var_Fin"=[1]OUT_TransportEnergyCons!$B$3:$B$1000)*1,ISNUMBER(SEARCH("DSL",[1]OUT_TransportEnergyCons!$C$3:$C$1000))*1,[1]OUT_TransportEnergyCons!L$3:L$1000)</f>
        <v>2.1546910778200679E-3</v>
      </c>
      <c r="O1188" s="1" cm="1">
        <f t="array" ref="O1188">SUMPRODUCT(("T_C-HY-DSL-S3"=[1]OUT_TransportEnergyCons!$A$3:$A$1000)*1,("Var_Fin"=[1]OUT_TransportEnergyCons!$B$3:$B$1000)*1,ISNUMBER(SEARCH("DSL",[1]OUT_TransportEnergyCons!$C$3:$C$1000))*1,[1]OUT_TransportEnergyCons!M$3:M$1000)</f>
        <v>2.6919750361142423E-3</v>
      </c>
      <c r="P1188" s="1" cm="1">
        <f t="array" ref="P1188">SUMPRODUCT(("T_C-HY-DSL-S3"=[1]OUT_TransportEnergyCons!$A$3:$A$1000)*1,("Var_Fin"=[1]OUT_TransportEnergyCons!$B$3:$B$1000)*1,ISNUMBER(SEARCH("DSL",[1]OUT_TransportEnergyCons!$C$3:$C$1000))*1,[1]OUT_TransportEnergyCons!N$3:N$1000)</f>
        <v>3.4724537964666985E-3</v>
      </c>
      <c r="Q1188" s="1" cm="1">
        <f t="array" ref="Q1188">SUMPRODUCT(("T_C-HY-DSL-S3"=[1]OUT_TransportEnergyCons!$A$3:$A$1000)*1,("Var_Fin"=[1]OUT_TransportEnergyCons!$B$3:$B$1000)*1,ISNUMBER(SEARCH("DSL",[1]OUT_TransportEnergyCons!$C$3:$C$1000))*1,[1]OUT_TransportEnergyCons!O$3:O$1000)</f>
        <v>5.2110731201193685E-3</v>
      </c>
      <c r="S1188" s="3"/>
    </row>
    <row r="1189" spans="2:19" x14ac:dyDescent="0.5">
      <c r="B1189" s="5" t="str">
        <f t="shared" si="1358"/>
        <v>SPS1</v>
      </c>
      <c r="C1189" s="5" t="str">
        <f t="shared" si="1359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3.5177946477358869E-2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7.1675390136942518E-2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6.8088289622503573E-2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5.6033126569006296E-2</v>
      </c>
      <c r="J1189" s="1" cm="1">
        <f t="array" ref="J1189">SUMPRODUCT(("T_C-HY-DSL-S4"=[1]OUT_TransportEnergyCons!$A$3:$A$1000)*1,("Var_Fin"=[1]OUT_TransportEnergyCons!$B$3:$B$1000)*1,ISNUMBER(SEARCH("DSL",[1]OUT_TransportEnergyCons!$C$3:$C$1000))*1,[1]OUT_TransportEnergyCons!H$3:H$1000)</f>
        <v>1.3946847107495134E-2</v>
      </c>
      <c r="K1189" s="1" cm="1">
        <f t="array" ref="K1189">SUMPRODUCT(("T_C-HY-DSL-S4"=[1]OUT_TransportEnergyCons!$A$3:$A$1000)*1,("Var_Fin"=[1]OUT_TransportEnergyCons!$B$3:$B$1000)*1,ISNUMBER(SEARCH("DSL",[1]OUT_TransportEnergyCons!$C$3:$C$1000))*1,[1]OUT_TransportEnergyCons!I$3:I$1000)</f>
        <v>3.1010755674920993E-3</v>
      </c>
      <c r="L1189" s="1" cm="1">
        <f t="array" ref="L1189">SUMPRODUCT(("T_C-HY-DSL-S4"=[1]OUT_TransportEnergyCons!$A$3:$A$1000)*1,("Var_Fin"=[1]OUT_TransportEnergyCons!$B$3:$B$1000)*1,ISNUMBER(SEARCH("DSL",[1]OUT_TransportEnergyCons!$C$3:$C$1000))*1,[1]OUT_TransportEnergyCons!J$3:J$1000)</f>
        <v>0.11429762920983692</v>
      </c>
      <c r="M1189" s="1" cm="1">
        <f t="array" ref="M1189">SUMPRODUCT(("T_C-HY-DSL-S4"=[1]OUT_TransportEnergyCons!$A$3:$A$1000)*1,("Var_Fin"=[1]OUT_TransportEnergyCons!$B$3:$B$1000)*1,ISNUMBER(SEARCH("DSL",[1]OUT_TransportEnergyCons!$C$3:$C$1000))*1,[1]OUT_TransportEnergyCons!K$3:K$1000)</f>
        <v>1.1419108900107728</v>
      </c>
      <c r="N1189" s="1" cm="1">
        <f t="array" ref="N1189">SUMPRODUCT(("T_C-HY-DSL-S4"=[1]OUT_TransportEnergyCons!$A$3:$A$1000)*1,("Var_Fin"=[1]OUT_TransportEnergyCons!$B$3:$B$1000)*1,ISNUMBER(SEARCH("DSL",[1]OUT_TransportEnergyCons!$C$3:$C$1000))*1,[1]OUT_TransportEnergyCons!L$3:L$1000)</f>
        <v>1.0720463349765028</v>
      </c>
      <c r="O1189" s="1" cm="1">
        <f t="array" ref="O1189">SUMPRODUCT(("T_C-HY-DSL-S4"=[1]OUT_TransportEnergyCons!$A$3:$A$1000)*1,("Var_Fin"=[1]OUT_TransportEnergyCons!$B$3:$B$1000)*1,ISNUMBER(SEARCH("DSL",[1]OUT_TransportEnergyCons!$C$3:$C$1000))*1,[1]OUT_TransportEnergyCons!M$3:M$1000)</f>
        <v>0.74758809377875468</v>
      </c>
      <c r="P1189" s="1" cm="1">
        <f t="array" ref="P1189">SUMPRODUCT(("T_C-HY-DSL-S4"=[1]OUT_TransportEnergyCons!$A$3:$A$1000)*1,("Var_Fin"=[1]OUT_TransportEnergyCons!$B$3:$B$1000)*1,ISNUMBER(SEARCH("DSL",[1]OUT_TransportEnergyCons!$C$3:$C$1000))*1,[1]OUT_TransportEnergyCons!N$3:N$1000)</f>
        <v>0.15368810507328143</v>
      </c>
      <c r="Q1189" s="1" cm="1">
        <f t="array" ref="Q1189">SUMPRODUCT(("T_C-HY-DSL-S4"=[1]OUT_TransportEnergyCons!$A$3:$A$1000)*1,("Var_Fin"=[1]OUT_TransportEnergyCons!$B$3:$B$1000)*1,ISNUMBER(SEARCH("DSL",[1]OUT_TransportEnergyCons!$C$3:$C$1000))*1,[1]OUT_TransportEnergyCons!O$3:O$1000)</f>
        <v>4.0601068838479325E-2</v>
      </c>
      <c r="S1189" s="3"/>
    </row>
    <row r="1190" spans="2:19" x14ac:dyDescent="0.5">
      <c r="B1190" s="5" t="str">
        <f t="shared" si="1358"/>
        <v>SPS1</v>
      </c>
      <c r="C1190" s="5" t="str">
        <f t="shared" si="1359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52.132036031159316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48.700920476324882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35.237581248519142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15.306400404914063</v>
      </c>
      <c r="J1190" s="1" cm="1">
        <f t="array" ref="J1190">SUMPRODUCT(("T_C-ICEDSLEXT"=[1]OUT_TransportEnergyCons!$A$3:$A$1000)*1,("Var_Fin"=[1]OUT_TransportEnergyCons!$B$3:$B$1000)*1,ISNUMBER(SEARCH("DSL",[1]OUT_TransportEnergyCons!$C$3:$C$1000))*1,[1]OUT_TransportEnergyCons!H$3:H$1000)</f>
        <v>0</v>
      </c>
      <c r="K1190" s="1" cm="1">
        <f t="array" ref="K1190">SUMPRODUCT(("T_C-ICEDSLEXT"=[1]OUT_TransportEnergyCons!$A$3:$A$1000)*1,("Var_Fin"=[1]OUT_TransportEnergyCons!$B$3:$B$1000)*1,ISNUMBER(SEARCH("DSL",[1]OUT_TransportEnergyCons!$C$3:$C$1000))*1,[1]OUT_TransportEnergyCons!I$3:I$1000)</f>
        <v>0</v>
      </c>
      <c r="L1190" s="1" cm="1">
        <f t="array" ref="L1190">SUMPRODUCT(("T_C-ICEDSLEXT"=[1]OUT_TransportEnergyCons!$A$3:$A$1000)*1,("Var_Fin"=[1]OUT_TransportEnergyCons!$B$3:$B$1000)*1,ISNUMBER(SEARCH("DSL",[1]OUT_TransportEnergyCons!$C$3:$C$1000))*1,[1]OUT_TransportEnergyCons!J$3:J$1000)</f>
        <v>0</v>
      </c>
      <c r="M1190" s="1" cm="1">
        <f t="array" ref="M1190">SUMPRODUCT(("T_C-ICEDSLEXT"=[1]OUT_TransportEnergyCons!$A$3:$A$1000)*1,("Var_Fin"=[1]OUT_TransportEnergyCons!$B$3:$B$1000)*1,ISNUMBER(SEARCH("DSL",[1]OUT_TransportEnergyCons!$C$3:$C$1000))*1,[1]OUT_TransportEnergyCons!K$3:K$1000)</f>
        <v>0</v>
      </c>
      <c r="N1190" s="1" cm="1">
        <f t="array" ref="N1190">SUMPRODUCT(("T_C-ICEDSLEXT"=[1]OUT_TransportEnergyCons!$A$3:$A$1000)*1,("Var_Fin"=[1]OUT_TransportEnergyCons!$B$3:$B$1000)*1,ISNUMBER(SEARCH("DSL",[1]OUT_TransportEnergyCons!$C$3:$C$1000))*1,[1]OUT_TransportEnergyCons!L$3:L$1000)</f>
        <v>0</v>
      </c>
      <c r="O1190" s="1" cm="1">
        <f t="array" ref="O1190">SUMPRODUCT(("T_C-ICEDSLEXT"=[1]OUT_TransportEnergyCons!$A$3:$A$1000)*1,("Var_Fin"=[1]OUT_TransportEnergyCons!$B$3:$B$1000)*1,ISNUMBER(SEARCH("DSL",[1]OUT_TransportEnergyCons!$C$3:$C$1000))*1,[1]OUT_TransportEnergyCons!M$3:M$1000)</f>
        <v>0</v>
      </c>
      <c r="P1190" s="1" cm="1">
        <f t="array" ref="P1190">SUMPRODUCT(("T_C-ICEDSLEXT"=[1]OUT_TransportEnergyCons!$A$3:$A$1000)*1,("Var_Fin"=[1]OUT_TransportEnergyCons!$B$3:$B$1000)*1,ISNUMBER(SEARCH("DSL",[1]OUT_TransportEnergyCons!$C$3:$C$1000))*1,[1]OUT_TransportEnergyCons!N$3:N$1000)</f>
        <v>0</v>
      </c>
      <c r="Q1190" s="1" cm="1">
        <f t="array" ref="Q1190">SUMPRODUCT(("T_C-ICEDSLEXT"=[1]OUT_TransportEnergyCons!$A$3:$A$1000)*1,("Var_Fin"=[1]OUT_TransportEnergyCons!$B$3:$B$1000)*1,ISNUMBER(SEARCH("DSL",[1]OUT_TransportEnergyCons!$C$3:$C$1000))*1,[1]OUT_TransportEnergyCons!O$3:O$1000)</f>
        <v>0</v>
      </c>
      <c r="S1190" s="3"/>
    </row>
    <row r="1191" spans="2:19" x14ac:dyDescent="0.5">
      <c r="B1191" s="5" t="str">
        <f t="shared" si="1358"/>
        <v>SPS1</v>
      </c>
      <c r="C1191" s="5" t="str">
        <f t="shared" si="1359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5.1201259796924466E-3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6.1605426206177618E-3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4.9005805861822528E-3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4.2770590314392728E-3</v>
      </c>
      <c r="J1191" s="1" cm="1">
        <f t="array" ref="J1191">SUMPRODUCT(("T_C-ICE-DSL-S1"=[1]OUT_TransportEnergyCons!$A$3:$A$1000)*1,("Var_Fin"=[1]OUT_TransportEnergyCons!$B$3:$B$1000)*1,ISNUMBER(SEARCH("DSL",[1]OUT_TransportEnergyCons!$C$3:$C$1000))*1,[1]OUT_TransportEnergyCons!H$3:H$1000)</f>
        <v>2.5759520434657074E-3</v>
      </c>
      <c r="K1191" s="1" cm="1">
        <f t="array" ref="K1191">SUMPRODUCT(("T_C-ICE-DSL-S1"=[1]OUT_TransportEnergyCons!$A$3:$A$1000)*1,("Var_Fin"=[1]OUT_TransportEnergyCons!$B$3:$B$1000)*1,ISNUMBER(SEARCH("DSL",[1]OUT_TransportEnergyCons!$C$3:$C$1000))*1,[1]OUT_TransportEnergyCons!I$3:I$1000)</f>
        <v>4.4686048151400592E-2</v>
      </c>
      <c r="L1191" s="1" cm="1">
        <f t="array" ref="L1191">SUMPRODUCT(("T_C-ICE-DSL-S1"=[1]OUT_TransportEnergyCons!$A$3:$A$1000)*1,("Var_Fin"=[1]OUT_TransportEnergyCons!$B$3:$B$1000)*1,ISNUMBER(SEARCH("DSL",[1]OUT_TransportEnergyCons!$C$3:$C$1000))*1,[1]OUT_TransportEnergyCons!J$3:J$1000)</f>
        <v>3.718012836312732E-2</v>
      </c>
      <c r="M1191" s="1" cm="1">
        <f t="array" ref="M1191">SUMPRODUCT(("T_C-ICE-DSL-S1"=[1]OUT_TransportEnergyCons!$A$3:$A$1000)*1,("Var_Fin"=[1]OUT_TransportEnergyCons!$B$3:$B$1000)*1,ISNUMBER(SEARCH("DSL",[1]OUT_TransportEnergyCons!$C$3:$C$1000))*1,[1]OUT_TransportEnergyCons!K$3:K$1000)</f>
        <v>2.664834959332377E-2</v>
      </c>
      <c r="N1191" s="1" cm="1">
        <f t="array" ref="N1191">SUMPRODUCT(("T_C-ICE-DSL-S1"=[1]OUT_TransportEnergyCons!$A$3:$A$1000)*1,("Var_Fin"=[1]OUT_TransportEnergyCons!$B$3:$B$1000)*1,ISNUMBER(SEARCH("DSL",[1]OUT_TransportEnergyCons!$C$3:$C$1000))*1,[1]OUT_TransportEnergyCons!L$3:L$1000)</f>
        <v>3.7188647556694425E-3</v>
      </c>
      <c r="O1191" s="1" cm="1">
        <f t="array" ref="O1191">SUMPRODUCT(("T_C-ICE-DSL-S1"=[1]OUT_TransportEnergyCons!$A$3:$A$1000)*1,("Var_Fin"=[1]OUT_TransportEnergyCons!$B$3:$B$1000)*1,ISNUMBER(SEARCH("DSL",[1]OUT_TransportEnergyCons!$C$3:$C$1000))*1,[1]OUT_TransportEnergyCons!M$3:M$1000)</f>
        <v>3.5786318378810831E-4</v>
      </c>
      <c r="P1191" s="1" cm="1">
        <f t="array" ref="P1191">SUMPRODUCT(("T_C-ICE-DSL-S1"=[1]OUT_TransportEnergyCons!$A$3:$A$1000)*1,("Var_Fin"=[1]OUT_TransportEnergyCons!$B$3:$B$1000)*1,ISNUMBER(SEARCH("DSL",[1]OUT_TransportEnergyCons!$C$3:$C$1000))*1,[1]OUT_TransportEnergyCons!N$3:N$1000)</f>
        <v>2.0568803854917236E-4</v>
      </c>
      <c r="Q1191" s="1" cm="1">
        <f t="array" ref="Q1191">SUMPRODUCT(("T_C-ICE-DSL-S1"=[1]OUT_TransportEnergyCons!$A$3:$A$1000)*1,("Var_Fin"=[1]OUT_TransportEnergyCons!$B$3:$B$1000)*1,ISNUMBER(SEARCH("DSL",[1]OUT_TransportEnergyCons!$C$3:$C$1000))*1,[1]OUT_TransportEnergyCons!O$3:O$1000)</f>
        <v>1.8045787352883032E-4</v>
      </c>
      <c r="S1191" s="3"/>
    </row>
    <row r="1192" spans="2:19" x14ac:dyDescent="0.5">
      <c r="B1192" s="5" t="str">
        <f t="shared" si="1358"/>
        <v>SPS1</v>
      </c>
      <c r="C1192" s="5" t="str">
        <f t="shared" si="1359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1.220598085742006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1.2833827297670954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1.2739484980352449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0.76392351276407888</v>
      </c>
      <c r="J1192" s="1" cm="1">
        <f t="array" ref="J1192">SUMPRODUCT(("T_C-ICE-DSL-S2"=[1]OUT_TransportEnergyCons!$A$3:$A$1000)*1,("Var_Fin"=[1]OUT_TransportEnergyCons!$B$3:$B$1000)*1,ISNUMBER(SEARCH("DSL",[1]OUT_TransportEnergyCons!$C$3:$C$1000))*1,[1]OUT_TransportEnergyCons!H$3:H$1000)</f>
        <v>2.345014982120322E-2</v>
      </c>
      <c r="K1192" s="1" cm="1">
        <f t="array" ref="K1192">SUMPRODUCT(("T_C-ICE-DSL-S2"=[1]OUT_TransportEnergyCons!$A$3:$A$1000)*1,("Var_Fin"=[1]OUT_TransportEnergyCons!$B$3:$B$1000)*1,ISNUMBER(SEARCH("DSL",[1]OUT_TransportEnergyCons!$C$3:$C$1000))*1,[1]OUT_TransportEnergyCons!I$3:I$1000)</f>
        <v>2.8658886360711996E-3</v>
      </c>
      <c r="L1192" s="1" cm="1">
        <f t="array" ref="L1192">SUMPRODUCT(("T_C-ICE-DSL-S2"=[1]OUT_TransportEnergyCons!$A$3:$A$1000)*1,("Var_Fin"=[1]OUT_TransportEnergyCons!$B$3:$B$1000)*1,ISNUMBER(SEARCH("DSL",[1]OUT_TransportEnergyCons!$C$3:$C$1000))*1,[1]OUT_TransportEnergyCons!J$3:J$1000)</f>
        <v>2.264063530343073E-3</v>
      </c>
      <c r="M1192" s="1" cm="1">
        <f t="array" ref="M1192">SUMPRODUCT(("T_C-ICE-DSL-S2"=[1]OUT_TransportEnergyCons!$A$3:$A$1000)*1,("Var_Fin"=[1]OUT_TransportEnergyCons!$B$3:$B$1000)*1,ISNUMBER(SEARCH("DSL",[1]OUT_TransportEnergyCons!$C$3:$C$1000))*1,[1]OUT_TransportEnergyCons!K$3:K$1000)</f>
        <v>1.8630661567237933E-3</v>
      </c>
      <c r="N1192" s="1" cm="1">
        <f t="array" ref="N1192">SUMPRODUCT(("T_C-ICE-DSL-S2"=[1]OUT_TransportEnergyCons!$A$3:$A$1000)*1,("Var_Fin"=[1]OUT_TransportEnergyCons!$B$3:$B$1000)*1,ISNUMBER(SEARCH("DSL",[1]OUT_TransportEnergyCons!$C$3:$C$1000))*1,[1]OUT_TransportEnergyCons!L$3:L$1000)</f>
        <v>1.0889655117206163E-3</v>
      </c>
      <c r="O1192" s="1" cm="1">
        <f t="array" ref="O1192">SUMPRODUCT(("T_C-ICE-DSL-S2"=[1]OUT_TransportEnergyCons!$A$3:$A$1000)*1,("Var_Fin"=[1]OUT_TransportEnergyCons!$B$3:$B$1000)*1,ISNUMBER(SEARCH("DSL",[1]OUT_TransportEnergyCons!$C$3:$C$1000))*1,[1]OUT_TransportEnergyCons!M$3:M$1000)</f>
        <v>7.3913441839021539E-4</v>
      </c>
      <c r="P1192" s="1" cm="1">
        <f t="array" ref="P1192">SUMPRODUCT(("T_C-ICE-DSL-S2"=[1]OUT_TransportEnergyCons!$A$3:$A$1000)*1,("Var_Fin"=[1]OUT_TransportEnergyCons!$B$3:$B$1000)*1,ISNUMBER(SEARCH("DSL",[1]OUT_TransportEnergyCons!$C$3:$C$1000))*1,[1]OUT_TransportEnergyCons!N$3:N$1000)</f>
        <v>4.2831705468541402E-4</v>
      </c>
      <c r="Q1192" s="1" cm="1">
        <f t="array" ref="Q1192">SUMPRODUCT(("T_C-ICE-DSL-S2"=[1]OUT_TransportEnergyCons!$A$3:$A$1000)*1,("Var_Fin"=[1]OUT_TransportEnergyCons!$B$3:$B$1000)*1,ISNUMBER(SEARCH("DSL",[1]OUT_TransportEnergyCons!$C$3:$C$1000))*1,[1]OUT_TransportEnergyCons!O$3:O$1000)</f>
        <v>3.6110355517853247E-4</v>
      </c>
      <c r="S1192" s="3"/>
    </row>
    <row r="1193" spans="2:19" x14ac:dyDescent="0.5">
      <c r="B1193" s="5" t="str">
        <f t="shared" si="1358"/>
        <v>SPS1</v>
      </c>
      <c r="C1193" s="5" t="str">
        <f t="shared" si="1359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5.033887446880108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5.3272042138257421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5.2765746627885273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4.0304791873898331</v>
      </c>
      <c r="J1193" s="1" cm="1">
        <f t="array" ref="J1193">SUMPRODUCT(("T_C-ICE-DSL-S3"=[1]OUT_TransportEnergyCons!$A$3:$A$1000)*1,("Var_Fin"=[1]OUT_TransportEnergyCons!$B$3:$B$1000)*1,ISNUMBER(SEARCH("DSL",[1]OUT_TransportEnergyCons!$C$3:$C$1000))*1,[1]OUT_TransportEnergyCons!H$3:H$1000)</f>
        <v>0.14030484471559118</v>
      </c>
      <c r="K1193" s="1" cm="1">
        <f t="array" ref="K1193">SUMPRODUCT(("T_C-ICE-DSL-S3"=[1]OUT_TransportEnergyCons!$A$3:$A$1000)*1,("Var_Fin"=[1]OUT_TransportEnergyCons!$B$3:$B$1000)*1,ISNUMBER(SEARCH("DSL",[1]OUT_TransportEnergyCons!$C$3:$C$1000))*1,[1]OUT_TransportEnergyCons!I$3:I$1000)</f>
        <v>2.6450688206030308E-3</v>
      </c>
      <c r="L1193" s="1" cm="1">
        <f t="array" ref="L1193">SUMPRODUCT(("T_C-ICE-DSL-S3"=[1]OUT_TransportEnergyCons!$A$3:$A$1000)*1,("Var_Fin"=[1]OUT_TransportEnergyCons!$B$3:$B$1000)*1,ISNUMBER(SEARCH("DSL",[1]OUT_TransportEnergyCons!$C$3:$C$1000))*1,[1]OUT_TransportEnergyCons!J$3:J$1000)</f>
        <v>2.3602763986882509E-3</v>
      </c>
      <c r="M1193" s="1" cm="1">
        <f t="array" ref="M1193">SUMPRODUCT(("T_C-ICE-DSL-S3"=[1]OUT_TransportEnergyCons!$A$3:$A$1000)*1,("Var_Fin"=[1]OUT_TransportEnergyCons!$B$3:$B$1000)*1,ISNUMBER(SEARCH("DSL",[1]OUT_TransportEnergyCons!$C$3:$C$1000))*1,[1]OUT_TransportEnergyCons!K$3:K$1000)</f>
        <v>2.6152063065671789E-3</v>
      </c>
      <c r="N1193" s="1" cm="1">
        <f t="array" ref="N1193">SUMPRODUCT(("T_C-ICE-DSL-S3"=[1]OUT_TransportEnergyCons!$A$3:$A$1000)*1,("Var_Fin"=[1]OUT_TransportEnergyCons!$B$3:$B$1000)*1,ISNUMBER(SEARCH("DSL",[1]OUT_TransportEnergyCons!$C$3:$C$1000))*1,[1]OUT_TransportEnergyCons!L$3:L$1000)</f>
        <v>1.7086697639582271E-3</v>
      </c>
      <c r="O1193" s="1" cm="1">
        <f t="array" ref="O1193">SUMPRODUCT(("T_C-ICE-DSL-S3"=[1]OUT_TransportEnergyCons!$A$3:$A$1000)*1,("Var_Fin"=[1]OUT_TransportEnergyCons!$B$3:$B$1000)*1,ISNUMBER(SEARCH("DSL",[1]OUT_TransportEnergyCons!$C$3:$C$1000))*1,[1]OUT_TransportEnergyCons!M$3:M$1000)</f>
        <v>1.1819387177351844E-3</v>
      </c>
      <c r="P1193" s="1" cm="1">
        <f t="array" ref="P1193">SUMPRODUCT(("T_C-ICE-DSL-S3"=[1]OUT_TransportEnergyCons!$A$3:$A$1000)*1,("Var_Fin"=[1]OUT_TransportEnergyCons!$B$3:$B$1000)*1,ISNUMBER(SEARCH("DSL",[1]OUT_TransportEnergyCons!$C$3:$C$1000))*1,[1]OUT_TransportEnergyCons!N$3:N$1000)</f>
        <v>5.9447789284929921E-4</v>
      </c>
      <c r="Q1193" s="1" cm="1">
        <f t="array" ref="Q1193">SUMPRODUCT(("T_C-ICE-DSL-S3"=[1]OUT_TransportEnergyCons!$A$3:$A$1000)*1,("Var_Fin"=[1]OUT_TransportEnergyCons!$B$3:$B$1000)*1,ISNUMBER(SEARCH("DSL",[1]OUT_TransportEnergyCons!$C$3:$C$1000))*1,[1]OUT_TransportEnergyCons!O$3:O$1000)</f>
        <v>4.4868582295827834E-4</v>
      </c>
      <c r="S1193" s="3"/>
    </row>
    <row r="1194" spans="2:19" x14ac:dyDescent="0.5">
      <c r="B1194" s="5" t="str">
        <f t="shared" si="1358"/>
        <v>SPS1</v>
      </c>
      <c r="C1194" s="5" t="str">
        <f t="shared" si="1359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1.9341306410497783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2.2108960581711501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2.173148122777147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1.6645909059772008</v>
      </c>
      <c r="J1194" s="1" cm="1">
        <f t="array" ref="J1194">SUMPRODUCT(("T_C-ICE-DSL-S4"=[1]OUT_TransportEnergyCons!$A$3:$A$1000)*1,("Var_Fin"=[1]OUT_TransportEnergyCons!$B$3:$B$1000)*1,ISNUMBER(SEARCH("DSL",[1]OUT_TransportEnergyCons!$C$3:$C$1000))*1,[1]OUT_TransportEnergyCons!H$3:H$1000)</f>
        <v>0.10952004352609222</v>
      </c>
      <c r="K1194" s="1" cm="1">
        <f t="array" ref="K1194">SUMPRODUCT(("T_C-ICE-DSL-S4"=[1]OUT_TransportEnergyCons!$A$3:$A$1000)*1,("Var_Fin"=[1]OUT_TransportEnergyCons!$B$3:$B$1000)*1,ISNUMBER(SEARCH("DSL",[1]OUT_TransportEnergyCons!$C$3:$C$1000))*1,[1]OUT_TransportEnergyCons!I$3:I$1000)</f>
        <v>2.0378578384295694E-3</v>
      </c>
      <c r="L1194" s="1" cm="1">
        <f t="array" ref="L1194">SUMPRODUCT(("T_C-ICE-DSL-S4"=[1]OUT_TransportEnergyCons!$A$3:$A$1000)*1,("Var_Fin"=[1]OUT_TransportEnergyCons!$B$3:$B$1000)*1,ISNUMBER(SEARCH("DSL",[1]OUT_TransportEnergyCons!$C$3:$C$1000))*1,[1]OUT_TransportEnergyCons!J$3:J$1000)</f>
        <v>1.9624785937048012E-3</v>
      </c>
      <c r="M1194" s="1" cm="1">
        <f t="array" ref="M1194">SUMPRODUCT(("T_C-ICE-DSL-S4"=[1]OUT_TransportEnergyCons!$A$3:$A$1000)*1,("Var_Fin"=[1]OUT_TransportEnergyCons!$B$3:$B$1000)*1,ISNUMBER(SEARCH("DSL",[1]OUT_TransportEnergyCons!$C$3:$C$1000))*1,[1]OUT_TransportEnergyCons!K$3:K$1000)</f>
        <v>2.3610193876493421E-3</v>
      </c>
      <c r="N1194" s="1" cm="1">
        <f t="array" ref="N1194">SUMPRODUCT(("T_C-ICE-DSL-S4"=[1]OUT_TransportEnergyCons!$A$3:$A$1000)*1,("Var_Fin"=[1]OUT_TransportEnergyCons!$B$3:$B$1000)*1,ISNUMBER(SEARCH("DSL",[1]OUT_TransportEnergyCons!$C$3:$C$1000))*1,[1]OUT_TransportEnergyCons!L$3:L$1000)</f>
        <v>1.6413498897563713E-3</v>
      </c>
      <c r="O1194" s="1" cm="1">
        <f t="array" ref="O1194">SUMPRODUCT(("T_C-ICE-DSL-S4"=[1]OUT_TransportEnergyCons!$A$3:$A$1000)*1,("Var_Fin"=[1]OUT_TransportEnergyCons!$B$3:$B$1000)*1,ISNUMBER(SEARCH("DSL",[1]OUT_TransportEnergyCons!$C$3:$C$1000))*1,[1]OUT_TransportEnergyCons!M$3:M$1000)</f>
        <v>1.1112250350487427E-3</v>
      </c>
      <c r="P1194" s="1" cm="1">
        <f t="array" ref="P1194">SUMPRODUCT(("T_C-ICE-DSL-S4"=[1]OUT_TransportEnergyCons!$A$3:$A$1000)*1,("Var_Fin"=[1]OUT_TransportEnergyCons!$B$3:$B$1000)*1,ISNUMBER(SEARCH("DSL",[1]OUT_TransportEnergyCons!$C$3:$C$1000))*1,[1]OUT_TransportEnergyCons!N$3:N$1000)</f>
        <v>5.0942690020702654E-4</v>
      </c>
      <c r="Q1194" s="1" cm="1">
        <f t="array" ref="Q1194">SUMPRODUCT(("T_C-ICE-DSL-S4"=[1]OUT_TransportEnergyCons!$A$3:$A$1000)*1,("Var_Fin"=[1]OUT_TransportEnergyCons!$B$3:$B$1000)*1,ISNUMBER(SEARCH("DSL",[1]OUT_TransportEnergyCons!$C$3:$C$1000))*1,[1]OUT_TransportEnergyCons!O$3:O$1000)</f>
        <v>3.8940001949052636E-4</v>
      </c>
      <c r="S1194" s="3"/>
    </row>
    <row r="1195" spans="2:19" x14ac:dyDescent="0.5">
      <c r="B1195" s="5" t="str">
        <f t="shared" si="1358"/>
        <v>SPS1</v>
      </c>
      <c r="C1195" s="5" t="str">
        <f t="shared" si="1359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5.4796295498694188E-4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0.83800382701440768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2.1459549689080961</v>
      </c>
      <c r="J1195" s="1" cm="1">
        <f t="array" ref="J1195">SUMPRODUCT(("T_C-MHY-DSL-S1"=[1]OUT_TransportEnergyCons!$A$3:$A$1000)*1,("Var_Fin"=[1]OUT_TransportEnergyCons!$B$3:$B$1000)*1,ISNUMBER(SEARCH("DSL",[1]OUT_TransportEnergyCons!$C$3:$C$1000))*1,[1]OUT_TransportEnergyCons!H$3:H$1000)</f>
        <v>1.9309623739007227</v>
      </c>
      <c r="K1195" s="1" cm="1">
        <f t="array" ref="K1195">SUMPRODUCT(("T_C-MHY-DSL-S1"=[1]OUT_TransportEnergyCons!$A$3:$A$1000)*1,("Var_Fin"=[1]OUT_TransportEnergyCons!$B$3:$B$1000)*1,ISNUMBER(SEARCH("DSL",[1]OUT_TransportEnergyCons!$C$3:$C$1000))*1,[1]OUT_TransportEnergyCons!I$3:I$1000)</f>
        <v>1.1555427812340069</v>
      </c>
      <c r="L1195" s="1" cm="1">
        <f t="array" ref="L1195">SUMPRODUCT(("T_C-MHY-DSL-S1"=[1]OUT_TransportEnergyCons!$A$3:$A$1000)*1,("Var_Fin"=[1]OUT_TransportEnergyCons!$B$3:$B$1000)*1,ISNUMBER(SEARCH("DSL",[1]OUT_TransportEnergyCons!$C$3:$C$1000))*1,[1]OUT_TransportEnergyCons!J$3:J$1000)</f>
        <v>0.30410146649633246</v>
      </c>
      <c r="M1195" s="1" cm="1">
        <f t="array" ref="M1195">SUMPRODUCT(("T_C-MHY-DSL-S1"=[1]OUT_TransportEnergyCons!$A$3:$A$1000)*1,("Var_Fin"=[1]OUT_TransportEnergyCons!$B$3:$B$1000)*1,ISNUMBER(SEARCH("DSL",[1]OUT_TransportEnergyCons!$C$3:$C$1000))*1,[1]OUT_TransportEnergyCons!K$3:K$1000)</f>
        <v>0.10299455566024546</v>
      </c>
      <c r="N1195" s="1" cm="1">
        <f t="array" ref="N1195">SUMPRODUCT(("T_C-MHY-DSL-S1"=[1]OUT_TransportEnergyCons!$A$3:$A$1000)*1,("Var_Fin"=[1]OUT_TransportEnergyCons!$B$3:$B$1000)*1,ISNUMBER(SEARCH("DSL",[1]OUT_TransportEnergyCons!$C$3:$C$1000))*1,[1]OUT_TransportEnergyCons!L$3:L$1000)</f>
        <v>1.3677365184647801E-2</v>
      </c>
      <c r="O1195" s="1" cm="1">
        <f t="array" ref="O1195">SUMPRODUCT(("T_C-MHY-DSL-S1"=[1]OUT_TransportEnergyCons!$A$3:$A$1000)*1,("Var_Fin"=[1]OUT_TransportEnergyCons!$B$3:$B$1000)*1,ISNUMBER(SEARCH("DSL",[1]OUT_TransportEnergyCons!$C$3:$C$1000))*1,[1]OUT_TransportEnergyCons!M$3:M$1000)</f>
        <v>1.0645454501071493E-3</v>
      </c>
      <c r="P1195" s="1" cm="1">
        <f t="array" ref="P1195">SUMPRODUCT(("T_C-MHY-DSL-S1"=[1]OUT_TransportEnergyCons!$A$3:$A$1000)*1,("Var_Fin"=[1]OUT_TransportEnergyCons!$B$3:$B$1000)*1,ISNUMBER(SEARCH("DSL",[1]OUT_TransportEnergyCons!$C$3:$C$1000))*1,[1]OUT_TransportEnergyCons!N$3:N$1000)</f>
        <v>1.1997377333966609E-3</v>
      </c>
      <c r="Q1195" s="1" cm="1">
        <f t="array" ref="Q1195">SUMPRODUCT(("T_C-MHY-DSL-S1"=[1]OUT_TransportEnergyCons!$A$3:$A$1000)*1,("Var_Fin"=[1]OUT_TransportEnergyCons!$B$3:$B$1000)*1,ISNUMBER(SEARCH("DSL",[1]OUT_TransportEnergyCons!$C$3:$C$1000))*1,[1]OUT_TransportEnergyCons!O$3:O$1000)</f>
        <v>1.2609672434852851E-3</v>
      </c>
      <c r="S1195" s="3"/>
    </row>
    <row r="1196" spans="2:19" x14ac:dyDescent="0.5">
      <c r="B1196" s="5" t="str">
        <f t="shared" si="1358"/>
        <v>SPS1</v>
      </c>
      <c r="C1196" s="5" t="str">
        <f t="shared" si="1359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4.1124414824214551E-4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3.1778090178781458E-3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6.1910854984469918E-3</v>
      </c>
      <c r="J1196" s="1" cm="1">
        <f t="array" ref="J1196">SUMPRODUCT(("T_C-MHY-DSL-S2"=[1]OUT_TransportEnergyCons!$A$3:$A$1000)*1,("Var_Fin"=[1]OUT_TransportEnergyCons!$B$3:$B$1000)*1,ISNUMBER(SEARCH("DSL",[1]OUT_TransportEnergyCons!$C$3:$C$1000))*1,[1]OUT_TransportEnergyCons!H$3:H$1000)</f>
        <v>1.6136009837835211E-2</v>
      </c>
      <c r="K1196" s="1" cm="1">
        <f t="array" ref="K1196">SUMPRODUCT(("T_C-MHY-DSL-S2"=[1]OUT_TransportEnergyCons!$A$3:$A$1000)*1,("Var_Fin"=[1]OUT_TransportEnergyCons!$B$3:$B$1000)*1,ISNUMBER(SEARCH("DSL",[1]OUT_TransportEnergyCons!$C$3:$C$1000))*1,[1]OUT_TransportEnergyCons!I$3:I$1000)</f>
        <v>1.7173953287803988E-2</v>
      </c>
      <c r="L1196" s="1" cm="1">
        <f t="array" ref="L1196">SUMPRODUCT(("T_C-MHY-DSL-S2"=[1]OUT_TransportEnergyCons!$A$3:$A$1000)*1,("Var_Fin"=[1]OUT_TransportEnergyCons!$B$3:$B$1000)*1,ISNUMBER(SEARCH("DSL",[1]OUT_TransportEnergyCons!$C$3:$C$1000))*1,[1]OUT_TransportEnergyCons!J$3:J$1000)</f>
        <v>9.9927976305591425E-3</v>
      </c>
      <c r="M1196" s="1" cm="1">
        <f t="array" ref="M1196">SUMPRODUCT(("T_C-MHY-DSL-S2"=[1]OUT_TransportEnergyCons!$A$3:$A$1000)*1,("Var_Fin"=[1]OUT_TransportEnergyCons!$B$3:$B$1000)*1,ISNUMBER(SEARCH("DSL",[1]OUT_TransportEnergyCons!$C$3:$C$1000))*1,[1]OUT_TransportEnergyCons!K$3:K$1000)</f>
        <v>4.4410644986426599E-3</v>
      </c>
      <c r="N1196" s="1" cm="1">
        <f t="array" ref="N1196">SUMPRODUCT(("T_C-MHY-DSL-S2"=[1]OUT_TransportEnergyCons!$A$3:$A$1000)*1,("Var_Fin"=[1]OUT_TransportEnergyCons!$B$3:$B$1000)*1,ISNUMBER(SEARCH("DSL",[1]OUT_TransportEnergyCons!$C$3:$C$1000))*1,[1]OUT_TransportEnergyCons!L$3:L$1000)</f>
        <v>2.7284023695231031E-3</v>
      </c>
      <c r="O1196" s="1" cm="1">
        <f t="array" ref="O1196">SUMPRODUCT(("T_C-MHY-DSL-S2"=[1]OUT_TransportEnergyCons!$A$3:$A$1000)*1,("Var_Fin"=[1]OUT_TransportEnergyCons!$B$3:$B$1000)*1,ISNUMBER(SEARCH("DSL",[1]OUT_TransportEnergyCons!$C$3:$C$1000))*1,[1]OUT_TransportEnergyCons!M$3:M$1000)</f>
        <v>3.3022125533548278E-3</v>
      </c>
      <c r="P1196" s="1" cm="1">
        <f t="array" ref="P1196">SUMPRODUCT(("T_C-MHY-DSL-S2"=[1]OUT_TransportEnergyCons!$A$3:$A$1000)*1,("Var_Fin"=[1]OUT_TransportEnergyCons!$B$3:$B$1000)*1,ISNUMBER(SEARCH("DSL",[1]OUT_TransportEnergyCons!$C$3:$C$1000))*1,[1]OUT_TransportEnergyCons!N$3:N$1000)</f>
        <v>4.5992399031213613E-3</v>
      </c>
      <c r="Q1196" s="1" cm="1">
        <f t="array" ref="Q1196">SUMPRODUCT(("T_C-MHY-DSL-S2"=[1]OUT_TransportEnergyCons!$A$3:$A$1000)*1,("Var_Fin"=[1]OUT_TransportEnergyCons!$B$3:$B$1000)*1,ISNUMBER(SEARCH("DSL",[1]OUT_TransportEnergyCons!$C$3:$C$1000))*1,[1]OUT_TransportEnergyCons!O$3:O$1000)</f>
        <v>6.2680287812963689E-3</v>
      </c>
      <c r="S1196" s="3"/>
    </row>
    <row r="1197" spans="2:19" x14ac:dyDescent="0.5">
      <c r="B1197" s="5" t="str">
        <f t="shared" si="1358"/>
        <v>SPS1</v>
      </c>
      <c r="C1197" s="5" t="str">
        <f t="shared" si="1359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6.2394279450511984E-4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2.7057848022407714E-3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5.0205757679920356E-3</v>
      </c>
      <c r="J1197" s="1" cm="1">
        <f t="array" ref="J1197">SUMPRODUCT(("T_C-MHY-DSL-S3"=[1]OUT_TransportEnergyCons!$A$3:$A$1000)*1,("Var_Fin"=[1]OUT_TransportEnergyCons!$B$3:$B$1000)*1,ISNUMBER(SEARCH("DSL",[1]OUT_TransportEnergyCons!$C$3:$C$1000))*1,[1]OUT_TransportEnergyCons!H$3:H$1000)</f>
        <v>6.900630127726301E-2</v>
      </c>
      <c r="K1197" s="1" cm="1">
        <f t="array" ref="K1197">SUMPRODUCT(("T_C-MHY-DSL-S3"=[1]OUT_TransportEnergyCons!$A$3:$A$1000)*1,("Var_Fin"=[1]OUT_TransportEnergyCons!$B$3:$B$1000)*1,ISNUMBER(SEARCH("DSL",[1]OUT_TransportEnergyCons!$C$3:$C$1000))*1,[1]OUT_TransportEnergyCons!I$3:I$1000)</f>
        <v>1.0644450467824629</v>
      </c>
      <c r="L1197" s="1" cm="1">
        <f t="array" ref="L1197">SUMPRODUCT(("T_C-MHY-DSL-S3"=[1]OUT_TransportEnergyCons!$A$3:$A$1000)*1,("Var_Fin"=[1]OUT_TransportEnergyCons!$B$3:$B$1000)*1,ISNUMBER(SEARCH("DSL",[1]OUT_TransportEnergyCons!$C$3:$C$1000))*1,[1]OUT_TransportEnergyCons!J$3:J$1000)</f>
        <v>2.0532640754211475</v>
      </c>
      <c r="M1197" s="1" cm="1">
        <f t="array" ref="M1197">SUMPRODUCT(("T_C-MHY-DSL-S3"=[1]OUT_TransportEnergyCons!$A$3:$A$1000)*1,("Var_Fin"=[1]OUT_TransportEnergyCons!$B$3:$B$1000)*1,ISNUMBER(SEARCH("DSL",[1]OUT_TransportEnergyCons!$C$3:$C$1000))*1,[1]OUT_TransportEnergyCons!K$3:K$1000)</f>
        <v>2.2507291983186879</v>
      </c>
      <c r="N1197" s="1" cm="1">
        <f t="array" ref="N1197">SUMPRODUCT(("T_C-MHY-DSL-S3"=[1]OUT_TransportEnergyCons!$A$3:$A$1000)*1,("Var_Fin"=[1]OUT_TransportEnergyCons!$B$3:$B$1000)*1,ISNUMBER(SEARCH("DSL",[1]OUT_TransportEnergyCons!$C$3:$C$1000))*1,[1]OUT_TransportEnergyCons!L$3:L$1000)</f>
        <v>2.2501393592918819</v>
      </c>
      <c r="O1197" s="1" cm="1">
        <f t="array" ref="O1197">SUMPRODUCT(("T_C-MHY-DSL-S3"=[1]OUT_TransportEnergyCons!$A$3:$A$1000)*1,("Var_Fin"=[1]OUT_TransportEnergyCons!$B$3:$B$1000)*1,ISNUMBER(SEARCH("DSL",[1]OUT_TransportEnergyCons!$C$3:$C$1000))*1,[1]OUT_TransportEnergyCons!M$3:M$1000)</f>
        <v>2.1966585036909354</v>
      </c>
      <c r="P1197" s="1" cm="1">
        <f t="array" ref="P1197">SUMPRODUCT(("T_C-MHY-DSL-S3"=[1]OUT_TransportEnergyCons!$A$3:$A$1000)*1,("Var_Fin"=[1]OUT_TransportEnergyCons!$B$3:$B$1000)*1,ISNUMBER(SEARCH("DSL",[1]OUT_TransportEnergyCons!$C$3:$C$1000))*1,[1]OUT_TransportEnergyCons!N$3:N$1000)</f>
        <v>2.1429171291849172</v>
      </c>
      <c r="Q1197" s="1" cm="1">
        <f t="array" ref="Q1197">SUMPRODUCT(("T_C-MHY-DSL-S3"=[1]OUT_TransportEnergyCons!$A$3:$A$1000)*1,("Var_Fin"=[1]OUT_TransportEnergyCons!$B$3:$B$1000)*1,ISNUMBER(SEARCH("DSL",[1]OUT_TransportEnergyCons!$C$3:$C$1000))*1,[1]OUT_TransportEnergyCons!O$3:O$1000)</f>
        <v>2.1116307393434601</v>
      </c>
      <c r="S1197" s="3"/>
    </row>
    <row r="1198" spans="2:19" x14ac:dyDescent="0.5">
      <c r="B1198" s="5" t="str">
        <f t="shared" si="1358"/>
        <v>SPS1</v>
      </c>
      <c r="C1198" s="5" t="str">
        <f t="shared" si="1359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3.9194971046760738E-4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1.0686941562450566E-3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1.5937515443388149E-3</v>
      </c>
      <c r="J1198" s="1" cm="1">
        <f t="array" ref="J1198">SUMPRODUCT(("T_C-MHY-DSL-S4"=[1]OUT_TransportEnergyCons!$A$3:$A$1000)*1,("Var_Fin"=[1]OUT_TransportEnergyCons!$B$3:$B$1000)*1,ISNUMBER(SEARCH("DSL",[1]OUT_TransportEnergyCons!$C$3:$C$1000))*1,[1]OUT_TransportEnergyCons!H$3:H$1000)</f>
        <v>2.5029234857849841E-3</v>
      </c>
      <c r="K1198" s="1" cm="1">
        <f t="array" ref="K1198">SUMPRODUCT(("T_C-MHY-DSL-S4"=[1]OUT_TransportEnergyCons!$A$3:$A$1000)*1,("Var_Fin"=[1]OUT_TransportEnergyCons!$B$3:$B$1000)*1,ISNUMBER(SEARCH("DSL",[1]OUT_TransportEnergyCons!$C$3:$C$1000))*1,[1]OUT_TransportEnergyCons!I$3:I$1000)</f>
        <v>4.9365812383419996E-3</v>
      </c>
      <c r="L1198" s="1" cm="1">
        <f t="array" ref="L1198">SUMPRODUCT(("T_C-MHY-DSL-S4"=[1]OUT_TransportEnergyCons!$A$3:$A$1000)*1,("Var_Fin"=[1]OUT_TransportEnergyCons!$B$3:$B$1000)*1,ISNUMBER(SEARCH("DSL",[1]OUT_TransportEnergyCons!$C$3:$C$1000))*1,[1]OUT_TransportEnergyCons!J$3:J$1000)</f>
        <v>6.613165258789514E-3</v>
      </c>
      <c r="M1198" s="1" cm="1">
        <f t="array" ref="M1198">SUMPRODUCT(("T_C-MHY-DSL-S4"=[1]OUT_TransportEnergyCons!$A$3:$A$1000)*1,("Var_Fin"=[1]OUT_TransportEnergyCons!$B$3:$B$1000)*1,ISNUMBER(SEARCH("DSL",[1]OUT_TransportEnergyCons!$C$3:$C$1000))*1,[1]OUT_TransportEnergyCons!K$3:K$1000)</f>
        <v>1.0281228133998383E-2</v>
      </c>
      <c r="N1198" s="1" cm="1">
        <f t="array" ref="N1198">SUMPRODUCT(("T_C-MHY-DSL-S4"=[1]OUT_TransportEnergyCons!$A$3:$A$1000)*1,("Var_Fin"=[1]OUT_TransportEnergyCons!$B$3:$B$1000)*1,ISNUMBER(SEARCH("DSL",[1]OUT_TransportEnergyCons!$C$3:$C$1000))*1,[1]OUT_TransportEnergyCons!L$3:L$1000)</f>
        <v>1.1032303051085907E-2</v>
      </c>
      <c r="O1198" s="1" cm="1">
        <f t="array" ref="O1198">SUMPRODUCT(("T_C-MHY-DSL-S4"=[1]OUT_TransportEnergyCons!$A$3:$A$1000)*1,("Var_Fin"=[1]OUT_TransportEnergyCons!$B$3:$B$1000)*1,ISNUMBER(SEARCH("DSL",[1]OUT_TransportEnergyCons!$C$3:$C$1000))*1,[1]OUT_TransportEnergyCons!M$3:M$1000)</f>
        <v>8.6063357544731104E-3</v>
      </c>
      <c r="P1198" s="1" cm="1">
        <f t="array" ref="P1198">SUMPRODUCT(("T_C-MHY-DSL-S4"=[1]OUT_TransportEnergyCons!$A$3:$A$1000)*1,("Var_Fin"=[1]OUT_TransportEnergyCons!$B$3:$B$1000)*1,ISNUMBER(SEARCH("DSL",[1]OUT_TransportEnergyCons!$C$3:$C$1000))*1,[1]OUT_TransportEnergyCons!N$3:N$1000)</f>
        <v>4.3964507463665065E-3</v>
      </c>
      <c r="Q1198" s="1" cm="1">
        <f t="array" ref="Q1198">SUMPRODUCT(("T_C-MHY-DSL-S4"=[1]OUT_TransportEnergyCons!$A$3:$A$1000)*1,("Var_Fin"=[1]OUT_TransportEnergyCons!$B$3:$B$1000)*1,ISNUMBER(SEARCH("DSL",[1]OUT_TransportEnergyCons!$C$3:$C$1000))*1,[1]OUT_TransportEnergyCons!O$3:O$1000)</f>
        <v>4.5533711697323676E-3</v>
      </c>
      <c r="S1198" s="3"/>
    </row>
    <row r="1199" spans="2:19" x14ac:dyDescent="0.5">
      <c r="B1199" s="5" t="str">
        <f t="shared" si="1358"/>
        <v>SPS1</v>
      </c>
      <c r="C1199" s="5" t="str">
        <f t="shared" si="1359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1.8135526542378927E-5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6.47661206379566E-4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8.9038739355469868E-4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1.0342537020306675E-3</v>
      </c>
      <c r="J1199" s="1" cm="1">
        <f t="array" ref="J1199">SUMPRODUCT(("T-Plg-DSL-mix_S1"=[1]OUT_TransportEnergyCons!$A$3:$A$1000)*1,("Var_Fin"=[1]OUT_TransportEnergyCons!$B$3:$B$1000)*1,ISNUMBER(SEARCH("DSL",[1]OUT_TransportEnergyCons!$C$3:$C$1000))*1,[1]OUT_TransportEnergyCons!H$3:H$1000)</f>
        <v>1.2657235232615455E-3</v>
      </c>
      <c r="K1199" s="1" cm="1">
        <f t="array" ref="K1199">SUMPRODUCT(("T-Plg-DSL-mix_S1"=[1]OUT_TransportEnergyCons!$A$3:$A$1000)*1,("Var_Fin"=[1]OUT_TransportEnergyCons!$B$3:$B$1000)*1,ISNUMBER(SEARCH("DSL",[1]OUT_TransportEnergyCons!$C$3:$C$1000))*1,[1]OUT_TransportEnergyCons!I$3:I$1000)</f>
        <v>1.8911245795609213E-3</v>
      </c>
      <c r="L1199" s="1" cm="1">
        <f t="array" ref="L1199">SUMPRODUCT(("T-Plg-DSL-mix_S1"=[1]OUT_TransportEnergyCons!$A$3:$A$1000)*1,("Var_Fin"=[1]OUT_TransportEnergyCons!$B$3:$B$1000)*1,ISNUMBER(SEARCH("DSL",[1]OUT_TransportEnergyCons!$C$3:$C$1000))*1,[1]OUT_TransportEnergyCons!J$3:J$1000)</f>
        <v>1.8116845416548536E-3</v>
      </c>
      <c r="M1199" s="1" cm="1">
        <f t="array" ref="M1199">SUMPRODUCT(("T-Plg-DSL-mix_S1"=[1]OUT_TransportEnergyCons!$A$3:$A$1000)*1,("Var_Fin"=[1]OUT_TransportEnergyCons!$B$3:$B$1000)*1,ISNUMBER(SEARCH("DSL",[1]OUT_TransportEnergyCons!$C$3:$C$1000))*1,[1]OUT_TransportEnergyCons!K$3:K$1000)</f>
        <v>2.626219997413427E-3</v>
      </c>
      <c r="N1199" s="1" cm="1">
        <f t="array" ref="N1199">SUMPRODUCT(("T-Plg-DSL-mix_S1"=[1]OUT_TransportEnergyCons!$A$3:$A$1000)*1,("Var_Fin"=[1]OUT_TransportEnergyCons!$B$3:$B$1000)*1,ISNUMBER(SEARCH("DSL",[1]OUT_TransportEnergyCons!$C$3:$C$1000))*1,[1]OUT_TransportEnergyCons!L$3:L$1000)</f>
        <v>1.9131976350716248E-3</v>
      </c>
      <c r="O1199" s="1" cm="1">
        <f t="array" ref="O1199">SUMPRODUCT(("T-Plg-DSL-mix_S1"=[1]OUT_TransportEnergyCons!$A$3:$A$1000)*1,("Var_Fin"=[1]OUT_TransportEnergyCons!$B$3:$B$1000)*1,ISNUMBER(SEARCH("DSL",[1]OUT_TransportEnergyCons!$C$3:$C$1000))*1,[1]OUT_TransportEnergyCons!M$3:M$1000)</f>
        <v>6.0858249440821292E-4</v>
      </c>
      <c r="P1199" s="1" cm="1">
        <f t="array" ref="P1199">SUMPRODUCT(("T-Plg-DSL-mix_S1"=[1]OUT_TransportEnergyCons!$A$3:$A$1000)*1,("Var_Fin"=[1]OUT_TransportEnergyCons!$B$3:$B$1000)*1,ISNUMBER(SEARCH("DSL",[1]OUT_TransportEnergyCons!$C$3:$C$1000))*1,[1]OUT_TransportEnergyCons!N$3:N$1000)</f>
        <v>2.8212233165006949E-4</v>
      </c>
      <c r="Q1199" s="1" cm="1">
        <f t="array" ref="Q1199">SUMPRODUCT(("T-Plg-DSL-mix_S1"=[1]OUT_TransportEnergyCons!$A$3:$A$1000)*1,("Var_Fin"=[1]OUT_TransportEnergyCons!$B$3:$B$1000)*1,ISNUMBER(SEARCH("DSL",[1]OUT_TransportEnergyCons!$C$3:$C$1000))*1,[1]OUT_TransportEnergyCons!O$3:O$1000)</f>
        <v>2.1125455215622056E-4</v>
      </c>
      <c r="S1199" s="3"/>
    </row>
    <row r="1200" spans="2:19" x14ac:dyDescent="0.5">
      <c r="B1200" s="5" t="str">
        <f t="shared" si="1358"/>
        <v>SPS1</v>
      </c>
      <c r="C1200" s="5" t="str">
        <f t="shared" si="1359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1.1129121701164779E-5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7.4612979114154962E-4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3.5572384918593266E-3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4.2507048523133632E-3</v>
      </c>
      <c r="J1200" s="1" cm="1">
        <f t="array" ref="J1200">SUMPRODUCT(("T-Plg-DSL-mix_S2"=[1]OUT_TransportEnergyCons!$A$3:$A$1000)*1,("Var_Fin"=[1]OUT_TransportEnergyCons!$B$3:$B$1000)*1,ISNUMBER(SEARCH("DSL",[1]OUT_TransportEnergyCons!$C$3:$C$1000))*1,[1]OUT_TransportEnergyCons!H$3:H$1000)</f>
        <v>9.3964755118282704E-3</v>
      </c>
      <c r="K1200" s="1" cm="1">
        <f t="array" ref="K1200">SUMPRODUCT(("T-Plg-DSL-mix_S2"=[1]OUT_TransportEnergyCons!$A$3:$A$1000)*1,("Var_Fin"=[1]OUT_TransportEnergyCons!$B$3:$B$1000)*1,ISNUMBER(SEARCH("DSL",[1]OUT_TransportEnergyCons!$C$3:$C$1000))*1,[1]OUT_TransportEnergyCons!I$3:I$1000)</f>
        <v>1.1337517000641232E-2</v>
      </c>
      <c r="L1200" s="1" cm="1">
        <f t="array" ref="L1200">SUMPRODUCT(("T-Plg-DSL-mix_S2"=[1]OUT_TransportEnergyCons!$A$3:$A$1000)*1,("Var_Fin"=[1]OUT_TransportEnergyCons!$B$3:$B$1000)*1,ISNUMBER(SEARCH("DSL",[1]OUT_TransportEnergyCons!$C$3:$C$1000))*1,[1]OUT_TransportEnergyCons!J$3:J$1000)</f>
        <v>9.2027626734192784E-3</v>
      </c>
      <c r="M1200" s="1" cm="1">
        <f t="array" ref="M1200">SUMPRODUCT(("T-Plg-DSL-mix_S2"=[1]OUT_TransportEnergyCons!$A$3:$A$1000)*1,("Var_Fin"=[1]OUT_TransportEnergyCons!$B$3:$B$1000)*1,ISNUMBER(SEARCH("DSL",[1]OUT_TransportEnergyCons!$C$3:$C$1000))*1,[1]OUT_TransportEnergyCons!K$3:K$1000)</f>
        <v>7.4609889526320566E-3</v>
      </c>
      <c r="N1200" s="1" cm="1">
        <f t="array" ref="N1200">SUMPRODUCT(("T-Plg-DSL-mix_S2"=[1]OUT_TransportEnergyCons!$A$3:$A$1000)*1,("Var_Fin"=[1]OUT_TransportEnergyCons!$B$3:$B$1000)*1,ISNUMBER(SEARCH("DSL",[1]OUT_TransportEnergyCons!$C$3:$C$1000))*1,[1]OUT_TransportEnergyCons!L$3:L$1000)</f>
        <v>4.6387820237130213E-3</v>
      </c>
      <c r="O1200" s="1" cm="1">
        <f t="array" ref="O1200">SUMPRODUCT(("T-Plg-DSL-mix_S2"=[1]OUT_TransportEnergyCons!$A$3:$A$1000)*1,("Var_Fin"=[1]OUT_TransportEnergyCons!$B$3:$B$1000)*1,ISNUMBER(SEARCH("DSL",[1]OUT_TransportEnergyCons!$C$3:$C$1000))*1,[1]OUT_TransportEnergyCons!M$3:M$1000)</f>
        <v>2.619070055277839E-3</v>
      </c>
      <c r="P1200" s="1" cm="1">
        <f t="array" ref="P1200">SUMPRODUCT(("T-Plg-DSL-mix_S2"=[1]OUT_TransportEnergyCons!$A$3:$A$1000)*1,("Var_Fin"=[1]OUT_TransportEnergyCons!$B$3:$B$1000)*1,ISNUMBER(SEARCH("DSL",[1]OUT_TransportEnergyCons!$C$3:$C$1000))*1,[1]OUT_TransportEnergyCons!N$3:N$1000)</f>
        <v>7.5243164606846784E-4</v>
      </c>
      <c r="Q1200" s="1" cm="1">
        <f t="array" ref="Q1200">SUMPRODUCT(("T-Plg-DSL-mix_S2"=[1]OUT_TransportEnergyCons!$A$3:$A$1000)*1,("Var_Fin"=[1]OUT_TransportEnergyCons!$B$3:$B$1000)*1,ISNUMBER(SEARCH("DSL",[1]OUT_TransportEnergyCons!$C$3:$C$1000))*1,[1]OUT_TransportEnergyCons!O$3:O$1000)</f>
        <v>3.7875911861611205E-4</v>
      </c>
      <c r="S1200" s="3"/>
    </row>
    <row r="1201" spans="2:19" x14ac:dyDescent="0.5">
      <c r="B1201" s="5" t="str">
        <f t="shared" si="1358"/>
        <v>SPS1</v>
      </c>
      <c r="C1201" s="5" t="str">
        <f t="shared" si="1359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1.1375401956203339E-4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0.84104974924188847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2.3027751307426954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7.2125713701615402</v>
      </c>
      <c r="J1201" s="1" cm="1">
        <f t="array" ref="J1201">SUMPRODUCT(("T-Plg-DSL-mix_S3"=[1]OUT_TransportEnergyCons!$A$3:$A$1000)*1,("Var_Fin"=[1]OUT_TransportEnergyCons!$B$3:$B$1000)*1,ISNUMBER(SEARCH("DSL",[1]OUT_TransportEnergyCons!$C$3:$C$1000))*1,[1]OUT_TransportEnergyCons!H$3:H$1000)</f>
        <v>10.197599275654133</v>
      </c>
      <c r="K1201" s="1" cm="1">
        <f t="array" ref="K1201">SUMPRODUCT(("T-Plg-DSL-mix_S3"=[1]OUT_TransportEnergyCons!$A$3:$A$1000)*1,("Var_Fin"=[1]OUT_TransportEnergyCons!$B$3:$B$1000)*1,ISNUMBER(SEARCH("DSL",[1]OUT_TransportEnergyCons!$C$3:$C$1000))*1,[1]OUT_TransportEnergyCons!I$3:I$1000)</f>
        <v>6.4500769260752877</v>
      </c>
      <c r="L1201" s="1" cm="1">
        <f t="array" ref="L1201">SUMPRODUCT(("T-Plg-DSL-mix_S3"=[1]OUT_TransportEnergyCons!$A$3:$A$1000)*1,("Var_Fin"=[1]OUT_TransportEnergyCons!$B$3:$B$1000)*1,ISNUMBER(SEARCH("DSL",[1]OUT_TransportEnergyCons!$C$3:$C$1000))*1,[1]OUT_TransportEnergyCons!J$3:J$1000)</f>
        <v>3.1825680495077897</v>
      </c>
      <c r="M1201" s="1" cm="1">
        <f t="array" ref="M1201">SUMPRODUCT(("T-Plg-DSL-mix_S3"=[1]OUT_TransportEnergyCons!$A$3:$A$1000)*1,("Var_Fin"=[1]OUT_TransportEnergyCons!$B$3:$B$1000)*1,ISNUMBER(SEARCH("DSL",[1]OUT_TransportEnergyCons!$C$3:$C$1000))*1,[1]OUT_TransportEnergyCons!K$3:K$1000)</f>
        <v>2.1661134672124263</v>
      </c>
      <c r="N1201" s="1" cm="1">
        <f t="array" ref="N1201">SUMPRODUCT(("T-Plg-DSL-mix_S3"=[1]OUT_TransportEnergyCons!$A$3:$A$1000)*1,("Var_Fin"=[1]OUT_TransportEnergyCons!$B$3:$B$1000)*1,ISNUMBER(SEARCH("DSL",[1]OUT_TransportEnergyCons!$C$3:$C$1000))*1,[1]OUT_TransportEnergyCons!L$3:L$1000)</f>
        <v>1.185480897801644</v>
      </c>
      <c r="O1201" s="1" cm="1">
        <f t="array" ref="O1201">SUMPRODUCT(("T-Plg-DSL-mix_S3"=[1]OUT_TransportEnergyCons!$A$3:$A$1000)*1,("Var_Fin"=[1]OUT_TransportEnergyCons!$B$3:$B$1000)*1,ISNUMBER(SEARCH("DSL",[1]OUT_TransportEnergyCons!$C$3:$C$1000))*1,[1]OUT_TransportEnergyCons!M$3:M$1000)</f>
        <v>0.58498976406148273</v>
      </c>
      <c r="P1201" s="1" cm="1">
        <f t="array" ref="P1201">SUMPRODUCT(("T-Plg-DSL-mix_S3"=[1]OUT_TransportEnergyCons!$A$3:$A$1000)*1,("Var_Fin"=[1]OUT_TransportEnergyCons!$B$3:$B$1000)*1,ISNUMBER(SEARCH("DSL",[1]OUT_TransportEnergyCons!$C$3:$C$1000))*1,[1]OUT_TransportEnergyCons!N$3:N$1000)</f>
        <v>8.0066634600637357E-2</v>
      </c>
      <c r="Q1201" s="1" cm="1">
        <f t="array" ref="Q1201">SUMPRODUCT(("T-Plg-DSL-mix_S3"=[1]OUT_TransportEnergyCons!$A$3:$A$1000)*1,("Var_Fin"=[1]OUT_TransportEnergyCons!$B$3:$B$1000)*1,ISNUMBER(SEARCH("DSL",[1]OUT_TransportEnergyCons!$C$3:$C$1000))*1,[1]OUT_TransportEnergyCons!O$3:O$1000)</f>
        <v>4.2642899287621735E-4</v>
      </c>
      <c r="S1201" s="3"/>
    </row>
    <row r="1202" spans="2:19" x14ac:dyDescent="0.5">
      <c r="B1202" s="5" t="str">
        <f t="shared" si="1358"/>
        <v>SPS1</v>
      </c>
      <c r="C1202" s="5" t="str">
        <f t="shared" si="1359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5.6692724963193983E-3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1.9947972276136323E-2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2.2180997328595426E-2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2.1878138842709761E-2</v>
      </c>
      <c r="J1202" s="1" cm="1">
        <f t="array" ref="J1202">SUMPRODUCT(("T-Plg-DSL-mix_S4"=[1]OUT_TransportEnergyCons!$A$3:$A$1000)*1,("Var_Fin"=[1]OUT_TransportEnergyCons!$B$3:$B$1000)*1,ISNUMBER(SEARCH("DSL",[1]OUT_TransportEnergyCons!$C$3:$C$1000))*1,[1]OUT_TransportEnergyCons!H$3:H$1000)</f>
        <v>2.2280869094299112</v>
      </c>
      <c r="K1202" s="1" cm="1">
        <f t="array" ref="K1202">SUMPRODUCT(("T-Plg-DSL-mix_S4"=[1]OUT_TransportEnergyCons!$A$3:$A$1000)*1,("Var_Fin"=[1]OUT_TransportEnergyCons!$B$3:$B$1000)*1,ISNUMBER(SEARCH("DSL",[1]OUT_TransportEnergyCons!$C$3:$C$1000))*1,[1]OUT_TransportEnergyCons!I$3:I$1000)</f>
        <v>4.3989110396018454</v>
      </c>
      <c r="L1202" s="1" cm="1">
        <f t="array" ref="L1202">SUMPRODUCT(("T-Plg-DSL-mix_S4"=[1]OUT_TransportEnergyCons!$A$3:$A$1000)*1,("Var_Fin"=[1]OUT_TransportEnergyCons!$B$3:$B$1000)*1,ISNUMBER(SEARCH("DSL",[1]OUT_TransportEnergyCons!$C$3:$C$1000))*1,[1]OUT_TransportEnergyCons!J$3:J$1000)</f>
        <v>3.9068150656316689</v>
      </c>
      <c r="M1202" s="1" cm="1">
        <f t="array" ref="M1202">SUMPRODUCT(("T-Plg-DSL-mix_S4"=[1]OUT_TransportEnergyCons!$A$3:$A$1000)*1,("Var_Fin"=[1]OUT_TransportEnergyCons!$B$3:$B$1000)*1,ISNUMBER(SEARCH("DSL",[1]OUT_TransportEnergyCons!$C$3:$C$1000))*1,[1]OUT_TransportEnergyCons!K$3:K$1000)</f>
        <v>2.255546081228311</v>
      </c>
      <c r="N1202" s="1" cm="1">
        <f t="array" ref="N1202">SUMPRODUCT(("T-Plg-DSL-mix_S4"=[1]OUT_TransportEnergyCons!$A$3:$A$1000)*1,("Var_Fin"=[1]OUT_TransportEnergyCons!$B$3:$B$1000)*1,ISNUMBER(SEARCH("DSL",[1]OUT_TransportEnergyCons!$C$3:$C$1000))*1,[1]OUT_TransportEnergyCons!L$3:L$1000)</f>
        <v>2.0960478085894847</v>
      </c>
      <c r="O1202" s="1" cm="1">
        <f t="array" ref="O1202">SUMPRODUCT(("T-Plg-DSL-mix_S4"=[1]OUT_TransportEnergyCons!$A$3:$A$1000)*1,("Var_Fin"=[1]OUT_TransportEnergyCons!$B$3:$B$1000)*1,ISNUMBER(SEARCH("DSL",[1]OUT_TransportEnergyCons!$C$3:$C$1000))*1,[1]OUT_TransportEnergyCons!M$3:M$1000)</f>
        <v>2.5456355955757077</v>
      </c>
      <c r="P1202" s="1" cm="1">
        <f t="array" ref="P1202">SUMPRODUCT(("T-Plg-DSL-mix_S4"=[1]OUT_TransportEnergyCons!$A$3:$A$1000)*1,("Var_Fin"=[1]OUT_TransportEnergyCons!$B$3:$B$1000)*1,ISNUMBER(SEARCH("DSL",[1]OUT_TransportEnergyCons!$C$3:$C$1000))*1,[1]OUT_TransportEnergyCons!N$3:N$1000)</f>
        <v>3.259612968870059</v>
      </c>
      <c r="Q1202" s="1" cm="1">
        <f t="array" ref="Q1202">SUMPRODUCT(("T-Plg-DSL-mix_S4"=[1]OUT_TransportEnergyCons!$A$3:$A$1000)*1,("Var_Fin"=[1]OUT_TransportEnergyCons!$B$3:$B$1000)*1,ISNUMBER(SEARCH("DSL",[1]OUT_TransportEnergyCons!$C$3:$C$1000))*1,[1]OUT_TransportEnergyCons!O$3:O$1000)</f>
        <v>3.1840207170233832</v>
      </c>
      <c r="S1202" s="3"/>
    </row>
    <row r="1203" spans="2:19" x14ac:dyDescent="0.5">
      <c r="B1203" s="5" t="str">
        <f t="shared" si="1358"/>
        <v>SPS1</v>
      </c>
      <c r="C1203" s="5" t="str">
        <f t="shared" si="1359"/>
        <v>CH</v>
      </c>
      <c r="D1203" t="s">
        <v>1303</v>
      </c>
      <c r="E1203" t="s">
        <v>8</v>
      </c>
      <c r="F1203" s="1">
        <f>SUM(F1208:F1212)</f>
        <v>0.1033141950391676</v>
      </c>
      <c r="G1203" s="1">
        <f t="shared" ref="G1203:K1203" si="1388">SUM(G1208:G1212)</f>
        <v>8.5608387892636001E-2</v>
      </c>
      <c r="H1203" s="1">
        <f t="shared" si="1388"/>
        <v>9.5667186992933986E-2</v>
      </c>
      <c r="I1203" s="1">
        <f t="shared" si="1388"/>
        <v>8.9319507627603643E-4</v>
      </c>
      <c r="J1203" s="1">
        <f t="shared" si="1388"/>
        <v>6.378342447641098E-4</v>
      </c>
      <c r="K1203" s="1">
        <f t="shared" si="1388"/>
        <v>6.1609880272526748E-4</v>
      </c>
      <c r="L1203" s="1">
        <f t="shared" ref="L1203:O1203" si="1389">SUM(L1208:L1212)</f>
        <v>5.9852546703248065E-4</v>
      </c>
      <c r="M1203" s="1">
        <f t="shared" si="1389"/>
        <v>5.5664273517717195E-4</v>
      </c>
      <c r="N1203" s="1">
        <f>SUM(N1208:N1212)</f>
        <v>4.8780045397332338E-4</v>
      </c>
      <c r="O1203" s="1">
        <f t="shared" si="1389"/>
        <v>4.7473953018798852E-4</v>
      </c>
      <c r="P1203" s="1">
        <f>SUM(P1208:P1212)</f>
        <v>4.3827155704495742E-4</v>
      </c>
      <c r="Q1203" s="1">
        <f>SUM(Q1208:Q1212)</f>
        <v>4.412365565067115E-4</v>
      </c>
      <c r="S1203" s="3"/>
    </row>
    <row r="1204" spans="2:19" x14ac:dyDescent="0.5">
      <c r="B1204" s="5" t="str">
        <f t="shared" si="1358"/>
        <v>SPS1</v>
      </c>
      <c r="C1204" s="5" t="str">
        <f t="shared" si="1359"/>
        <v>CH</v>
      </c>
      <c r="D1204" t="s">
        <v>1335</v>
      </c>
      <c r="E1204" t="s">
        <v>8</v>
      </c>
      <c r="F1204" s="1">
        <f>IF(F1203-F1205&lt;0,0,F1203-F1205)</f>
        <v>9.5453031099017871E-2</v>
      </c>
      <c r="G1204" s="1">
        <f t="shared" ref="G1204:K1204" si="1390">IF(G1203-G1205&lt;0,0,G1203-G1205)</f>
        <v>7.5012787910224199E-2</v>
      </c>
      <c r="H1204" s="1">
        <f t="shared" si="1390"/>
        <v>9.3696208728353159E-2</v>
      </c>
      <c r="I1204" s="1">
        <f t="shared" si="1390"/>
        <v>6.0558147158133518E-4</v>
      </c>
      <c r="J1204" s="1">
        <f t="shared" si="1390"/>
        <v>0</v>
      </c>
      <c r="K1204" s="1">
        <f t="shared" si="1390"/>
        <v>0</v>
      </c>
      <c r="L1204" s="1">
        <f t="shared" ref="L1204:O1204" si="1391">IF(L1203-L1205&lt;0,0,L1203-L1205)</f>
        <v>0</v>
      </c>
      <c r="M1204" s="1">
        <f t="shared" si="1391"/>
        <v>0</v>
      </c>
      <c r="N1204" s="1">
        <f>IF(N1203-N1205&lt;0,0,N1203-N1205)</f>
        <v>0</v>
      </c>
      <c r="O1204" s="1">
        <f t="shared" si="1391"/>
        <v>0</v>
      </c>
      <c r="P1204" s="1">
        <f>IF(P1203-P1205&lt;0,0,P1203-P1205)</f>
        <v>0</v>
      </c>
      <c r="Q1204" s="1">
        <f>IF(Q1203-Q1205&lt;0,0,Q1203-Q1205)</f>
        <v>0</v>
      </c>
      <c r="S1204" s="3"/>
    </row>
    <row r="1205" spans="2:19" x14ac:dyDescent="0.5">
      <c r="B1205" s="5" t="str">
        <f t="shared" si="1358"/>
        <v>SPS1</v>
      </c>
      <c r="C1205" s="5" t="str">
        <f t="shared" si="1359"/>
        <v>CH</v>
      </c>
      <c r="D1205" t="s">
        <v>1336</v>
      </c>
      <c r="E1205" t="s">
        <v>8</v>
      </c>
      <c r="F1205" s="1">
        <f>SUM(F1206:F1207)</f>
        <v>7.8611639401497332E-3</v>
      </c>
      <c r="G1205" s="1">
        <f t="shared" ref="G1205" si="1392">SUM(G1206:G1207)</f>
        <v>1.0595599982411797E-2</v>
      </c>
      <c r="H1205" s="1">
        <f t="shared" ref="H1205" si="1393">SUM(H1206:H1207)</f>
        <v>1.9709782645808299E-3</v>
      </c>
      <c r="I1205" s="1">
        <f t="shared" ref="I1205" si="1394">SUM(I1206:I1207)</f>
        <v>2.8761360469470131E-4</v>
      </c>
      <c r="J1205" s="1">
        <f t="shared" ref="J1205" si="1395">SUM(J1206:J1207)</f>
        <v>0.30098403180826533</v>
      </c>
      <c r="K1205" s="1">
        <f t="shared" ref="K1205" si="1396">SUM(K1206:K1207)</f>
        <v>0.43414002105052818</v>
      </c>
      <c r="L1205" s="1">
        <f t="shared" ref="L1205:O1205" si="1397">SUM(L1206:L1207)</f>
        <v>5.7038077687752625E-2</v>
      </c>
      <c r="M1205" s="1">
        <f t="shared" si="1397"/>
        <v>8.8067187564054919E-2</v>
      </c>
      <c r="N1205" s="1">
        <f t="shared" si="1397"/>
        <v>3.7660365481084777E-2</v>
      </c>
      <c r="O1205" s="1">
        <f t="shared" si="1397"/>
        <v>5.3541354650390324E-2</v>
      </c>
      <c r="P1205" s="1">
        <f>SUM(P1206:P1207)</f>
        <v>0.14894039982373308</v>
      </c>
      <c r="Q1205" s="1">
        <f>SUM(Q1206:Q1207)</f>
        <v>5.0167634576971938E-2</v>
      </c>
      <c r="S1205" s="3"/>
    </row>
    <row r="1206" spans="2:19" x14ac:dyDescent="0.5">
      <c r="B1206" s="5" t="str">
        <f t="shared" si="1358"/>
        <v>SPS1</v>
      </c>
      <c r="C1206" s="5" t="str">
        <f t="shared" si="1359"/>
        <v>CH</v>
      </c>
      <c r="D1206" t="s">
        <v>1337</v>
      </c>
      <c r="E1206" t="s">
        <v>8</v>
      </c>
      <c r="F1206" s="1">
        <f>IF(SUM([1]Transport!B$24,[1]Transport!B$27)=0,0,[1]Transport!B$27/SUM([1]Transport!B$24,[1]Transport!B$27)*F1203*(F$47+F$614)/(F$47+F$614+F$49))</f>
        <v>7.8611639401497332E-3</v>
      </c>
      <c r="G1206" s="1">
        <f>IF(SUM([1]Transport!C$24,[1]Transport!C$27)=0,0,[1]Transport!C$27/SUM([1]Transport!C$24,[1]Transport!C$27)*G1203*(G$47+G$614)/(G$47+G$614+G$49))</f>
        <v>1.0595599982411797E-2</v>
      </c>
      <c r="H1206" s="1">
        <f>IF(SUM([1]Transport!D$24,[1]Transport!D$27)=0,0,[1]Transport!D$27/SUM([1]Transport!D$24,[1]Transport!D$27)*H1203*(H$47+H$614)/(H$47+H$614+H$49))</f>
        <v>1.9709782645808299E-3</v>
      </c>
      <c r="I1206" s="1">
        <f>IF(SUM([1]Transport!E$24,[1]Transport!E$27)=0,0,[1]Transport!E$27/SUM([1]Transport!E$24,[1]Transport!E$27)*I1203*(I$47+I$614)/(I$47+I$614+I$49))</f>
        <v>2.8761360469470131E-4</v>
      </c>
      <c r="J1206" s="1">
        <f>IF(SUM([1]Transport!F$24,[1]Transport!F$27)=0,0,[1]Transport!F$27/SUM([1]Transport!F$24,[1]Transport!F$27)*J1203*(J$47+J$614)/(J$47+J$614+J$49))</f>
        <v>2.0180093891597153E-4</v>
      </c>
      <c r="K1206" s="1">
        <f>IF(SUM([1]Transport!G$24,[1]Transport!G$27)=0,0,[1]Transport!G$27/SUM([1]Transport!G$24,[1]Transport!G$27)*K1203*(K$47+K$614)/(K$47+K$614+K$49))</f>
        <v>2.1745231475105067E-5</v>
      </c>
      <c r="L1206" s="1">
        <f>IF(SUM([1]Transport!H$24,[1]Transport!H$27)=0,0,[1]Transport!H$27/SUM([1]Transport!H$24,[1]Transport!H$27)*L1203*(L$47+L$614)/(L$47+L$614+L$49))</f>
        <v>2.8274627367885324E-5</v>
      </c>
      <c r="M1206" s="1">
        <f>IF(SUM([1]Transport!I$24,[1]Transport!I$27)=0,0,[1]Transport!I$27/SUM([1]Transport!I$24,[1]Transport!I$27)*M1203*(M$47+M$614)/(M$47+M$614+M$49))</f>
        <v>5.3148305662310024E-5</v>
      </c>
      <c r="N1206" s="1">
        <f>IF(SUM([1]Transport!J$24,[1]Transport!J$27)=0,0,[1]Transport!J$27/SUM([1]Transport!J$24,[1]Transport!J$27)*N1203*(N$47+N$614)/(N$47+N$614+N$49))</f>
        <v>3.1298955461272503E-5</v>
      </c>
      <c r="O1206" s="1">
        <f>IF(SUM([1]Transport!K$24,[1]Transport!K$27)=0,0,[1]Transport!K$27/SUM([1]Transport!K$24,[1]Transport!K$27)*O1203*(O$47+O$614)/(O$47+O$614+O$49))</f>
        <v>4.9342435467668838E-5</v>
      </c>
      <c r="P1206" s="1">
        <f>IF(SUM([1]Transport!L$24,[1]Transport!L$27)=0,0,[1]Transport!L$27/SUM([1]Transport!L$24,[1]Transport!L$27)*P1203*(P$47+P$614)/(P$47+P$614+P$49))</f>
        <v>3.6757095907997453E-5</v>
      </c>
      <c r="Q1206" s="1">
        <f>IF(SUM([1]Transport!M$24,[1]Transport!M$27)=0,0,[1]Transport!M$27/SUM([1]Transport!M$24,[1]Transport!M$27)*Q1203*(Q$47+Q$614)/(Q$47+Q$614+Q$49))</f>
        <v>6.9915912667302854E-5</v>
      </c>
      <c r="S1206" s="3"/>
    </row>
    <row r="1207" spans="2:19" x14ac:dyDescent="0.5">
      <c r="B1207" s="5" t="str">
        <f t="shared" si="1358"/>
        <v>SPS1</v>
      </c>
      <c r="C1207" s="5" t="str">
        <f t="shared" si="1359"/>
        <v>CH</v>
      </c>
      <c r="D1207" t="s">
        <v>1338</v>
      </c>
      <c r="E1207" t="s">
        <v>8</v>
      </c>
      <c r="F1207" s="1">
        <f>IF(([1]Transport!B$24+[1]Transport!B$27)=0,0,(F$49+F$716)/([1]Transport!B$24+[1]Transport!B$27)*F1203)</f>
        <v>0</v>
      </c>
      <c r="G1207" s="1">
        <f>IF(([1]Transport!C$24+[1]Transport!C$27)=0,0,(G$49+G$716)/([1]Transport!C$24+[1]Transport!C$27)*G1203)</f>
        <v>0</v>
      </c>
      <c r="H1207" s="1">
        <f>IF(([1]Transport!D$24+[1]Transport!D$27)=0,0,(H$49+H$716)/([1]Transport!D$24+[1]Transport!D$27)*H1203)</f>
        <v>0</v>
      </c>
      <c r="I1207" s="1">
        <f>IF(([1]Transport!E$24+[1]Transport!E$27)=0,0,(I$49+I$716)/([1]Transport!E$24+[1]Transport!E$27)*I1203)</f>
        <v>0</v>
      </c>
      <c r="J1207" s="1">
        <f>IF(([1]Transport!F$24+[1]Transport!F$27)=0,0,(J$49+J$716)/([1]Transport!F$24+[1]Transport!F$27)*J1203)</f>
        <v>0.30078223086934935</v>
      </c>
      <c r="K1207" s="1">
        <f>IF(([1]Transport!G$24+[1]Transport!G$27)=0,0,(K$49+K$716)/([1]Transport!G$24+[1]Transport!G$27)*K1203)</f>
        <v>0.4341182758190531</v>
      </c>
      <c r="L1207" s="1">
        <f>IF(([1]Transport!H$24+[1]Transport!H$27)=0,0,(L$49+L$716)/([1]Transport!H$24+[1]Transport!H$27)*L1203)</f>
        <v>5.7009803060384737E-2</v>
      </c>
      <c r="M1207" s="1">
        <f>IF(([1]Transport!I$24+[1]Transport!I$27)=0,0,(M$49+M$716)/([1]Transport!I$24+[1]Transport!I$27)*M1203)</f>
        <v>8.8014039258392615E-2</v>
      </c>
      <c r="N1207" s="1">
        <f>IF(([1]Transport!J$24+[1]Transport!J$27)=0,0,(N$49+N$716)/([1]Transport!J$24+[1]Transport!J$27)*N1203)</f>
        <v>3.7629066525623506E-2</v>
      </c>
      <c r="O1207" s="1">
        <f>IF(([1]Transport!K$24+[1]Transport!K$27)=0,0,(O$49+O$716)/([1]Transport!K$24+[1]Transport!K$27)*O1203)</f>
        <v>5.3492012214922655E-2</v>
      </c>
      <c r="P1207" s="1">
        <f>IF(([1]Transport!L$24+[1]Transport!L$27)=0,0,(P$49+P$716)/([1]Transport!L$24+[1]Transport!L$27)*P1203)</f>
        <v>0.14890364272782508</v>
      </c>
      <c r="Q1207" s="1">
        <f>IF(([1]Transport!M$24+[1]Transport!M$27)=0,0,(Q$49+Q$716)/([1]Transport!M$24+[1]Transport!M$27)*Q1203)</f>
        <v>5.0097718664304638E-2</v>
      </c>
      <c r="S1207" s="3"/>
    </row>
    <row r="1208" spans="2:19" x14ac:dyDescent="0.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SUMPRODUCT(("T_C-ICENGAEXT"=[1]OUT_TransportEnergyCons!$A$3:$A$1000)*1,("Var_Fin"=[1]OUT_TransportEnergyCons!$B$3:$B$1000)*1,ISNUMBER(SEARCH("NGA",[1]OUT_TransportEnergyCons!$C$3:$C$1000))*1,[1]OUT_TransportEnergyCons!H$3:H$1000)</f>
        <v>0</v>
      </c>
      <c r="K1208" s="1" cm="1">
        <f t="array" ref="K1208">SUMPRODUCT(("T_C-ICENGAEXT"=[1]OUT_TransportEnergyCons!$A$3:$A$1000)*1,("Var_Fin"=[1]OUT_TransportEnergyCons!$B$3:$B$1000)*1,ISNUMBER(SEARCH("NGA",[1]OUT_TransportEnergyCons!$C$3:$C$1000))*1,[1]OUT_TransportEnergyCons!I$3:I$1000)</f>
        <v>0</v>
      </c>
      <c r="L1208" s="1" cm="1">
        <f t="array" ref="L1208">SUMPRODUCT(("T_C-ICENGAEXT"=[1]OUT_TransportEnergyCons!$A$3:$A$1000)*1,("Var_Fin"=[1]OUT_TransportEnergyCons!$B$3:$B$1000)*1,ISNUMBER(SEARCH("NGA",[1]OUT_TransportEnergyCons!$C$3:$C$1000))*1,[1]OUT_TransportEnergyCons!J$3:J$1000)</f>
        <v>0</v>
      </c>
      <c r="M1208" s="1" cm="1">
        <f t="array" ref="M1208">SUMPRODUCT(("T_C-ICENGAEXT"=[1]OUT_TransportEnergyCons!$A$3:$A$1000)*1,("Var_Fin"=[1]OUT_TransportEnergyCons!$B$3:$B$1000)*1,ISNUMBER(SEARCH("NGA",[1]OUT_TransportEnergyCons!$C$3:$C$1000))*1,[1]OUT_TransportEnergyCons!K$3:K$1000)</f>
        <v>0</v>
      </c>
      <c r="N1208" s="1" cm="1">
        <f t="array" ref="N1208">SUMPRODUCT(("T_C-ICENGAEXT"=[1]OUT_TransportEnergyCons!$A$3:$A$1000)*1,("Var_Fin"=[1]OUT_TransportEnergyCons!$B$3:$B$1000)*1,ISNUMBER(SEARCH("NGA",[1]OUT_TransportEnergyCons!$C$3:$C$1000))*1,[1]OUT_TransportEnergyCons!L$3:L$1000)</f>
        <v>0</v>
      </c>
      <c r="O1208" s="1" cm="1">
        <f t="array" ref="O1208">SUMPRODUCT(("T_C-ICENGAEXT"=[1]OUT_TransportEnergyCons!$A$3:$A$1000)*1,("Var_Fin"=[1]OUT_TransportEnergyCons!$B$3:$B$1000)*1,ISNUMBER(SEARCH("NGA",[1]OUT_TransportEnergyCons!$C$3:$C$1000))*1,[1]OUT_TransportEnergyCons!M$3:M$1000)</f>
        <v>0</v>
      </c>
      <c r="P1208" s="1" cm="1">
        <f t="array" ref="P1208">SUMPRODUCT(("T_C-ICENGAEXT"=[1]OUT_TransportEnergyCons!$A$3:$A$1000)*1,("Var_Fin"=[1]OUT_TransportEnergyCons!$B$3:$B$1000)*1,ISNUMBER(SEARCH("NGA",[1]OUT_TransportEnergyCons!$C$3:$C$1000))*1,[1]OUT_TransportEnergyCons!N$3:N$1000)</f>
        <v>0</v>
      </c>
      <c r="Q1208" s="1" cm="1">
        <f t="array" ref="Q1208">SUMPRODUCT(("T_C-ICENGAEXT"=[1]OUT_TransportEnergyCons!$A$3:$A$1000)*1,("Var_Fin"=[1]OUT_TransportEnergyCons!$B$3:$B$1000)*1,ISNUMBER(SEARCH("NGA",[1]OUT_TransportEnergyCons!$C$3:$C$1000))*1,[1]OUT_TransportEnergyCons!O$3:O$1000)</f>
        <v>0</v>
      </c>
      <c r="S1208" s="3"/>
    </row>
    <row r="1209" spans="2:19" x14ac:dyDescent="0.5">
      <c r="B1209" s="5" t="str">
        <f t="shared" si="1358"/>
        <v>SPS1</v>
      </c>
      <c r="C1209" s="5" t="str">
        <f t="shared" si="1359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3.5861752673433112E-3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2.1337183771255935E-3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2.1446690072772366E-3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1.4581563271641798E-4</v>
      </c>
      <c r="J1209" s="1" cm="1">
        <f t="array" ref="J1209">SUMPRODUCT(("T_C-ICE-NGA-S1"=[1]OUT_TransportEnergyCons!$A$3:$A$1000)*1,("Var_Fin"=[1]OUT_TransportEnergyCons!$B$3:$B$1000)*1,ISNUMBER(SEARCH("NGA",[1]OUT_TransportEnergyCons!$C$3:$C$1000))*1,[1]OUT_TransportEnergyCons!H$3:H$1000)</f>
        <v>7.9659695259300982E-5</v>
      </c>
      <c r="K1209" s="1" cm="1">
        <f t="array" ref="K1209">SUMPRODUCT(("T_C-ICE-NGA-S1"=[1]OUT_TransportEnergyCons!$A$3:$A$1000)*1,("Var_Fin"=[1]OUT_TransportEnergyCons!$B$3:$B$1000)*1,ISNUMBER(SEARCH("NGA",[1]OUT_TransportEnergyCons!$C$3:$C$1000))*1,[1]OUT_TransportEnergyCons!I$3:I$1000)</f>
        <v>6.1985110479363461E-5</v>
      </c>
      <c r="L1209" s="1" cm="1">
        <f t="array" ref="L1209">SUMPRODUCT(("T_C-ICE-NGA-S1"=[1]OUT_TransportEnergyCons!$A$3:$A$1000)*1,("Var_Fin"=[1]OUT_TransportEnergyCons!$B$3:$B$1000)*1,ISNUMBER(SEARCH("NGA",[1]OUT_TransportEnergyCons!$C$3:$C$1000))*1,[1]OUT_TransportEnergyCons!J$3:J$1000)</f>
        <v>5.8828715611676151E-5</v>
      </c>
      <c r="M1209" s="1" cm="1">
        <f t="array" ref="M1209">SUMPRODUCT(("T_C-ICE-NGA-S1"=[1]OUT_TransportEnergyCons!$A$3:$A$1000)*1,("Var_Fin"=[1]OUT_TransportEnergyCons!$B$3:$B$1000)*1,ISNUMBER(SEARCH("NGA",[1]OUT_TransportEnergyCons!$C$3:$C$1000))*1,[1]OUT_TransportEnergyCons!K$3:K$1000)</f>
        <v>5.9218010163173886E-5</v>
      </c>
      <c r="N1209" s="1" cm="1">
        <f t="array" ref="N1209">SUMPRODUCT(("T_C-ICE-NGA-S1"=[1]OUT_TransportEnergyCons!$A$3:$A$1000)*1,("Var_Fin"=[1]OUT_TransportEnergyCons!$B$3:$B$1000)*1,ISNUMBER(SEARCH("NGA",[1]OUT_TransportEnergyCons!$C$3:$C$1000))*1,[1]OUT_TransportEnergyCons!L$3:L$1000)</f>
        <v>4.9780166205649532E-5</v>
      </c>
      <c r="O1209" s="1" cm="1">
        <f t="array" ref="O1209">SUMPRODUCT(("T_C-ICE-NGA-S1"=[1]OUT_TransportEnergyCons!$A$3:$A$1000)*1,("Var_Fin"=[1]OUT_TransportEnergyCons!$B$3:$B$1000)*1,ISNUMBER(SEARCH("NGA",[1]OUT_TransportEnergyCons!$C$3:$C$1000))*1,[1]OUT_TransportEnergyCons!M$3:M$1000)</f>
        <v>5.3214251122549508E-5</v>
      </c>
      <c r="P1209" s="1" cm="1">
        <f t="array" ref="P1209">SUMPRODUCT(("T_C-ICE-NGA-S1"=[1]OUT_TransportEnergyCons!$A$3:$A$1000)*1,("Var_Fin"=[1]OUT_TransportEnergyCons!$B$3:$B$1000)*1,ISNUMBER(SEARCH("NGA",[1]OUT_TransportEnergyCons!$C$3:$C$1000))*1,[1]OUT_TransportEnergyCons!N$3:N$1000)</f>
        <v>5.1482582598853545E-5</v>
      </c>
      <c r="Q1209" s="1" cm="1">
        <f t="array" ref="Q1209">SUMPRODUCT(("T_C-ICE-NGA-S1"=[1]OUT_TransportEnergyCons!$A$3:$A$1000)*1,("Var_Fin"=[1]OUT_TransportEnergyCons!$B$3:$B$1000)*1,ISNUMBER(SEARCH("NGA",[1]OUT_TransportEnergyCons!$C$3:$C$1000))*1,[1]OUT_TransportEnergyCons!O$3:O$1000)</f>
        <v>5.5301658153219307E-5</v>
      </c>
      <c r="S1209" s="3"/>
    </row>
    <row r="1210" spans="2:19" x14ac:dyDescent="0.5">
      <c r="B1210" s="5" t="str">
        <f t="shared" si="1358"/>
        <v>SPS1</v>
      </c>
      <c r="C1210" s="5" t="str">
        <f t="shared" si="1359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4.7169898850248831E-2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3.2751171717119325E-2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4.463290665975822E-2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1.3641620287980734E-4</v>
      </c>
      <c r="J1210" s="1" cm="1">
        <f t="array" ref="J1210">SUMPRODUCT(("T_C-ICE-NGA-S2"=[1]OUT_TransportEnergyCons!$A$3:$A$1000)*1,("Var_Fin"=[1]OUT_TransportEnergyCons!$B$3:$B$1000)*1,ISNUMBER(SEARCH("NGA",[1]OUT_TransportEnergyCons!$C$3:$C$1000))*1,[1]OUT_TransportEnergyCons!H$3:H$1000)</f>
        <v>1.4486492023353309E-4</v>
      </c>
      <c r="K1210" s="1" cm="1">
        <f t="array" ref="K1210">SUMPRODUCT(("T_C-ICE-NGA-S2"=[1]OUT_TransportEnergyCons!$A$3:$A$1000)*1,("Var_Fin"=[1]OUT_TransportEnergyCons!$B$3:$B$1000)*1,ISNUMBER(SEARCH("NGA",[1]OUT_TransportEnergyCons!$C$3:$C$1000))*1,[1]OUT_TransportEnergyCons!I$3:I$1000)</f>
        <v>1.4826046699816173E-4</v>
      </c>
      <c r="L1210" s="1" cm="1">
        <f t="array" ref="L1210">SUMPRODUCT(("T_C-ICE-NGA-S2"=[1]OUT_TransportEnergyCons!$A$3:$A$1000)*1,("Var_Fin"=[1]OUT_TransportEnergyCons!$B$3:$B$1000)*1,ISNUMBER(SEARCH("NGA",[1]OUT_TransportEnergyCons!$C$3:$C$1000))*1,[1]OUT_TransportEnergyCons!J$3:J$1000)</f>
        <v>1.4130244423195E-4</v>
      </c>
      <c r="M1210" s="1" cm="1">
        <f t="array" ref="M1210">SUMPRODUCT(("T_C-ICE-NGA-S2"=[1]OUT_TransportEnergyCons!$A$3:$A$1000)*1,("Var_Fin"=[1]OUT_TransportEnergyCons!$B$3:$B$1000)*1,ISNUMBER(SEARCH("NGA",[1]OUT_TransportEnergyCons!$C$3:$C$1000))*1,[1]OUT_TransportEnergyCons!K$3:K$1000)</f>
        <v>1.3118013943291942E-4</v>
      </c>
      <c r="N1210" s="1" cm="1">
        <f t="array" ref="N1210">SUMPRODUCT(("T_C-ICE-NGA-S2"=[1]OUT_TransportEnergyCons!$A$3:$A$1000)*1,("Var_Fin"=[1]OUT_TransportEnergyCons!$B$3:$B$1000)*1,ISNUMBER(SEARCH("NGA",[1]OUT_TransportEnergyCons!$C$3:$C$1000))*1,[1]OUT_TransportEnergyCons!L$3:L$1000)</f>
        <v>1.1264083451530037E-4</v>
      </c>
      <c r="O1210" s="1" cm="1">
        <f t="array" ref="O1210">SUMPRODUCT(("T_C-ICE-NGA-S2"=[1]OUT_TransportEnergyCons!$A$3:$A$1000)*1,("Var_Fin"=[1]OUT_TransportEnergyCons!$B$3:$B$1000)*1,ISNUMBER(SEARCH("NGA",[1]OUT_TransportEnergyCons!$C$3:$C$1000))*1,[1]OUT_TransportEnergyCons!M$3:M$1000)</f>
        <v>1.1383079176362232E-4</v>
      </c>
      <c r="P1210" s="1" cm="1">
        <f t="array" ref="P1210">SUMPRODUCT(("T_C-ICE-NGA-S2"=[1]OUT_TransportEnergyCons!$A$3:$A$1000)*1,("Var_Fin"=[1]OUT_TransportEnergyCons!$B$3:$B$1000)*1,ISNUMBER(SEARCH("NGA",[1]OUT_TransportEnergyCons!$C$3:$C$1000))*1,[1]OUT_TransportEnergyCons!N$3:N$1000)</f>
        <v>1.0998683777032257E-4</v>
      </c>
      <c r="Q1210" s="1" cm="1">
        <f t="array" ref="Q1210">SUMPRODUCT(("T_C-ICE-NGA-S2"=[1]OUT_TransportEnergyCons!$A$3:$A$1000)*1,("Var_Fin"=[1]OUT_TransportEnergyCons!$B$3:$B$1000)*1,ISNUMBER(SEARCH("NGA",[1]OUT_TransportEnergyCons!$C$3:$C$1000))*1,[1]OUT_TransportEnergyCons!O$3:O$1000)</f>
        <v>1.1414002934914201E-4</v>
      </c>
      <c r="S1210" s="3"/>
    </row>
    <row r="1211" spans="2:19" x14ac:dyDescent="0.5">
      <c r="B1211" s="5" t="str">
        <f t="shared" si="1358"/>
        <v>SPS1</v>
      </c>
      <c r="C1211" s="5" t="str">
        <f t="shared" si="1359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4.3220823263488885E-3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3.6209061800637939E-3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4.8646977955436946E-3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5.3268763594017899E-4</v>
      </c>
      <c r="J1211" s="1" cm="1">
        <f t="array" ref="J1211">SUMPRODUCT(("T_C-ICE-NGA-S3"=[1]OUT_TransportEnergyCons!$A$3:$A$1000)*1,("Var_Fin"=[1]OUT_TransportEnergyCons!$B$3:$B$1000)*1,ISNUMBER(SEARCH("NGA",[1]OUT_TransportEnergyCons!$C$3:$C$1000))*1,[1]OUT_TransportEnergyCons!H$3:H$1000)</f>
        <v>2.4130770883539171E-4</v>
      </c>
      <c r="K1211" s="1" cm="1">
        <f t="array" ref="K1211">SUMPRODUCT(("T_C-ICE-NGA-S3"=[1]OUT_TransportEnergyCons!$A$3:$A$1000)*1,("Var_Fin"=[1]OUT_TransportEnergyCons!$B$3:$B$1000)*1,ISNUMBER(SEARCH("NGA",[1]OUT_TransportEnergyCons!$C$3:$C$1000))*1,[1]OUT_TransportEnergyCons!I$3:I$1000)</f>
        <v>2.0301570099452972E-4</v>
      </c>
      <c r="L1211" s="1" cm="1">
        <f t="array" ref="L1211">SUMPRODUCT(("T_C-ICE-NGA-S3"=[1]OUT_TransportEnergyCons!$A$3:$A$1000)*1,("Var_Fin"=[1]OUT_TransportEnergyCons!$B$3:$B$1000)*1,ISNUMBER(SEARCH("NGA",[1]OUT_TransportEnergyCons!$C$3:$C$1000))*1,[1]OUT_TransportEnergyCons!J$3:J$1000)</f>
        <v>2.0276266876252688E-4</v>
      </c>
      <c r="M1211" s="1" cm="1">
        <f t="array" ref="M1211">SUMPRODUCT(("T_C-ICE-NGA-S3"=[1]OUT_TransportEnergyCons!$A$3:$A$1000)*1,("Var_Fin"=[1]OUT_TransportEnergyCons!$B$3:$B$1000)*1,ISNUMBER(SEARCH("NGA",[1]OUT_TransportEnergyCons!$C$3:$C$1000))*1,[1]OUT_TransportEnergyCons!K$3:K$1000)</f>
        <v>1.8612125419141664E-4</v>
      </c>
      <c r="N1211" s="1" cm="1">
        <f t="array" ref="N1211">SUMPRODUCT(("T_C-ICE-NGA-S3"=[1]OUT_TransportEnergyCons!$A$3:$A$1000)*1,("Var_Fin"=[1]OUT_TransportEnergyCons!$B$3:$B$1000)*1,ISNUMBER(SEARCH("NGA",[1]OUT_TransportEnergyCons!$C$3:$C$1000))*1,[1]OUT_TransportEnergyCons!L$3:L$1000)</f>
        <v>1.6366062653319351E-4</v>
      </c>
      <c r="O1211" s="1" cm="1">
        <f t="array" ref="O1211">SUMPRODUCT(("T_C-ICE-NGA-S3"=[1]OUT_TransportEnergyCons!$A$3:$A$1000)*1,("Var_Fin"=[1]OUT_TransportEnergyCons!$B$3:$B$1000)*1,ISNUMBER(SEARCH("NGA",[1]OUT_TransportEnergyCons!$C$3:$C$1000))*1,[1]OUT_TransportEnergyCons!M$3:M$1000)</f>
        <v>1.5768194878303834E-4</v>
      </c>
      <c r="P1211" s="1" cm="1">
        <f t="array" ref="P1211">SUMPRODUCT(("T_C-ICE-NGA-S3"=[1]OUT_TransportEnergyCons!$A$3:$A$1000)*1,("Var_Fin"=[1]OUT_TransportEnergyCons!$B$3:$B$1000)*1,ISNUMBER(SEARCH("NGA",[1]OUT_TransportEnergyCons!$C$3:$C$1000))*1,[1]OUT_TransportEnergyCons!N$3:N$1000)</f>
        <v>1.4748420632609182E-4</v>
      </c>
      <c r="Q1211" s="1" cm="1">
        <f t="array" ref="Q1211">SUMPRODUCT(("T_C-ICE-NGA-S3"=[1]OUT_TransportEnergyCons!$A$3:$A$1000)*1,("Var_Fin"=[1]OUT_TransportEnergyCons!$B$3:$B$1000)*1,ISNUMBER(SEARCH("NGA",[1]OUT_TransportEnergyCons!$C$3:$C$1000))*1,[1]OUT_TransportEnergyCons!O$3:O$1000)</f>
        <v>1.453978664061868E-4</v>
      </c>
      <c r="S1211" s="3"/>
    </row>
    <row r="1212" spans="2:19" x14ac:dyDescent="0.5">
      <c r="B1212" s="5" t="str">
        <f t="shared" si="1358"/>
        <v>SPS1</v>
      </c>
      <c r="C1212" s="5" t="str">
        <f t="shared" si="1359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4.8236038595226564E-2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4.7102591618327291E-2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4.4024913530354835E-2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7.8275604739632142E-5</v>
      </c>
      <c r="J1212" s="1" cm="1">
        <f t="array" ref="J1212">SUMPRODUCT(("T_C-ICE-NGA-S4"=[1]OUT_TransportEnergyCons!$A$3:$A$1000)*1,("Var_Fin"=[1]OUT_TransportEnergyCons!$B$3:$B$1000)*1,ISNUMBER(SEARCH("NGA",[1]OUT_TransportEnergyCons!$C$3:$C$1000))*1,[1]OUT_TransportEnergyCons!H$3:H$1000)</f>
        <v>1.7200192043588397E-4</v>
      </c>
      <c r="K1212" s="1" cm="1">
        <f t="array" ref="K1212">SUMPRODUCT(("T_C-ICE-NGA-S4"=[1]OUT_TransportEnergyCons!$A$3:$A$1000)*1,("Var_Fin"=[1]OUT_TransportEnergyCons!$B$3:$B$1000)*1,ISNUMBER(SEARCH("NGA",[1]OUT_TransportEnergyCons!$C$3:$C$1000))*1,[1]OUT_TransportEnergyCons!I$3:I$1000)</f>
        <v>2.0283752425321257E-4</v>
      </c>
      <c r="L1212" s="1" cm="1">
        <f t="array" ref="L1212">SUMPRODUCT(("T_C-ICE-NGA-S4"=[1]OUT_TransportEnergyCons!$A$3:$A$1000)*1,("Var_Fin"=[1]OUT_TransportEnergyCons!$B$3:$B$1000)*1,ISNUMBER(SEARCH("NGA",[1]OUT_TransportEnergyCons!$C$3:$C$1000))*1,[1]OUT_TransportEnergyCons!J$3:J$1000)</f>
        <v>1.9563163842632766E-4</v>
      </c>
      <c r="M1212" s="1" cm="1">
        <f t="array" ref="M1212">SUMPRODUCT(("T_C-ICE-NGA-S4"=[1]OUT_TransportEnergyCons!$A$3:$A$1000)*1,("Var_Fin"=[1]OUT_TransportEnergyCons!$B$3:$B$1000)*1,ISNUMBER(SEARCH("NGA",[1]OUT_TransportEnergyCons!$C$3:$C$1000))*1,[1]OUT_TransportEnergyCons!K$3:K$1000)</f>
        <v>1.8012333138966199E-4</v>
      </c>
      <c r="N1212" s="1" cm="1">
        <f t="array" ref="N1212">SUMPRODUCT(("T_C-ICE-NGA-S4"=[1]OUT_TransportEnergyCons!$A$3:$A$1000)*1,("Var_Fin"=[1]OUT_TransportEnergyCons!$B$3:$B$1000)*1,ISNUMBER(SEARCH("NGA",[1]OUT_TransportEnergyCons!$C$3:$C$1000))*1,[1]OUT_TransportEnergyCons!L$3:L$1000)</f>
        <v>1.6171882671917994E-4</v>
      </c>
      <c r="O1212" s="1" cm="1">
        <f t="array" ref="O1212">SUMPRODUCT(("T_C-ICE-NGA-S4"=[1]OUT_TransportEnergyCons!$A$3:$A$1000)*1,("Var_Fin"=[1]OUT_TransportEnergyCons!$B$3:$B$1000)*1,ISNUMBER(SEARCH("NGA",[1]OUT_TransportEnergyCons!$C$3:$C$1000))*1,[1]OUT_TransportEnergyCons!M$3:M$1000)</f>
        <v>1.5001253851877836E-4</v>
      </c>
      <c r="P1212" s="1" cm="1">
        <f t="array" ref="P1212">SUMPRODUCT(("T_C-ICE-NGA-S4"=[1]OUT_TransportEnergyCons!$A$3:$A$1000)*1,("Var_Fin"=[1]OUT_TransportEnergyCons!$B$3:$B$1000)*1,ISNUMBER(SEARCH("NGA",[1]OUT_TransportEnergyCons!$C$3:$C$1000))*1,[1]OUT_TransportEnergyCons!N$3:N$1000)</f>
        <v>1.2931793034968948E-4</v>
      </c>
      <c r="Q1212" s="1" cm="1">
        <f t="array" ref="Q1212">SUMPRODUCT(("T_C-ICE-NGA-S4"=[1]OUT_TransportEnergyCons!$A$3:$A$1000)*1,("Var_Fin"=[1]OUT_TransportEnergyCons!$B$3:$B$1000)*1,ISNUMBER(SEARCH("NGA",[1]OUT_TransportEnergyCons!$C$3:$C$1000))*1,[1]OUT_TransportEnergyCons!O$3:O$1000)</f>
        <v>1.2639700259816335E-4</v>
      </c>
      <c r="S1212" s="3"/>
    </row>
    <row r="1213" spans="2:19" x14ac:dyDescent="0.5">
      <c r="B1213" s="5" t="str">
        <f t="shared" si="1358"/>
        <v>SPS1</v>
      </c>
      <c r="C1213" s="5" t="str">
        <f t="shared" si="1359"/>
        <v>CH</v>
      </c>
      <c r="D1213" s="2" t="s">
        <v>1132</v>
      </c>
      <c r="E1213" s="2" t="s">
        <v>1131</v>
      </c>
      <c r="F1213" s="3">
        <f>SUM(F1214:F1263)</f>
        <v>49.003529260020898</v>
      </c>
      <c r="G1213" s="3">
        <f t="shared" ref="G1213:K1213" si="1398">SUM(G1214:G1263)</f>
        <v>55.67132709111992</v>
      </c>
      <c r="H1213" s="3">
        <f t="shared" si="1398"/>
        <v>60.261494575714927</v>
      </c>
      <c r="I1213" s="3">
        <f t="shared" si="1398"/>
        <v>62.339469283919506</v>
      </c>
      <c r="J1213" s="3">
        <f t="shared" si="1398"/>
        <v>62.620565668619207</v>
      </c>
      <c r="K1213" s="3">
        <f t="shared" si="1398"/>
        <v>62.344609182350467</v>
      </c>
      <c r="L1213" s="3">
        <f t="shared" ref="L1213:O1213" si="1399">SUM(L1214:L1263)</f>
        <v>61.747637890641833</v>
      </c>
      <c r="M1213" s="3">
        <f t="shared" si="1399"/>
        <v>61.150705744620709</v>
      </c>
      <c r="N1213" s="3">
        <f t="shared" si="1399"/>
        <v>60.955476677158934</v>
      </c>
      <c r="O1213" s="3">
        <f t="shared" si="1399"/>
        <v>60.753236229458352</v>
      </c>
      <c r="P1213" s="3">
        <f>SUM(P1214:P1263)</f>
        <v>60.5889580508885</v>
      </c>
      <c r="Q1213" s="3">
        <f>SUM(Q1214:Q1263)</f>
        <v>60.552251159979583</v>
      </c>
      <c r="S1213" s="3"/>
    </row>
    <row r="1214" spans="2:19" x14ac:dyDescent="0.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0.41619297680607514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0.3606576712528759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0.27744622597835356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0.13873218422055045</v>
      </c>
      <c r="J1214" s="1" cm="1">
        <f t="array" ref="J1214">SUMPRODUCT(("T_C-BATELCEXT"=[1]OUT_TransportEnergyCons!$A$3:$A$1000)*1,("var_fout"=[1]OUT_TransportEnergyCons!$B$3:$B$1000)*1,ISNUMBER(SEARCH("TPCAR",[1]OUT_TransportEnergyCons!$C$3:$C$1000))*1,[1]OUT_TransportEnergyCons!H$3:H$1000)</f>
        <v>0</v>
      </c>
      <c r="K1214" s="1" cm="1">
        <f t="array" ref="K1214">SUMPRODUCT(("T_C-BATELCEXT"=[1]OUT_TransportEnergyCons!$A$3:$A$1000)*1,("var_fout"=[1]OUT_TransportEnergyCons!$B$3:$B$1000)*1,ISNUMBER(SEARCH("TPCAR",[1]OUT_TransportEnergyCons!$C$3:$C$1000))*1,[1]OUT_TransportEnergyCons!I$3:I$1000)</f>
        <v>0</v>
      </c>
      <c r="L1214" s="1" cm="1">
        <f t="array" ref="L1214">SUMPRODUCT(("T_C-BATELCEXT"=[1]OUT_TransportEnergyCons!$A$3:$A$1000)*1,("var_fout"=[1]OUT_TransportEnergyCons!$B$3:$B$1000)*1,ISNUMBER(SEARCH("TPCAR",[1]OUT_TransportEnergyCons!$C$3:$C$1000))*1,[1]OUT_TransportEnergyCons!J$3:J$1000)</f>
        <v>0</v>
      </c>
      <c r="M1214" s="1" cm="1">
        <f t="array" ref="M1214">SUMPRODUCT(("T_C-BATELCEXT"=[1]OUT_TransportEnergyCons!$A$3:$A$1000)*1,("var_fout"=[1]OUT_TransportEnergyCons!$B$3:$B$1000)*1,ISNUMBER(SEARCH("TPCAR",[1]OUT_TransportEnergyCons!$C$3:$C$1000))*1,[1]OUT_TransportEnergyCons!K$3:K$1000)</f>
        <v>0</v>
      </c>
      <c r="N1214" s="1" cm="1">
        <f t="array" ref="N1214">SUMPRODUCT(("T_C-BATELCEXT"=[1]OUT_TransportEnergyCons!$A$3:$A$1000)*1,("var_fout"=[1]OUT_TransportEnergyCons!$B$3:$B$1000)*1,ISNUMBER(SEARCH("TPCAR",[1]OUT_TransportEnergyCons!$C$3:$C$1000))*1,[1]OUT_TransportEnergyCons!L$3:L$1000)</f>
        <v>0</v>
      </c>
      <c r="O1214" s="1" cm="1">
        <f t="array" ref="O1214">SUMPRODUCT(("T_C-BATELCEXT"=[1]OUT_TransportEnergyCons!$A$3:$A$1000)*1,("var_fout"=[1]OUT_TransportEnergyCons!$B$3:$B$1000)*1,ISNUMBER(SEARCH("TPCAR",[1]OUT_TransportEnergyCons!$C$3:$C$1000))*1,[1]OUT_TransportEnergyCons!M$3:M$1000)</f>
        <v>0</v>
      </c>
      <c r="P1214" s="1" cm="1">
        <f t="array" ref="P1214">SUMPRODUCT(("T_C-BATELCEXT"=[1]OUT_TransportEnergyCons!$A$3:$A$1000)*1,("var_fout"=[1]OUT_TransportEnergyCons!$B$3:$B$1000)*1,ISNUMBER(SEARCH("TPCAR",[1]OUT_TransportEnergyCons!$C$3:$C$1000))*1,[1]OUT_TransportEnergyCons!N$3:N$1000)</f>
        <v>0</v>
      </c>
      <c r="Q1214" s="1" cm="1">
        <f t="array" ref="Q1214">SUMPRODUCT(("T_C-BATELCEXT"=[1]OUT_TransportEnergyCons!$A$3:$A$1000)*1,("var_fout"=[1]OUT_TransportEnergyCons!$B$3:$B$1000)*1,ISNUMBER(SEARCH("TPCAR",[1]OUT_TransportEnergyCons!$C$3:$C$1000))*1,[1]OUT_TransportEnergyCons!O$3:O$1000)</f>
        <v>0</v>
      </c>
      <c r="S1214" s="3"/>
    </row>
    <row r="1215" spans="2:19" x14ac:dyDescent="0.5">
      <c r="B1215" s="5" t="str">
        <f t="shared" si="1358"/>
        <v>SPS1</v>
      </c>
      <c r="C1215" s="5" t="str">
        <f t="shared" si="1359"/>
        <v>CH</v>
      </c>
      <c r="D1215" t="s">
        <v>1134</v>
      </c>
      <c r="E1215" t="str">
        <f t="shared" ref="E1215:E1263" si="1400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1.3936874173883528E-2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3.2207176282336117E-2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2.368499855566969E-2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2.1144392745005215E-2</v>
      </c>
      <c r="J1215" s="1" cm="1">
        <f t="array" ref="J1215">SUMPRODUCT(("T_C-BAT-ELC-S1"=[1]OUT_TransportEnergyCons!$A$3:$A$1000)*1,("var_fout"=[1]OUT_TransportEnergyCons!$B$3:$B$1000)*1,ISNUMBER(SEARCH("TPCAR",[1]OUT_TransportEnergyCons!$C$3:$C$1000))*1,[1]OUT_TransportEnergyCons!H$3:H$1000)</f>
        <v>8.7414520990724588E-3</v>
      </c>
      <c r="K1215" s="1" cm="1">
        <f t="array" ref="K1215">SUMPRODUCT(("T_C-BAT-ELC-S1"=[1]OUT_TransportEnergyCons!$A$3:$A$1000)*1,("var_fout"=[1]OUT_TransportEnergyCons!$B$3:$B$1000)*1,ISNUMBER(SEARCH("TPCAR",[1]OUT_TransportEnergyCons!$C$3:$C$1000))*1,[1]OUT_TransportEnergyCons!I$3:I$1000)</f>
        <v>0.24977943181161161</v>
      </c>
      <c r="L1215" s="1" cm="1">
        <f t="array" ref="L1215">SUMPRODUCT(("T_C-BAT-ELC-S1"=[1]OUT_TransportEnergyCons!$A$3:$A$1000)*1,("var_fout"=[1]OUT_TransportEnergyCons!$B$3:$B$1000)*1,ISNUMBER(SEARCH("TPCAR",[1]OUT_TransportEnergyCons!$C$3:$C$1000))*1,[1]OUT_TransportEnergyCons!J$3:J$1000)</f>
        <v>0.75053913610644429</v>
      </c>
      <c r="M1215" s="1" cm="1">
        <f t="array" ref="M1215">SUMPRODUCT(("T_C-BAT-ELC-S1"=[1]OUT_TransportEnergyCons!$A$3:$A$1000)*1,("var_fout"=[1]OUT_TransportEnergyCons!$B$3:$B$1000)*1,ISNUMBER(SEARCH("TPCAR",[1]OUT_TransportEnergyCons!$C$3:$C$1000))*1,[1]OUT_TransportEnergyCons!K$3:K$1000)</f>
        <v>1.689084808486685</v>
      </c>
      <c r="N1215" s="1" cm="1">
        <f t="array" ref="N1215">SUMPRODUCT(("T_C-BAT-ELC-S1"=[1]OUT_TransportEnergyCons!$A$3:$A$1000)*1,("var_fout"=[1]OUT_TransportEnergyCons!$B$3:$B$1000)*1,ISNUMBER(SEARCH("TPCAR",[1]OUT_TransportEnergyCons!$C$3:$C$1000))*1,[1]OUT_TransportEnergyCons!L$3:L$1000)</f>
        <v>1.8466310210546477</v>
      </c>
      <c r="O1215" s="1" cm="1">
        <f t="array" ref="O1215">SUMPRODUCT(("T_C-BAT-ELC-S1"=[1]OUT_TransportEnergyCons!$A$3:$A$1000)*1,("var_fout"=[1]OUT_TransportEnergyCons!$B$3:$B$1000)*1,ISNUMBER(SEARCH("TPCAR",[1]OUT_TransportEnergyCons!$C$3:$C$1000))*1,[1]OUT_TransportEnergyCons!M$3:M$1000)</f>
        <v>1.8385946117965666</v>
      </c>
      <c r="P1215" s="1" cm="1">
        <f t="array" ref="P1215">SUMPRODUCT(("T_C-BAT-ELC-S1"=[1]OUT_TransportEnergyCons!$A$3:$A$1000)*1,("var_fout"=[1]OUT_TransportEnergyCons!$B$3:$B$1000)*1,ISNUMBER(SEARCH("TPCAR",[1]OUT_TransportEnergyCons!$C$3:$C$1000))*1,[1]OUT_TransportEnergyCons!N$3:N$1000)</f>
        <v>1.893589105645328</v>
      </c>
      <c r="Q1215" s="1" cm="1">
        <f t="array" ref="Q1215">SUMPRODUCT(("T_C-BAT-ELC-S1"=[1]OUT_TransportEnergyCons!$A$3:$A$1000)*1,("var_fout"=[1]OUT_TransportEnergyCons!$B$3:$B$1000)*1,ISNUMBER(SEARCH("TPCAR",[1]OUT_TransportEnergyCons!$C$3:$C$1000))*1,[1]OUT_TransportEnergyCons!O$3:O$1000)</f>
        <v>1.7015316068742015</v>
      </c>
      <c r="S1215" s="3"/>
    </row>
    <row r="1216" spans="2:19" x14ac:dyDescent="0.5">
      <c r="B1216" s="5" t="str">
        <f t="shared" si="1358"/>
        <v>SPS1</v>
      </c>
      <c r="C1216" s="5" t="str">
        <f t="shared" si="1359"/>
        <v>CH</v>
      </c>
      <c r="D1216" t="s">
        <v>1135</v>
      </c>
      <c r="E1216" t="str">
        <f t="shared" si="1400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9.6832640020474786E-2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0.15096959550146399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2.7526494128522914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9.96030811807716</v>
      </c>
      <c r="J1216" s="1" cm="1">
        <f t="array" ref="J1216">SUMPRODUCT(("T_C-BAT-ELC-S2"=[1]OUT_TransportEnergyCons!$A$3:$A$1000)*1,("var_fout"=[1]OUT_TransportEnergyCons!$B$3:$B$1000)*1,ISNUMBER(SEARCH("TPCAR",[1]OUT_TransportEnergyCons!$C$3:$C$1000))*1,[1]OUT_TransportEnergyCons!H$3:H$1000)</f>
        <v>16.669523686898057</v>
      </c>
      <c r="K1216" s="1" cm="1">
        <f t="array" ref="K1216">SUMPRODUCT(("T_C-BAT-ELC-S2"=[1]OUT_TransportEnergyCons!$A$3:$A$1000)*1,("var_fout"=[1]OUT_TransportEnergyCons!$B$3:$B$1000)*1,ISNUMBER(SEARCH("TPCAR",[1]OUT_TransportEnergyCons!$C$3:$C$1000))*1,[1]OUT_TransportEnergyCons!I$3:I$1000)</f>
        <v>17.605083602550447</v>
      </c>
      <c r="L1216" s="1" cm="1">
        <f t="array" ref="L1216">SUMPRODUCT(("T_C-BAT-ELC-S2"=[1]OUT_TransportEnergyCons!$A$3:$A$1000)*1,("var_fout"=[1]OUT_TransportEnergyCons!$B$3:$B$1000)*1,ISNUMBER(SEARCH("TPCAR",[1]OUT_TransportEnergyCons!$C$3:$C$1000))*1,[1]OUT_TransportEnergyCons!J$3:J$1000)</f>
        <v>17.686661810600672</v>
      </c>
      <c r="M1216" s="1" cm="1">
        <f t="array" ref="M1216">SUMPRODUCT(("T_C-BAT-ELC-S2"=[1]OUT_TransportEnergyCons!$A$3:$A$1000)*1,("var_fout"=[1]OUT_TransportEnergyCons!$B$3:$B$1000)*1,ISNUMBER(SEARCH("TPCAR",[1]OUT_TransportEnergyCons!$C$3:$C$1000))*1,[1]OUT_TransportEnergyCons!K$3:K$1000)</f>
        <v>18.016106460744727</v>
      </c>
      <c r="N1216" s="1" cm="1">
        <f t="array" ref="N1216">SUMPRODUCT(("T_C-BAT-ELC-S2"=[1]OUT_TransportEnergyCons!$A$3:$A$1000)*1,("var_fout"=[1]OUT_TransportEnergyCons!$B$3:$B$1000)*1,ISNUMBER(SEARCH("TPCAR",[1]OUT_TransportEnergyCons!$C$3:$C$1000))*1,[1]OUT_TransportEnergyCons!L$3:L$1000)</f>
        <v>17.965712790538294</v>
      </c>
      <c r="O1216" s="1" cm="1">
        <f t="array" ref="O1216">SUMPRODUCT(("T_C-BAT-ELC-S2"=[1]OUT_TransportEnergyCons!$A$3:$A$1000)*1,("var_fout"=[1]OUT_TransportEnergyCons!$B$3:$B$1000)*1,ISNUMBER(SEARCH("TPCAR",[1]OUT_TransportEnergyCons!$C$3:$C$1000))*1,[1]OUT_TransportEnergyCons!M$3:M$1000)</f>
        <v>17.766931262588592</v>
      </c>
      <c r="P1216" s="1" cm="1">
        <f t="array" ref="P1216">SUMPRODUCT(("T_C-BAT-ELC-S2"=[1]OUT_TransportEnergyCons!$A$3:$A$1000)*1,("var_fout"=[1]OUT_TransportEnergyCons!$B$3:$B$1000)*1,ISNUMBER(SEARCH("TPCAR",[1]OUT_TransportEnergyCons!$C$3:$C$1000))*1,[1]OUT_TransportEnergyCons!N$3:N$1000)</f>
        <v>17.14595836821567</v>
      </c>
      <c r="Q1216" s="1" cm="1">
        <f t="array" ref="Q1216">SUMPRODUCT(("T_C-BAT-ELC-S2"=[1]OUT_TransportEnergyCons!$A$3:$A$1000)*1,("var_fout"=[1]OUT_TransportEnergyCons!$B$3:$B$1000)*1,ISNUMBER(SEARCH("TPCAR",[1]OUT_TransportEnergyCons!$C$3:$C$1000))*1,[1]OUT_TransportEnergyCons!O$3:O$1000)</f>
        <v>17.012248137186596</v>
      </c>
      <c r="S1216" s="3"/>
    </row>
    <row r="1217" spans="2:19" x14ac:dyDescent="0.5">
      <c r="B1217" s="5" t="str">
        <f t="shared" si="1358"/>
        <v>SPS1</v>
      </c>
      <c r="C1217" s="5" t="str">
        <f t="shared" si="1359"/>
        <v>CH</v>
      </c>
      <c r="D1217" t="s">
        <v>1136</v>
      </c>
      <c r="E1217" t="str">
        <f t="shared" si="1400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6.1331796080038234E-2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0.12709337378552679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0.13999544412390239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2.6293998586967278</v>
      </c>
      <c r="J1217" s="1" cm="1">
        <f t="array" ref="J1217">SUMPRODUCT(("T_C-BAT-ELC-S3"=[1]OUT_TransportEnergyCons!$A$3:$A$1000)*1,("var_fout"=[1]OUT_TransportEnergyCons!$B$3:$B$1000)*1,ISNUMBER(SEARCH("TPCAR",[1]OUT_TransportEnergyCons!$C$3:$C$1000))*1,[1]OUT_TransportEnergyCons!H$3:H$1000)</f>
        <v>7.5811716679911845</v>
      </c>
      <c r="K1217" s="1" cm="1">
        <f t="array" ref="K1217">SUMPRODUCT(("T_C-BAT-ELC-S3"=[1]OUT_TransportEnergyCons!$A$3:$A$1000)*1,("var_fout"=[1]OUT_TransportEnergyCons!$B$3:$B$1000)*1,ISNUMBER(SEARCH("TPCAR",[1]OUT_TransportEnergyCons!$C$3:$C$1000))*1,[1]OUT_TransportEnergyCons!I$3:I$1000)</f>
        <v>10.748047452564968</v>
      </c>
      <c r="L1217" s="1" cm="1">
        <f t="array" ref="L1217">SUMPRODUCT(("T_C-BAT-ELC-S3"=[1]OUT_TransportEnergyCons!$A$3:$A$1000)*1,("var_fout"=[1]OUT_TransportEnergyCons!$B$3:$B$1000)*1,ISNUMBER(SEARCH("TPCAR",[1]OUT_TransportEnergyCons!$C$3:$C$1000))*1,[1]OUT_TransportEnergyCons!J$3:J$1000)</f>
        <v>11.272131876660938</v>
      </c>
      <c r="M1217" s="1" cm="1">
        <f t="array" ref="M1217">SUMPRODUCT(("T_C-BAT-ELC-S3"=[1]OUT_TransportEnergyCons!$A$3:$A$1000)*1,("var_fout"=[1]OUT_TransportEnergyCons!$B$3:$B$1000)*1,ISNUMBER(SEARCH("TPCAR",[1]OUT_TransportEnergyCons!$C$3:$C$1000))*1,[1]OUT_TransportEnergyCons!K$3:K$1000)</f>
        <v>10.953282619945952</v>
      </c>
      <c r="N1217" s="1" cm="1">
        <f t="array" ref="N1217">SUMPRODUCT(("T_C-BAT-ELC-S3"=[1]OUT_TransportEnergyCons!$A$3:$A$1000)*1,("var_fout"=[1]OUT_TransportEnergyCons!$B$3:$B$1000)*1,ISNUMBER(SEARCH("TPCAR",[1]OUT_TransportEnergyCons!$C$3:$C$1000))*1,[1]OUT_TransportEnergyCons!L$3:L$1000)</f>
        <v>12.649520207910934</v>
      </c>
      <c r="O1217" s="1" cm="1">
        <f t="array" ref="O1217">SUMPRODUCT(("T_C-BAT-ELC-S3"=[1]OUT_TransportEnergyCons!$A$3:$A$1000)*1,("var_fout"=[1]OUT_TransportEnergyCons!$B$3:$B$1000)*1,ISNUMBER(SEARCH("TPCAR",[1]OUT_TransportEnergyCons!$C$3:$C$1000))*1,[1]OUT_TransportEnergyCons!M$3:M$1000)</f>
        <v>13.570728869309713</v>
      </c>
      <c r="P1217" s="1" cm="1">
        <f t="array" ref="P1217">SUMPRODUCT(("T_C-BAT-ELC-S3"=[1]OUT_TransportEnergyCons!$A$3:$A$1000)*1,("var_fout"=[1]OUT_TransportEnergyCons!$B$3:$B$1000)*1,ISNUMBER(SEARCH("TPCAR",[1]OUT_TransportEnergyCons!$C$3:$C$1000))*1,[1]OUT_TransportEnergyCons!N$3:N$1000)</f>
        <v>14.844103073490082</v>
      </c>
      <c r="Q1217" s="1" cm="1">
        <f t="array" ref="Q1217">SUMPRODUCT(("T_C-BAT-ELC-S3"=[1]OUT_TransportEnergyCons!$A$3:$A$1000)*1,("var_fout"=[1]OUT_TransportEnergyCons!$B$3:$B$1000)*1,ISNUMBER(SEARCH("TPCAR",[1]OUT_TransportEnergyCons!$C$3:$C$1000))*1,[1]OUT_TransportEnergyCons!O$3:O$1000)</f>
        <v>15.315903946481473</v>
      </c>
      <c r="S1217" s="3"/>
    </row>
    <row r="1218" spans="2:19" x14ac:dyDescent="0.5">
      <c r="B1218" s="5" t="str">
        <f t="shared" ref="B1218:B1264" si="1401">B1217</f>
        <v>SPS1</v>
      </c>
      <c r="C1218" s="5" t="str">
        <f t="shared" ref="C1218:C1264" si="1402">C1217</f>
        <v>CH</v>
      </c>
      <c r="D1218" t="s">
        <v>1137</v>
      </c>
      <c r="E1218" t="str">
        <f t="shared" si="1400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0.19329667559984473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1.2543965634521086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2.1718052141267661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3.8234331384000271</v>
      </c>
      <c r="J1218" s="1" cm="1">
        <f t="array" ref="J1218">SUMPRODUCT(("T_C-BAT-ELC-S4"=[1]OUT_TransportEnergyCons!$A$3:$A$1000)*1,("var_fout"=[1]OUT_TransportEnergyCons!$B$3:$B$1000)*1,ISNUMBER(SEARCH("TPCAR",[1]OUT_TransportEnergyCons!$C$3:$C$1000))*1,[1]OUT_TransportEnergyCons!H$3:H$1000)</f>
        <v>4.1300519319459026</v>
      </c>
      <c r="K1218" s="1" cm="1">
        <f t="array" ref="K1218">SUMPRODUCT(("T_C-BAT-ELC-S4"=[1]OUT_TransportEnergyCons!$A$3:$A$1000)*1,("var_fout"=[1]OUT_TransportEnergyCons!$B$3:$B$1000)*1,ISNUMBER(SEARCH("TPCAR",[1]OUT_TransportEnergyCons!$C$3:$C$1000))*1,[1]OUT_TransportEnergyCons!I$3:I$1000)</f>
        <v>2.5220940111891217</v>
      </c>
      <c r="L1218" s="1" cm="1">
        <f t="array" ref="L1218">SUMPRODUCT(("T_C-BAT-ELC-S4"=[1]OUT_TransportEnergyCons!$A$3:$A$1000)*1,("var_fout"=[1]OUT_TransportEnergyCons!$B$3:$B$1000)*1,ISNUMBER(SEARCH("TPCAR",[1]OUT_TransportEnergyCons!$C$3:$C$1000))*1,[1]OUT_TransportEnergyCons!J$3:J$1000)</f>
        <v>2.650747091459305</v>
      </c>
      <c r="M1218" s="1" cm="1">
        <f t="array" ref="M1218">SUMPRODUCT(("T_C-BAT-ELC-S4"=[1]OUT_TransportEnergyCons!$A$3:$A$1000)*1,("var_fout"=[1]OUT_TransportEnergyCons!$B$3:$B$1000)*1,ISNUMBER(SEARCH("TPCAR",[1]OUT_TransportEnergyCons!$C$3:$C$1000))*1,[1]OUT_TransportEnergyCons!K$3:K$1000)</f>
        <v>2.7859628184196108</v>
      </c>
      <c r="N1218" s="1" cm="1">
        <f t="array" ref="N1218">SUMPRODUCT(("T_C-BAT-ELC-S4"=[1]OUT_TransportEnergyCons!$A$3:$A$1000)*1,("var_fout"=[1]OUT_TransportEnergyCons!$B$3:$B$1000)*1,ISNUMBER(SEARCH("TPCAR",[1]OUT_TransportEnergyCons!$C$3:$C$1000))*1,[1]OUT_TransportEnergyCons!L$3:L$1000)</f>
        <v>2.928076180174696</v>
      </c>
      <c r="O1218" s="1" cm="1">
        <f t="array" ref="O1218">SUMPRODUCT(("T_C-BAT-ELC-S4"=[1]OUT_TransportEnergyCons!$A$3:$A$1000)*1,("var_fout"=[1]OUT_TransportEnergyCons!$B$3:$B$1000)*1,ISNUMBER(SEARCH("TPCAR",[1]OUT_TransportEnergyCons!$C$3:$C$1000))*1,[1]OUT_TransportEnergyCons!M$3:M$1000)</f>
        <v>3.0774377460015718</v>
      </c>
      <c r="P1218" s="1" cm="1">
        <f t="array" ref="P1218">SUMPRODUCT(("T_C-BAT-ELC-S4"=[1]OUT_TransportEnergyCons!$A$3:$A$1000)*1,("var_fout"=[1]OUT_TransportEnergyCons!$B$3:$B$1000)*1,ISNUMBER(SEARCH("TPCAR",[1]OUT_TransportEnergyCons!$C$3:$C$1000))*1,[1]OUT_TransportEnergyCons!N$3:N$1000)</f>
        <v>3.234418671050082</v>
      </c>
      <c r="Q1218" s="1" cm="1">
        <f t="array" ref="Q1218">SUMPRODUCT(("T_C-BAT-ELC-S4"=[1]OUT_TransportEnergyCons!$A$3:$A$1000)*1,("var_fout"=[1]OUT_TransportEnergyCons!$B$3:$B$1000)*1,ISNUMBER(SEARCH("TPCAR",[1]OUT_TransportEnergyCons!$C$3:$C$1000))*1,[1]OUT_TransportEnergyCons!O$3:O$1000)</f>
        <v>3.3994086774309245</v>
      </c>
      <c r="S1218" s="3"/>
    </row>
    <row r="1219" spans="2:19" x14ac:dyDescent="0.5">
      <c r="B1219" s="5" t="str">
        <f t="shared" si="1401"/>
        <v>SPS1</v>
      </c>
      <c r="C1219" s="5" t="str">
        <f t="shared" si="1402"/>
        <v>CH</v>
      </c>
      <c r="D1219" t="s">
        <v>1138</v>
      </c>
      <c r="E1219" t="str">
        <f t="shared" si="1400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2.1547909329894713E-4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6.448325134750366E-4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7.9901131863958517E-4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8.58978855685712E-4</v>
      </c>
      <c r="J1219" s="1" cm="1">
        <f t="array" ref="J1219">SUMPRODUCT(("T_C-PEV-GSL-S1"=[1]OUT_TransportEnergyCons!$A$3:$A$1000)*1,("var_fout"=[1]OUT_TransportEnergyCons!$B$3:$B$1000)*1,ISNUMBER(SEARCH("TPCAR",[1]OUT_TransportEnergyCons!$C$3:$C$1000))*1,[1]OUT_TransportEnergyCons!H$3:H$1000)</f>
        <v>7.699574814303223E-4</v>
      </c>
      <c r="K1219" s="1" cm="1">
        <f t="array" ref="K1219">SUMPRODUCT(("T_C-PEV-GSL-S1"=[1]OUT_TransportEnergyCons!$A$3:$A$1000)*1,("var_fout"=[1]OUT_TransportEnergyCons!$B$3:$B$1000)*1,ISNUMBER(SEARCH("TPCAR",[1]OUT_TransportEnergyCons!$C$3:$C$1000))*1,[1]OUT_TransportEnergyCons!I$3:I$1000)</f>
        <v>8.1070594562314478E-4</v>
      </c>
      <c r="L1219" s="1" cm="1">
        <f t="array" ref="L1219">SUMPRODUCT(("T_C-PEV-GSL-S1"=[1]OUT_TransportEnergyCons!$A$3:$A$1000)*1,("var_fout"=[1]OUT_TransportEnergyCons!$B$3:$B$1000)*1,ISNUMBER(SEARCH("TPCAR",[1]OUT_TransportEnergyCons!$C$3:$C$1000))*1,[1]OUT_TransportEnergyCons!J$3:J$1000)</f>
        <v>1.1373722829181256E-3</v>
      </c>
      <c r="M1219" s="1" cm="1">
        <f t="array" ref="M1219">SUMPRODUCT(("T_C-PEV-GSL-S1"=[1]OUT_TransportEnergyCons!$A$3:$A$1000)*1,("var_fout"=[1]OUT_TransportEnergyCons!$B$3:$B$1000)*1,ISNUMBER(SEARCH("TPCAR",[1]OUT_TransportEnergyCons!$C$3:$C$1000))*1,[1]OUT_TransportEnergyCons!K$3:K$1000)</f>
        <v>1.0775341122783604E-3</v>
      </c>
      <c r="N1219" s="1" cm="1">
        <f t="array" ref="N1219">SUMPRODUCT(("T_C-PEV-GSL-S1"=[1]OUT_TransportEnergyCons!$A$3:$A$1000)*1,("var_fout"=[1]OUT_TransportEnergyCons!$B$3:$B$1000)*1,ISNUMBER(SEARCH("TPCAR",[1]OUT_TransportEnergyCons!$C$3:$C$1000))*1,[1]OUT_TransportEnergyCons!L$3:L$1000)</f>
        <v>2.1509263914011802E-3</v>
      </c>
      <c r="O1219" s="1" cm="1">
        <f t="array" ref="O1219">SUMPRODUCT(("T_C-PEV-GSL-S1"=[1]OUT_TransportEnergyCons!$A$3:$A$1000)*1,("var_fout"=[1]OUT_TransportEnergyCons!$B$3:$B$1000)*1,ISNUMBER(SEARCH("TPCAR",[1]OUT_TransportEnergyCons!$C$3:$C$1000))*1,[1]OUT_TransportEnergyCons!M$3:M$1000)</f>
        <v>4.360448656946291E-3</v>
      </c>
      <c r="P1219" s="1" cm="1">
        <f t="array" ref="P1219">SUMPRODUCT(("T_C-PEV-GSL-S1"=[1]OUT_TransportEnergyCons!$A$3:$A$1000)*1,("var_fout"=[1]OUT_TransportEnergyCons!$B$3:$B$1000)*1,ISNUMBER(SEARCH("TPCAR",[1]OUT_TransportEnergyCons!$C$3:$C$1000))*1,[1]OUT_TransportEnergyCons!N$3:N$1000)</f>
        <v>6.5599197388095431E-3</v>
      </c>
      <c r="Q1219" s="1" cm="1">
        <f t="array" ref="Q1219">SUMPRODUCT(("T_C-PEV-GSL-S1"=[1]OUT_TransportEnergyCons!$A$3:$A$1000)*1,("var_fout"=[1]OUT_TransportEnergyCons!$B$3:$B$1000)*1,ISNUMBER(SEARCH("TPCAR",[1]OUT_TransportEnergyCons!$C$3:$C$1000))*1,[1]OUT_TransportEnergyCons!O$3:O$1000)</f>
        <v>1.0287419850648582E-2</v>
      </c>
      <c r="S1219" s="3"/>
    </row>
    <row r="1220" spans="2:19" x14ac:dyDescent="0.5">
      <c r="B1220" s="5" t="str">
        <f t="shared" si="1401"/>
        <v>SPS1</v>
      </c>
      <c r="C1220" s="5" t="str">
        <f t="shared" si="1402"/>
        <v>CH</v>
      </c>
      <c r="D1220" t="s">
        <v>1139</v>
      </c>
      <c r="E1220" t="str">
        <f t="shared" si="1400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5.0951713550271199E-2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9.8781703335411433E-2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9.6147136533163036E-2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7.8826940998210512E-2</v>
      </c>
      <c r="J1220" s="1" cm="1">
        <f t="array" ref="J1220">SUMPRODUCT(("T_C-PEV-GSL-S2"=[1]OUT_TransportEnergyCons!$A$3:$A$1000)*1,("var_fout"=[1]OUT_TransportEnergyCons!$B$3:$B$1000)*1,ISNUMBER(SEARCH("TPCAR",[1]OUT_TransportEnergyCons!$C$3:$C$1000))*1,[1]OUT_TransportEnergyCons!H$3:H$1000)</f>
        <v>1.1483592267148322E-2</v>
      </c>
      <c r="K1220" s="1" cm="1">
        <f t="array" ref="K1220">SUMPRODUCT(("T_C-PEV-GSL-S2"=[1]OUT_TransportEnergyCons!$A$3:$A$1000)*1,("var_fout"=[1]OUT_TransportEnergyCons!$B$3:$B$1000)*1,ISNUMBER(SEARCH("TPCAR",[1]OUT_TransportEnergyCons!$C$3:$C$1000))*1,[1]OUT_TransportEnergyCons!I$3:I$1000)</f>
        <v>3.1294681103451343E-3</v>
      </c>
      <c r="L1220" s="1" cm="1">
        <f t="array" ref="L1220">SUMPRODUCT(("T_C-PEV-GSL-S2"=[1]OUT_TransportEnergyCons!$A$3:$A$1000)*1,("var_fout"=[1]OUT_TransportEnergyCons!$B$3:$B$1000)*1,ISNUMBER(SEARCH("TPCAR",[1]OUT_TransportEnergyCons!$C$3:$C$1000))*1,[1]OUT_TransportEnergyCons!J$3:J$1000)</f>
        <v>3.4885141216869243E-3</v>
      </c>
      <c r="M1220" s="1" cm="1">
        <f t="array" ref="M1220">SUMPRODUCT(("T_C-PEV-GSL-S2"=[1]OUT_TransportEnergyCons!$A$3:$A$1000)*1,("var_fout"=[1]OUT_TransportEnergyCons!$B$3:$B$1000)*1,ISNUMBER(SEARCH("TPCAR",[1]OUT_TransportEnergyCons!$C$3:$C$1000))*1,[1]OUT_TransportEnergyCons!K$3:K$1000)</f>
        <v>2.8382139570584568E-3</v>
      </c>
      <c r="N1220" s="1" cm="1">
        <f t="array" ref="N1220">SUMPRODUCT(("T_C-PEV-GSL-S2"=[1]OUT_TransportEnergyCons!$A$3:$A$1000)*1,("var_fout"=[1]OUT_TransportEnergyCons!$B$3:$B$1000)*1,ISNUMBER(SEARCH("TPCAR",[1]OUT_TransportEnergyCons!$C$3:$C$1000))*1,[1]OUT_TransportEnergyCons!L$3:L$1000)</f>
        <v>5.1215941266323367E-3</v>
      </c>
      <c r="O1220" s="1" cm="1">
        <f t="array" ref="O1220">SUMPRODUCT(("T_C-PEV-GSL-S2"=[1]OUT_TransportEnergyCons!$A$3:$A$1000)*1,("var_fout"=[1]OUT_TransportEnergyCons!$B$3:$B$1000)*1,ISNUMBER(SEARCH("TPCAR",[1]OUT_TransportEnergyCons!$C$3:$C$1000))*1,[1]OUT_TransportEnergyCons!M$3:M$1000)</f>
        <v>0.14469918434865178</v>
      </c>
      <c r="P1220" s="1" cm="1">
        <f t="array" ref="P1220">SUMPRODUCT(("T_C-PEV-GSL-S2"=[1]OUT_TransportEnergyCons!$A$3:$A$1000)*1,("var_fout"=[1]OUT_TransportEnergyCons!$B$3:$B$1000)*1,ISNUMBER(SEARCH("TPCAR",[1]OUT_TransportEnergyCons!$C$3:$C$1000))*1,[1]OUT_TransportEnergyCons!N$3:N$1000)</f>
        <v>0.32436670510425247</v>
      </c>
      <c r="Q1220" s="1" cm="1">
        <f t="array" ref="Q1220">SUMPRODUCT(("T_C-PEV-GSL-S2"=[1]OUT_TransportEnergyCons!$A$3:$A$1000)*1,("var_fout"=[1]OUT_TransportEnergyCons!$B$3:$B$1000)*1,ISNUMBER(SEARCH("TPCAR",[1]OUT_TransportEnergyCons!$C$3:$C$1000))*1,[1]OUT_TransportEnergyCons!O$3:O$1000)</f>
        <v>0.3850140138804175</v>
      </c>
      <c r="S1220" s="3"/>
    </row>
    <row r="1221" spans="2:19" x14ac:dyDescent="0.5">
      <c r="B1221" s="5" t="str">
        <f t="shared" si="1401"/>
        <v>SPS1</v>
      </c>
      <c r="C1221" s="5" t="str">
        <f t="shared" si="1402"/>
        <v>CH</v>
      </c>
      <c r="D1221" t="s">
        <v>1140</v>
      </c>
      <c r="E1221" t="str">
        <f t="shared" si="1400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4.9051302264719911E-2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0.15899081080751162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0.60081882523464469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0.68737991025077827</v>
      </c>
      <c r="J1221" s="1" cm="1">
        <f t="array" ref="J1221">SUMPRODUCT(("T_C-PEV-GSL-S3"=[1]OUT_TransportEnergyCons!$A$3:$A$1000)*1,("var_fout"=[1]OUT_TransportEnergyCons!$B$3:$B$1000)*1,ISNUMBER(SEARCH("TPCAR",[1]OUT_TransportEnergyCons!$C$3:$C$1000))*1,[1]OUT_TransportEnergyCons!H$3:H$1000)</f>
        <v>0.89301169993884688</v>
      </c>
      <c r="K1221" s="1" cm="1">
        <f t="array" ref="K1221">SUMPRODUCT(("T_C-PEV-GSL-S3"=[1]OUT_TransportEnergyCons!$A$3:$A$1000)*1,("var_fout"=[1]OUT_TransportEnergyCons!$B$3:$B$1000)*1,ISNUMBER(SEARCH("TPCAR",[1]OUT_TransportEnergyCons!$C$3:$C$1000))*1,[1]OUT_TransportEnergyCons!I$3:I$1000)</f>
        <v>0.52835367179088744</v>
      </c>
      <c r="L1221" s="1" cm="1">
        <f t="array" ref="L1221">SUMPRODUCT(("T_C-PEV-GSL-S3"=[1]OUT_TransportEnergyCons!$A$3:$A$1000)*1,("var_fout"=[1]OUT_TransportEnergyCons!$B$3:$B$1000)*1,ISNUMBER(SEARCH("TPCAR",[1]OUT_TransportEnergyCons!$C$3:$C$1000))*1,[1]OUT_TransportEnergyCons!J$3:J$1000)</f>
        <v>0.51101356650458996</v>
      </c>
      <c r="M1221" s="1" cm="1">
        <f t="array" ref="M1221">SUMPRODUCT(("T_C-PEV-GSL-S3"=[1]OUT_TransportEnergyCons!$A$3:$A$1000)*1,("var_fout"=[1]OUT_TransportEnergyCons!$B$3:$B$1000)*1,ISNUMBER(SEARCH("TPCAR",[1]OUT_TransportEnergyCons!$C$3:$C$1000))*1,[1]OUT_TransportEnergyCons!K$3:K$1000)</f>
        <v>0.20290661122695411</v>
      </c>
      <c r="N1221" s="1" cm="1">
        <f t="array" ref="N1221">SUMPRODUCT(("T_C-PEV-GSL-S3"=[1]OUT_TransportEnergyCons!$A$3:$A$1000)*1,("var_fout"=[1]OUT_TransportEnergyCons!$B$3:$B$1000)*1,ISNUMBER(SEARCH("TPCAR",[1]OUT_TransportEnergyCons!$C$3:$C$1000))*1,[1]OUT_TransportEnergyCons!L$3:L$1000)</f>
        <v>0.52326053505171943</v>
      </c>
      <c r="O1221" s="1" cm="1">
        <f t="array" ref="O1221">SUMPRODUCT(("T_C-PEV-GSL-S3"=[1]OUT_TransportEnergyCons!$A$3:$A$1000)*1,("var_fout"=[1]OUT_TransportEnergyCons!$B$3:$B$1000)*1,ISNUMBER(SEARCH("TPCAR",[1]OUT_TransportEnergyCons!$C$3:$C$1000))*1,[1]OUT_TransportEnergyCons!M$3:M$1000)</f>
        <v>0.46743782898562369</v>
      </c>
      <c r="P1221" s="1" cm="1">
        <f t="array" ref="P1221">SUMPRODUCT(("T_C-PEV-GSL-S3"=[1]OUT_TransportEnergyCons!$A$3:$A$1000)*1,("var_fout"=[1]OUT_TransportEnergyCons!$B$3:$B$1000)*1,ISNUMBER(SEARCH("TPCAR",[1]OUT_TransportEnergyCons!$C$3:$C$1000))*1,[1]OUT_TransportEnergyCons!N$3:N$1000)</f>
        <v>0.34591401686183293</v>
      </c>
      <c r="Q1221" s="1" cm="1">
        <f t="array" ref="Q1221">SUMPRODUCT(("T_C-PEV-GSL-S3"=[1]OUT_TransportEnergyCons!$A$3:$A$1000)*1,("var_fout"=[1]OUT_TransportEnergyCons!$B$3:$B$1000)*1,ISNUMBER(SEARCH("TPCAR",[1]OUT_TransportEnergyCons!$C$3:$C$1000))*1,[1]OUT_TransportEnergyCons!O$3:O$1000)</f>
        <v>6.7466401271201959E-2</v>
      </c>
      <c r="S1221" s="3"/>
    </row>
    <row r="1222" spans="2:19" x14ac:dyDescent="0.5">
      <c r="B1222" s="5" t="str">
        <f t="shared" si="1401"/>
        <v>SPS1</v>
      </c>
      <c r="C1222" s="5" t="str">
        <f t="shared" si="1402"/>
        <v>CH</v>
      </c>
      <c r="D1222" t="s">
        <v>1141</v>
      </c>
      <c r="E1222" t="str">
        <f t="shared" si="1400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8.8718120145155344E-2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0.15937637111379524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0.15409816392382683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0.12487019499547236</v>
      </c>
      <c r="J1222" s="1" cm="1">
        <f t="array" ref="J1222">SUMPRODUCT(("T_C-PEV-GSL-S4"=[1]OUT_TransportEnergyCons!$A$3:$A$1000)*1,("var_fout"=[1]OUT_TransportEnergyCons!$B$3:$B$1000)*1,ISNUMBER(SEARCH("TPCAR",[1]OUT_TransportEnergyCons!$C$3:$C$1000))*1,[1]OUT_TransportEnergyCons!H$3:H$1000)</f>
        <v>2.8212947663937289E-2</v>
      </c>
      <c r="K1222" s="1" cm="1">
        <f t="array" ref="K1222">SUMPRODUCT(("T_C-PEV-GSL-S4"=[1]OUT_TransportEnergyCons!$A$3:$A$1000)*1,("var_fout"=[1]OUT_TransportEnergyCons!$B$3:$B$1000)*1,ISNUMBER(SEARCH("TPCAR",[1]OUT_TransportEnergyCons!$C$3:$C$1000))*1,[1]OUT_TransportEnergyCons!I$3:I$1000)</f>
        <v>7.8850999989082855E-3</v>
      </c>
      <c r="L1222" s="1" cm="1">
        <f t="array" ref="L1222">SUMPRODUCT(("T_C-PEV-GSL-S4"=[1]OUT_TransportEnergyCons!$A$3:$A$1000)*1,("var_fout"=[1]OUT_TransportEnergyCons!$B$3:$B$1000)*1,ISNUMBER(SEARCH("TPCAR",[1]OUT_TransportEnergyCons!$C$3:$C$1000))*1,[1]OUT_TransportEnergyCons!J$3:J$1000)</f>
        <v>1.479678698888966E-2</v>
      </c>
      <c r="M1222" s="1" cm="1">
        <f t="array" ref="M1222">SUMPRODUCT(("T_C-PEV-GSL-S4"=[1]OUT_TransportEnergyCons!$A$3:$A$1000)*1,("var_fout"=[1]OUT_TransportEnergyCons!$B$3:$B$1000)*1,ISNUMBER(SEARCH("TPCAR",[1]OUT_TransportEnergyCons!$C$3:$C$1000))*1,[1]OUT_TransportEnergyCons!K$3:K$1000)</f>
        <v>1.0865437463897044E-2</v>
      </c>
      <c r="N1222" s="1" cm="1">
        <f t="array" ref="N1222">SUMPRODUCT(("T_C-PEV-GSL-S4"=[1]OUT_TransportEnergyCons!$A$3:$A$1000)*1,("var_fout"=[1]OUT_TransportEnergyCons!$B$3:$B$1000)*1,ISNUMBER(SEARCH("TPCAR",[1]OUT_TransportEnergyCons!$C$3:$C$1000))*1,[1]OUT_TransportEnergyCons!L$3:L$1000)</f>
        <v>0.25191027652822034</v>
      </c>
      <c r="O1222" s="1" cm="1">
        <f t="array" ref="O1222">SUMPRODUCT(("T_C-PEV-GSL-S4"=[1]OUT_TransportEnergyCons!$A$3:$A$1000)*1,("var_fout"=[1]OUT_TransportEnergyCons!$B$3:$B$1000)*1,ISNUMBER(SEARCH("TPCAR",[1]OUT_TransportEnergyCons!$C$3:$C$1000))*1,[1]OUT_TransportEnergyCons!M$3:M$1000)</f>
        <v>0.24757583650775244</v>
      </c>
      <c r="P1222" s="1" cm="1">
        <f t="array" ref="P1222">SUMPRODUCT(("T_C-PEV-GSL-S4"=[1]OUT_TransportEnergyCons!$A$3:$A$1000)*1,("var_fout"=[1]OUT_TransportEnergyCons!$B$3:$B$1000)*1,ISNUMBER(SEARCH("TPCAR",[1]OUT_TransportEnergyCons!$C$3:$C$1000))*1,[1]OUT_TransportEnergyCons!N$3:N$1000)</f>
        <v>0.16931096593848563</v>
      </c>
      <c r="Q1222" s="1" cm="1">
        <f t="array" ref="Q1222">SUMPRODUCT(("T_C-PEV-GSL-S4"=[1]OUT_TransportEnergyCons!$A$3:$A$1000)*1,("var_fout"=[1]OUT_TransportEnergyCons!$B$3:$B$1000)*1,ISNUMBER(SEARCH("TPCAR",[1]OUT_TransportEnergyCons!$C$3:$C$1000))*1,[1]OUT_TransportEnergyCons!O$3:O$1000)</f>
        <v>1.01700511259603</v>
      </c>
      <c r="S1222" s="3"/>
    </row>
    <row r="1223" spans="2:19" x14ac:dyDescent="0.5">
      <c r="B1223" s="5" t="str">
        <f t="shared" si="1401"/>
        <v>SPS1</v>
      </c>
      <c r="C1223" s="5" t="str">
        <f t="shared" si="1402"/>
        <v>CH</v>
      </c>
      <c r="D1223" t="s">
        <v>1142</v>
      </c>
      <c r="E1223" t="str">
        <f t="shared" si="1400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1.3210020830264594E-5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5.2252149864740751E-4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7.3920330252092727E-4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9.3626365488159806E-4</v>
      </c>
      <c r="J1223" s="1" cm="1">
        <f t="array" ref="J1223">SUMPRODUCT(("T_C-PEV-DSL-S1"=[1]OUT_TransportEnergyCons!$A$3:$A$1000)*1,("var_fout"=[1]OUT_TransportEnergyCons!$B$3:$B$1000)*1,ISNUMBER(SEARCH("TPCAR",[1]OUT_TransportEnergyCons!$C$3:$C$1000))*1,[1]OUT_TransportEnergyCons!H$3:H$1000)</f>
        <v>1.2644237557621573E-3</v>
      </c>
      <c r="K1223" s="1" cm="1">
        <f t="array" ref="K1223">SUMPRODUCT(("T_C-PEV-DSL-S1"=[1]OUT_TransportEnergyCons!$A$3:$A$1000)*1,("var_fout"=[1]OUT_TransportEnergyCons!$B$3:$B$1000)*1,ISNUMBER(SEARCH("TPCAR",[1]OUT_TransportEnergyCons!$C$3:$C$1000))*1,[1]OUT_TransportEnergyCons!I$3:I$1000)</f>
        <v>2.2079596785113988E-3</v>
      </c>
      <c r="L1223" s="1" cm="1">
        <f t="array" ref="L1223">SUMPRODUCT(("T_C-PEV-DSL-S1"=[1]OUT_TransportEnergyCons!$A$3:$A$1000)*1,("var_fout"=[1]OUT_TransportEnergyCons!$B$3:$B$1000)*1,ISNUMBER(SEARCH("TPCAR",[1]OUT_TransportEnergyCons!$C$3:$C$1000))*1,[1]OUT_TransportEnergyCons!J$3:J$1000)</f>
        <v>2.5199747559984964E-3</v>
      </c>
      <c r="M1223" s="1" cm="1">
        <f t="array" ref="M1223">SUMPRODUCT(("T_C-PEV-DSL-S1"=[1]OUT_TransportEnergyCons!$A$3:$A$1000)*1,("var_fout"=[1]OUT_TransportEnergyCons!$B$3:$B$1000)*1,ISNUMBER(SEARCH("TPCAR",[1]OUT_TransportEnergyCons!$C$3:$C$1000))*1,[1]OUT_TransportEnergyCons!K$3:K$1000)</f>
        <v>4.6631375672471984E-3</v>
      </c>
      <c r="N1223" s="1" cm="1">
        <f t="array" ref="N1223">SUMPRODUCT(("T_C-PEV-DSL-S1"=[1]OUT_TransportEnergyCons!$A$3:$A$1000)*1,("var_fout"=[1]OUT_TransportEnergyCons!$B$3:$B$1000)*1,ISNUMBER(SEARCH("TPCAR",[1]OUT_TransportEnergyCons!$C$3:$C$1000))*1,[1]OUT_TransportEnergyCons!L$3:L$1000)</f>
        <v>3.5310489908416233E-3</v>
      </c>
      <c r="O1223" s="1" cm="1">
        <f t="array" ref="O1223">SUMPRODUCT(("T_C-PEV-DSL-S1"=[1]OUT_TransportEnergyCons!$A$3:$A$1000)*1,("var_fout"=[1]OUT_TransportEnergyCons!$B$3:$B$1000)*1,ISNUMBER(SEARCH("TPCAR",[1]OUT_TransportEnergyCons!$C$3:$C$1000))*1,[1]OUT_TransportEnergyCons!M$3:M$1000)</f>
        <v>1.1524814852374324E-3</v>
      </c>
      <c r="P1223" s="1" cm="1">
        <f t="array" ref="P1223">SUMPRODUCT(("T_C-PEV-DSL-S1"=[1]OUT_TransportEnergyCons!$A$3:$A$1000)*1,("var_fout"=[1]OUT_TransportEnergyCons!$B$3:$B$1000)*1,ISNUMBER(SEARCH("TPCAR",[1]OUT_TransportEnergyCons!$C$3:$C$1000))*1,[1]OUT_TransportEnergyCons!N$3:N$1000)</f>
        <v>4.9605065098421819E-4</v>
      </c>
      <c r="Q1223" s="1" cm="1">
        <f t="array" ref="Q1223">SUMPRODUCT(("T_C-PEV-DSL-S1"=[1]OUT_TransportEnergyCons!$A$3:$A$1000)*1,("var_fout"=[1]OUT_TransportEnergyCons!$B$3:$B$1000)*1,ISNUMBER(SEARCH("TPCAR",[1]OUT_TransportEnergyCons!$C$3:$C$1000))*1,[1]OUT_TransportEnergyCons!O$3:O$1000)</f>
        <v>3.1452241378799759E-4</v>
      </c>
      <c r="S1223" s="3"/>
    </row>
    <row r="1224" spans="2:19" x14ac:dyDescent="0.5">
      <c r="B1224" s="5" t="str">
        <f t="shared" si="1401"/>
        <v>SPS1</v>
      </c>
      <c r="C1224" s="5" t="str">
        <f t="shared" si="1402"/>
        <v>CH</v>
      </c>
      <c r="D1224" t="s">
        <v>1143</v>
      </c>
      <c r="E1224" t="str">
        <f t="shared" si="1400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6.5341769621062621E-6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5.0184223824357543E-4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2.4502328623288239E-3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3.1401255130885527E-3</v>
      </c>
      <c r="J1224" s="1" cm="1">
        <f t="array" ref="J1224">SUMPRODUCT(("T_C-PEV-DSL-S2"=[1]OUT_TransportEnergyCons!$A$3:$A$1000)*1,("var_fout"=[1]OUT_TransportEnergyCons!$B$3:$B$1000)*1,ISNUMBER(SEARCH("TPCAR",[1]OUT_TransportEnergyCons!$C$3:$C$1000))*1,[1]OUT_TransportEnergyCons!H$3:H$1000)</f>
        <v>7.8690161057781392E-3</v>
      </c>
      <c r="K1224" s="1" cm="1">
        <f t="array" ref="K1224">SUMPRODUCT(("T_C-PEV-DSL-S2"=[1]OUT_TransportEnergyCons!$A$3:$A$1000)*1,("var_fout"=[1]OUT_TransportEnergyCons!$B$3:$B$1000)*1,ISNUMBER(SEARCH("TPCAR",[1]OUT_TransportEnergyCons!$C$3:$C$1000))*1,[1]OUT_TransportEnergyCons!I$3:I$1000)</f>
        <v>1.1194393946245936E-2</v>
      </c>
      <c r="L1224" s="1" cm="1">
        <f t="array" ref="L1224">SUMPRODUCT(("T_C-PEV-DSL-S2"=[1]OUT_TransportEnergyCons!$A$3:$A$1000)*1,("var_fout"=[1]OUT_TransportEnergyCons!$B$3:$B$1000)*1,ISNUMBER(SEARCH("TPCAR",[1]OUT_TransportEnergyCons!$C$3:$C$1000))*1,[1]OUT_TransportEnergyCons!J$3:J$1000)</f>
        <v>1.1439537018706031E-2</v>
      </c>
      <c r="M1224" s="1" cm="1">
        <f t="array" ref="M1224">SUMPRODUCT(("T_C-PEV-DSL-S2"=[1]OUT_TransportEnergyCons!$A$3:$A$1000)*1,("var_fout"=[1]OUT_TransportEnergyCons!$B$3:$B$1000)*1,ISNUMBER(SEARCH("TPCAR",[1]OUT_TransportEnergyCons!$C$3:$C$1000))*1,[1]OUT_TransportEnergyCons!K$3:K$1000)</f>
        <v>1.2559146944620105E-2</v>
      </c>
      <c r="N1224" s="1" cm="1">
        <f t="array" ref="N1224">SUMPRODUCT(("T_C-PEV-DSL-S2"=[1]OUT_TransportEnergyCons!$A$3:$A$1000)*1,("var_fout"=[1]OUT_TransportEnergyCons!$B$3:$B$1000)*1,ISNUMBER(SEARCH("TPCAR",[1]OUT_TransportEnergyCons!$C$3:$C$1000))*1,[1]OUT_TransportEnergyCons!L$3:L$1000)</f>
        <v>8.1469669344691551E-3</v>
      </c>
      <c r="O1224" s="1" cm="1">
        <f t="array" ref="O1224">SUMPRODUCT(("T_C-PEV-DSL-S2"=[1]OUT_TransportEnergyCons!$A$3:$A$1000)*1,("var_fout"=[1]OUT_TransportEnergyCons!$B$3:$B$1000)*1,ISNUMBER(SEARCH("TPCAR",[1]OUT_TransportEnergyCons!$C$3:$C$1000))*1,[1]OUT_TransportEnergyCons!M$3:M$1000)</f>
        <v>4.5227671549881261E-3</v>
      </c>
      <c r="P1224" s="1" cm="1">
        <f t="array" ref="P1224">SUMPRODUCT(("T_C-PEV-DSL-S2"=[1]OUT_TransportEnergyCons!$A$3:$A$1000)*1,("var_fout"=[1]OUT_TransportEnergyCons!$B$3:$B$1000)*1,ISNUMBER(SEARCH("TPCAR",[1]OUT_TransportEnergyCons!$C$3:$C$1000))*1,[1]OUT_TransportEnergyCons!N$3:N$1000)</f>
        <v>1.1634615909896166E-3</v>
      </c>
      <c r="Q1224" s="1" cm="1">
        <f t="array" ref="Q1224">SUMPRODUCT(("T_C-PEV-DSL-S2"=[1]OUT_TransportEnergyCons!$A$3:$A$1000)*1,("var_fout"=[1]OUT_TransportEnergyCons!$B$3:$B$1000)*1,ISNUMBER(SEARCH("TPCAR",[1]OUT_TransportEnergyCons!$C$3:$C$1000))*1,[1]OUT_TransportEnergyCons!O$3:O$1000)</f>
        <v>4.8247805592498068E-4</v>
      </c>
      <c r="S1224" s="3"/>
    </row>
    <row r="1225" spans="2:19" x14ac:dyDescent="0.5">
      <c r="B1225" s="5" t="str">
        <f t="shared" si="1401"/>
        <v>SPS1</v>
      </c>
      <c r="C1225" s="5" t="str">
        <f t="shared" si="1402"/>
        <v>CH</v>
      </c>
      <c r="D1225" t="s">
        <v>1144</v>
      </c>
      <c r="E1225" t="str">
        <f t="shared" si="1400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6.2484385009707391E-5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0.46653797651769224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1.5774074652407872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5.66207921683697</v>
      </c>
      <c r="J1225" s="1" cm="1">
        <f t="array" ref="J1225">SUMPRODUCT(("T_C-PEV-DSL-S3"=[1]OUT_TransportEnergyCons!$A$3:$A$1000)*1,("var_fout"=[1]OUT_TransportEnergyCons!$B$3:$B$1000)*1,ISNUMBER(SEARCH("TPCAR",[1]OUT_TransportEnergyCons!$C$3:$C$1000))*1,[1]OUT_TransportEnergyCons!H$3:H$1000)</f>
        <v>9.0534369443235523</v>
      </c>
      <c r="K1225" s="1" cm="1">
        <f t="array" ref="K1225">SUMPRODUCT(("T_C-PEV-DSL-S3"=[1]OUT_TransportEnergyCons!$A$3:$A$1000)*1,("var_fout"=[1]OUT_TransportEnergyCons!$B$3:$B$1000)*1,ISNUMBER(SEARCH("TPCAR",[1]OUT_TransportEnergyCons!$C$3:$C$1000))*1,[1]OUT_TransportEnergyCons!I$3:I$1000)</f>
        <v>6.3758989649075684</v>
      </c>
      <c r="L1225" s="1" cm="1">
        <f t="array" ref="L1225">SUMPRODUCT(("T_C-PEV-DSL-S3"=[1]OUT_TransportEnergyCons!$A$3:$A$1000)*1,("var_fout"=[1]OUT_TransportEnergyCons!$B$3:$B$1000)*1,ISNUMBER(SEARCH("TPCAR",[1]OUT_TransportEnergyCons!$C$3:$C$1000))*1,[1]OUT_TransportEnergyCons!J$3:J$1000)</f>
        <v>4.5759702927503003</v>
      </c>
      <c r="M1225" s="1" cm="1">
        <f t="array" ref="M1225">SUMPRODUCT(("T_C-PEV-DSL-S3"=[1]OUT_TransportEnergyCons!$A$3:$A$1000)*1,("var_fout"=[1]OUT_TransportEnergyCons!$B$3:$B$1000)*1,ISNUMBER(SEARCH("TPCAR",[1]OUT_TransportEnergyCons!$C$3:$C$1000))*1,[1]OUT_TransportEnergyCons!K$3:K$1000)</f>
        <v>4.4375166525431355</v>
      </c>
      <c r="N1225" s="1" cm="1">
        <f t="array" ref="N1225">SUMPRODUCT(("T_C-PEV-DSL-S3"=[1]OUT_TransportEnergyCons!$A$3:$A$1000)*1,("var_fout"=[1]OUT_TransportEnergyCons!$B$3:$B$1000)*1,ISNUMBER(SEARCH("TPCAR",[1]OUT_TransportEnergyCons!$C$3:$C$1000))*1,[1]OUT_TransportEnergyCons!L$3:L$1000)</f>
        <v>2.5765982234646283</v>
      </c>
      <c r="O1225" s="1" cm="1">
        <f t="array" ref="O1225">SUMPRODUCT(("T_C-PEV-DSL-S3"=[1]OUT_TransportEnergyCons!$A$3:$A$1000)*1,("var_fout"=[1]OUT_TransportEnergyCons!$B$3:$B$1000)*1,ISNUMBER(SEARCH("TPCAR",[1]OUT_TransportEnergyCons!$C$3:$C$1000))*1,[1]OUT_TransportEnergyCons!M$3:M$1000)</f>
        <v>1.3437688224755402</v>
      </c>
      <c r="P1225" s="1" cm="1">
        <f t="array" ref="P1225">SUMPRODUCT(("T_C-PEV-DSL-S3"=[1]OUT_TransportEnergyCons!$A$3:$A$1000)*1,("var_fout"=[1]OUT_TransportEnergyCons!$B$3:$B$1000)*1,ISNUMBER(SEARCH("TPCAR",[1]OUT_TransportEnergyCons!$C$3:$C$1000))*1,[1]OUT_TransportEnergyCons!N$3:N$1000)</f>
        <v>0.18314806234136904</v>
      </c>
      <c r="Q1225" s="1" cm="1">
        <f t="array" ref="Q1225">SUMPRODUCT(("T_C-PEV-DSL-S3"=[1]OUT_TransportEnergyCons!$A$3:$A$1000)*1,("var_fout"=[1]OUT_TransportEnergyCons!$B$3:$B$1000)*1,ISNUMBER(SEARCH("TPCAR",[1]OUT_TransportEnergyCons!$C$3:$C$1000))*1,[1]OUT_TransportEnergyCons!O$3:O$1000)</f>
        <v>5.3376837984906258E-4</v>
      </c>
      <c r="S1225" s="3"/>
    </row>
    <row r="1226" spans="2:19" x14ac:dyDescent="0.5">
      <c r="B1226" s="5" t="str">
        <f t="shared" si="1401"/>
        <v>SPS1</v>
      </c>
      <c r="C1226" s="5" t="str">
        <f t="shared" si="1402"/>
        <v>CH</v>
      </c>
      <c r="D1226" t="s">
        <v>1145</v>
      </c>
      <c r="E1226" t="str">
        <f t="shared" si="1400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2.9873396509494683E-3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1.0675098925465528E-2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1.2419610804653513E-2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1.2694931171846316E-2</v>
      </c>
      <c r="J1226" s="1" cm="1">
        <f t="array" ref="J1226">SUMPRODUCT(("T_C-PEV-DSL-S4"=[1]OUT_TransportEnergyCons!$A$3:$A$1000)*1,("var_fout"=[1]OUT_TransportEnergyCons!$B$3:$B$1000)*1,ISNUMBER(SEARCH("TPCAR",[1]OUT_TransportEnergyCons!$C$3:$C$1000))*1,[1]OUT_TransportEnergyCons!H$3:H$1000)</f>
        <v>1.7879604069155326</v>
      </c>
      <c r="K1226" s="1" cm="1">
        <f t="array" ref="K1226">SUMPRODUCT(("T_C-PEV-DSL-S4"=[1]OUT_TransportEnergyCons!$A$3:$A$1000)*1,("var_fout"=[1]OUT_TransportEnergyCons!$B$3:$B$1000)*1,ISNUMBER(SEARCH("TPCAR",[1]OUT_TransportEnergyCons!$C$3:$C$1000))*1,[1]OUT_TransportEnergyCons!I$3:I$1000)</f>
        <v>4.1510225833216827</v>
      </c>
      <c r="L1226" s="1" cm="1">
        <f t="array" ref="L1226">SUMPRODUCT(("T_C-PEV-DSL-S4"=[1]OUT_TransportEnergyCons!$A$3:$A$1000)*1,("var_fout"=[1]OUT_TransportEnergyCons!$B$3:$B$1000)*1,ISNUMBER(SEARCH("TPCAR",[1]OUT_TransportEnergyCons!$C$3:$C$1000))*1,[1]OUT_TransportEnergyCons!J$3:J$1000)</f>
        <v>4.8333621356932346</v>
      </c>
      <c r="M1226" s="1" cm="1">
        <f t="array" ref="M1226">SUMPRODUCT(("T_C-PEV-DSL-S4"=[1]OUT_TransportEnergyCons!$A$3:$A$1000)*1,("var_fout"=[1]OUT_TransportEnergyCons!$B$3:$B$1000)*1,ISNUMBER(SEARCH("TPCAR",[1]OUT_TransportEnergyCons!$C$3:$C$1000))*1,[1]OUT_TransportEnergyCons!K$3:K$1000)</f>
        <v>3.9710841754453772</v>
      </c>
      <c r="N1226" s="1" cm="1">
        <f t="array" ref="N1226">SUMPRODUCT(("T_C-PEV-DSL-S4"=[1]OUT_TransportEnergyCons!$A$3:$A$1000)*1,("var_fout"=[1]OUT_TransportEnergyCons!$B$3:$B$1000)*1,ISNUMBER(SEARCH("TPCAR",[1]OUT_TransportEnergyCons!$C$3:$C$1000))*1,[1]OUT_TransportEnergyCons!L$3:L$1000)</f>
        <v>3.9003589044972093</v>
      </c>
      <c r="O1226" s="1" cm="1">
        <f t="array" ref="O1226">SUMPRODUCT(("T_C-PEV-DSL-S4"=[1]OUT_TransportEnergyCons!$A$3:$A$1000)*1,("var_fout"=[1]OUT_TransportEnergyCons!$B$3:$B$1000)*1,ISNUMBER(SEARCH("TPCAR",[1]OUT_TransportEnergyCons!$C$3:$C$1000))*1,[1]OUT_TransportEnergyCons!M$3:M$1000)</f>
        <v>4.9917720468352496</v>
      </c>
      <c r="P1226" s="1" cm="1">
        <f t="array" ref="P1226">SUMPRODUCT(("T_C-PEV-DSL-S4"=[1]OUT_TransportEnergyCons!$A$3:$A$1000)*1,("var_fout"=[1]OUT_TransportEnergyCons!$B$3:$B$1000)*1,ISNUMBER(SEARCH("TPCAR",[1]OUT_TransportEnergyCons!$C$3:$C$1000))*1,[1]OUT_TransportEnergyCons!N$3:N$1000)</f>
        <v>6.3925422023385048</v>
      </c>
      <c r="Q1226" s="1" cm="1">
        <f t="array" ref="Q1226">SUMPRODUCT(("T_C-PEV-DSL-S4"=[1]OUT_TransportEnergyCons!$A$3:$A$1000)*1,("var_fout"=[1]OUT_TransportEnergyCons!$B$3:$B$1000)*1,ISNUMBER(SEARCH("TPCAR",[1]OUT_TransportEnergyCons!$C$3:$C$1000))*1,[1]OUT_TransportEnergyCons!O$3:O$1000)</f>
        <v>6.2451875795548641</v>
      </c>
      <c r="S1226" s="3"/>
    </row>
    <row r="1227" spans="2:19" x14ac:dyDescent="0.5">
      <c r="B1227" s="5" t="str">
        <f t="shared" si="1401"/>
        <v>SPS1</v>
      </c>
      <c r="C1227" s="5" t="str">
        <f t="shared" si="1402"/>
        <v>CH</v>
      </c>
      <c r="D1227" t="s">
        <v>1146</v>
      </c>
      <c r="E1227" t="str">
        <f t="shared" si="1400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2.0922980224085346E-5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3.0833906243396977E-5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1.0494403137031512E-5</v>
      </c>
      <c r="J1227" s="1" cm="1">
        <f t="array" ref="J1227">SUMPRODUCT(("T_C-FC-H2O-S1"=[1]OUT_TransportEnergyCons!$A$3:$A$1000)*1,("var_fout"=[1]OUT_TransportEnergyCons!$B$3:$B$1000)*1,ISNUMBER(SEARCH("TPCAR",[1]OUT_TransportEnergyCons!$C$3:$C$1000))*1,[1]OUT_TransportEnergyCons!H$3:H$1000)</f>
        <v>1.5689054531016081E-5</v>
      </c>
      <c r="K1227" s="1" cm="1">
        <f t="array" ref="K1227">SUMPRODUCT(("T_C-FC-H2O-S1"=[1]OUT_TransportEnergyCons!$A$3:$A$1000)*1,("var_fout"=[1]OUT_TransportEnergyCons!$B$3:$B$1000)*1,ISNUMBER(SEARCH("TPCAR",[1]OUT_TransportEnergyCons!$C$3:$C$1000))*1,[1]OUT_TransportEnergyCons!I$3:I$1000)</f>
        <v>1.7492435051836805E-5</v>
      </c>
      <c r="L1227" s="1" cm="1">
        <f t="array" ref="L1227">SUMPRODUCT(("T_C-FC-H2O-S1"=[1]OUT_TransportEnergyCons!$A$3:$A$1000)*1,("var_fout"=[1]OUT_TransportEnergyCons!$B$3:$B$1000)*1,ISNUMBER(SEARCH("TPCAR",[1]OUT_TransportEnergyCons!$C$3:$C$1000))*1,[1]OUT_TransportEnergyCons!J$3:J$1000)</f>
        <v>1.5352947085182622E-5</v>
      </c>
      <c r="M1227" s="1" cm="1">
        <f t="array" ref="M1227">SUMPRODUCT(("T_C-FC-H2O-S1"=[1]OUT_TransportEnergyCons!$A$3:$A$1000)*1,("var_fout"=[1]OUT_TransportEnergyCons!$B$3:$B$1000)*1,ISNUMBER(SEARCH("TPCAR",[1]OUT_TransportEnergyCons!$C$3:$C$1000))*1,[1]OUT_TransportEnergyCons!K$3:K$1000)</f>
        <v>1.5570580211747698E-5</v>
      </c>
      <c r="N1227" s="1" cm="1">
        <f t="array" ref="N1227">SUMPRODUCT(("T_C-FC-H2O-S1"=[1]OUT_TransportEnergyCons!$A$3:$A$1000)*1,("var_fout"=[1]OUT_TransportEnergyCons!$B$3:$B$1000)*1,ISNUMBER(SEARCH("TPCAR",[1]OUT_TransportEnergyCons!$C$3:$C$1000))*1,[1]OUT_TransportEnergyCons!L$3:L$1000)</f>
        <v>1.3455058008117748E-5</v>
      </c>
      <c r="O1227" s="1" cm="1">
        <f t="array" ref="O1227">SUMPRODUCT(("T_C-FC-H2O-S1"=[1]OUT_TransportEnergyCons!$A$3:$A$1000)*1,("var_fout"=[1]OUT_TransportEnergyCons!$B$3:$B$1000)*1,ISNUMBER(SEARCH("TPCAR",[1]OUT_TransportEnergyCons!$C$3:$C$1000))*1,[1]OUT_TransportEnergyCons!M$3:M$1000)</f>
        <v>1.2382265702287855E-5</v>
      </c>
      <c r="P1227" s="1" cm="1">
        <f t="array" ref="P1227">SUMPRODUCT(("T_C-FC-H2O-S1"=[1]OUT_TransportEnergyCons!$A$3:$A$1000)*1,("var_fout"=[1]OUT_TransportEnergyCons!$B$3:$B$1000)*1,ISNUMBER(SEARCH("TPCAR",[1]OUT_TransportEnergyCons!$C$3:$C$1000))*1,[1]OUT_TransportEnergyCons!N$3:N$1000)</f>
        <v>7.7542239840231782E-6</v>
      </c>
      <c r="Q1227" s="1" cm="1">
        <f t="array" ref="Q1227">SUMPRODUCT(("T_C-FC-H2O-S1"=[1]OUT_TransportEnergyCons!$A$3:$A$1000)*1,("var_fout"=[1]OUT_TransportEnergyCons!$B$3:$B$1000)*1,ISNUMBER(SEARCH("TPCAR",[1]OUT_TransportEnergyCons!$C$3:$C$1000))*1,[1]OUT_TransportEnergyCons!O$3:O$1000)</f>
        <v>4.4546848172235046E-5</v>
      </c>
      <c r="S1227" s="3"/>
    </row>
    <row r="1228" spans="2:19" x14ac:dyDescent="0.5">
      <c r="B1228" s="5" t="str">
        <f t="shared" si="1401"/>
        <v>SPS1</v>
      </c>
      <c r="C1228" s="5" t="str">
        <f t="shared" si="1402"/>
        <v>CH</v>
      </c>
      <c r="D1228" t="s">
        <v>1147</v>
      </c>
      <c r="E1228" t="str">
        <f t="shared" si="1400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7.8397913916958742E-5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9.926152479029222E-5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1.081215576846618E-4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2.9482725692394336E-5</v>
      </c>
      <c r="J1228" s="1" cm="1">
        <f t="array" ref="J1228">SUMPRODUCT(("T_C-FC-H2O-S2"=[1]OUT_TransportEnergyCons!$A$3:$A$1000)*1,("var_fout"=[1]OUT_TransportEnergyCons!$B$3:$B$1000)*1,ISNUMBER(SEARCH("TPCAR",[1]OUT_TransportEnergyCons!$C$3:$C$1000))*1,[1]OUT_TransportEnergyCons!H$3:H$1000)</f>
        <v>2.4653323496029947E-5</v>
      </c>
      <c r="K1228" s="1" cm="1">
        <f t="array" ref="K1228">SUMPRODUCT(("T_C-FC-H2O-S2"=[1]OUT_TransportEnergyCons!$A$3:$A$1000)*1,("var_fout"=[1]OUT_TransportEnergyCons!$B$3:$B$1000)*1,ISNUMBER(SEARCH("TPCAR",[1]OUT_TransportEnergyCons!$C$3:$C$1000))*1,[1]OUT_TransportEnergyCons!I$3:I$1000)</f>
        <v>2.0215535579811768E-5</v>
      </c>
      <c r="L1228" s="1" cm="1">
        <f t="array" ref="L1228">SUMPRODUCT(("T_C-FC-H2O-S2"=[1]OUT_TransportEnergyCons!$A$3:$A$1000)*1,("var_fout"=[1]OUT_TransportEnergyCons!$B$3:$B$1000)*1,ISNUMBER(SEARCH("TPCAR",[1]OUT_TransportEnergyCons!$C$3:$C$1000))*1,[1]OUT_TransportEnergyCons!J$3:J$1000)</f>
        <v>2.2614015447713357E-5</v>
      </c>
      <c r="M1228" s="1" cm="1">
        <f t="array" ref="M1228">SUMPRODUCT(("T_C-FC-H2O-S2"=[1]OUT_TransportEnergyCons!$A$3:$A$1000)*1,("var_fout"=[1]OUT_TransportEnergyCons!$B$3:$B$1000)*1,ISNUMBER(SEARCH("TPCAR",[1]OUT_TransportEnergyCons!$C$3:$C$1000))*1,[1]OUT_TransportEnergyCons!K$3:K$1000)</f>
        <v>2.4739315546080223E-5</v>
      </c>
      <c r="N1228" s="1" cm="1">
        <f t="array" ref="N1228">SUMPRODUCT(("T_C-FC-H2O-S2"=[1]OUT_TransportEnergyCons!$A$3:$A$1000)*1,("var_fout"=[1]OUT_TransportEnergyCons!$B$3:$B$1000)*1,ISNUMBER(SEARCH("TPCAR",[1]OUT_TransportEnergyCons!$C$3:$C$1000))*1,[1]OUT_TransportEnergyCons!L$3:L$1000)</f>
        <v>2.0785726415688996E-5</v>
      </c>
      <c r="O1228" s="1" cm="1">
        <f t="array" ref="O1228">SUMPRODUCT(("T_C-FC-H2O-S2"=[1]OUT_TransportEnergyCons!$A$3:$A$1000)*1,("var_fout"=[1]OUT_TransportEnergyCons!$B$3:$B$1000)*1,ISNUMBER(SEARCH("TPCAR",[1]OUT_TransportEnergyCons!$C$3:$C$1000))*1,[1]OUT_TransportEnergyCons!M$3:M$1000)</f>
        <v>2.3059572786449954E-5</v>
      </c>
      <c r="P1228" s="1" cm="1">
        <f t="array" ref="P1228">SUMPRODUCT(("T_C-FC-H2O-S2"=[1]OUT_TransportEnergyCons!$A$3:$A$1000)*1,("var_fout"=[1]OUT_TransportEnergyCons!$B$3:$B$1000)*1,ISNUMBER(SEARCH("TPCAR",[1]OUT_TransportEnergyCons!$C$3:$C$1000))*1,[1]OUT_TransportEnergyCons!N$3:N$1000)</f>
        <v>2.1178208937173077E-5</v>
      </c>
      <c r="Q1228" s="1" cm="1">
        <f t="array" ref="Q1228">SUMPRODUCT(("T_C-FC-H2O-S2"=[1]OUT_TransportEnergyCons!$A$3:$A$1000)*1,("var_fout"=[1]OUT_TransportEnergyCons!$B$3:$B$1000)*1,ISNUMBER(SEARCH("TPCAR",[1]OUT_TransportEnergyCons!$C$3:$C$1000))*1,[1]OUT_TransportEnergyCons!O$3:O$1000)</f>
        <v>7.3578472258531359E-5</v>
      </c>
      <c r="S1228" s="3"/>
    </row>
    <row r="1229" spans="2:19" x14ac:dyDescent="0.5">
      <c r="B1229" s="5" t="str">
        <f t="shared" si="1401"/>
        <v>SPS1</v>
      </c>
      <c r="C1229" s="5" t="str">
        <f t="shared" si="1402"/>
        <v>CH</v>
      </c>
      <c r="D1229" t="s">
        <v>1148</v>
      </c>
      <c r="E1229" t="str">
        <f t="shared" si="1400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6.3843426728028287E-4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1.5556796709455085E-3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1.4611925346862664E-3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5.2026462280497763E-5</v>
      </c>
      <c r="J1229" s="1" cm="1">
        <f t="array" ref="J1229">SUMPRODUCT(("T_C-FC-H2O-S3"=[1]OUT_TransportEnergyCons!$A$3:$A$1000)*1,("var_fout"=[1]OUT_TransportEnergyCons!$B$3:$B$1000)*1,ISNUMBER(SEARCH("TPCAR",[1]OUT_TransportEnergyCons!$C$3:$C$1000))*1,[1]OUT_TransportEnergyCons!H$3:H$1000)</f>
        <v>3.2332280107858676E-5</v>
      </c>
      <c r="K1229" s="1" cm="1">
        <f t="array" ref="K1229">SUMPRODUCT(("T_C-FC-H2O-S3"=[1]OUT_TransportEnergyCons!$A$3:$A$1000)*1,("var_fout"=[1]OUT_TransportEnergyCons!$B$3:$B$1000)*1,ISNUMBER(SEARCH("TPCAR",[1]OUT_TransportEnergyCons!$C$3:$C$1000))*1,[1]OUT_TransportEnergyCons!I$3:I$1000)</f>
        <v>2.0330112480602422E-5</v>
      </c>
      <c r="L1229" s="1" cm="1">
        <f t="array" ref="L1229">SUMPRODUCT(("T_C-FC-H2O-S3"=[1]OUT_TransportEnergyCons!$A$3:$A$1000)*1,("var_fout"=[1]OUT_TransportEnergyCons!$B$3:$B$1000)*1,ISNUMBER(SEARCH("TPCAR",[1]OUT_TransportEnergyCons!$C$3:$C$1000))*1,[1]OUT_TransportEnergyCons!J$3:J$1000)</f>
        <v>2.2779428126791139E-5</v>
      </c>
      <c r="M1229" s="1" cm="1">
        <f t="array" ref="M1229">SUMPRODUCT(("T_C-FC-H2O-S3"=[1]OUT_TransportEnergyCons!$A$3:$A$1000)*1,("var_fout"=[1]OUT_TransportEnergyCons!$B$3:$B$1000)*1,ISNUMBER(SEARCH("TPCAR",[1]OUT_TransportEnergyCons!$C$3:$C$1000))*1,[1]OUT_TransportEnergyCons!K$3:K$1000)</f>
        <v>2.5486742210389651E-5</v>
      </c>
      <c r="N1229" s="1" cm="1">
        <f t="array" ref="N1229">SUMPRODUCT(("T_C-FC-H2O-S3"=[1]OUT_TransportEnergyCons!$A$3:$A$1000)*1,("var_fout"=[1]OUT_TransportEnergyCons!$B$3:$B$1000)*1,ISNUMBER(SEARCH("TPCAR",[1]OUT_TransportEnergyCons!$C$3:$C$1000))*1,[1]OUT_TransportEnergyCons!L$3:L$1000)</f>
        <v>2.4210464472041574E-5</v>
      </c>
      <c r="O1229" s="1" cm="1">
        <f t="array" ref="O1229">SUMPRODUCT(("T_C-FC-H2O-S3"=[1]OUT_TransportEnergyCons!$A$3:$A$1000)*1,("var_fout"=[1]OUT_TransportEnergyCons!$B$3:$B$1000)*1,ISNUMBER(SEARCH("TPCAR",[1]OUT_TransportEnergyCons!$C$3:$C$1000))*1,[1]OUT_TransportEnergyCons!M$3:M$1000)</f>
        <v>2.6333223313859571E-5</v>
      </c>
      <c r="P1229" s="1" cm="1">
        <f t="array" ref="P1229">SUMPRODUCT(("T_C-FC-H2O-S3"=[1]OUT_TransportEnergyCons!$A$3:$A$1000)*1,("var_fout"=[1]OUT_TransportEnergyCons!$B$3:$B$1000)*1,ISNUMBER(SEARCH("TPCAR",[1]OUT_TransportEnergyCons!$C$3:$C$1000))*1,[1]OUT_TransportEnergyCons!N$3:N$1000)</f>
        <v>3.0095973123300784E-5</v>
      </c>
      <c r="Q1229" s="1" cm="1">
        <f t="array" ref="Q1229">SUMPRODUCT(("T_C-FC-H2O-S3"=[1]OUT_TransportEnergyCons!$A$3:$A$1000)*1,("var_fout"=[1]OUT_TransportEnergyCons!$B$3:$B$1000)*1,ISNUMBER(SEARCH("TPCAR",[1]OUT_TransportEnergyCons!$C$3:$C$1000))*1,[1]OUT_TransportEnergyCons!O$3:O$1000)</f>
        <v>8.5260395107051277E-5</v>
      </c>
      <c r="S1229" s="3"/>
    </row>
    <row r="1230" spans="2:19" x14ac:dyDescent="0.5">
      <c r="B1230" s="5" t="str">
        <f t="shared" si="1401"/>
        <v>SPS1</v>
      </c>
      <c r="C1230" s="5" t="str">
        <f t="shared" si="1402"/>
        <v>CH</v>
      </c>
      <c r="D1230" t="s">
        <v>1149</v>
      </c>
      <c r="E1230" t="str">
        <f t="shared" si="1400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1.6552718127422853E-5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2.7072404586997101E-5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2.1716497155069567E-5</v>
      </c>
      <c r="J1230" s="1" cm="1">
        <f t="array" ref="J1230">SUMPRODUCT(("T_C-FC-H2O-S4"=[1]OUT_TransportEnergyCons!$A$3:$A$1000)*1,("var_fout"=[1]OUT_TransportEnergyCons!$B$3:$B$1000)*1,ISNUMBER(SEARCH("TPCAR",[1]OUT_TransportEnergyCons!$C$3:$C$1000))*1,[1]OUT_TransportEnergyCons!H$3:H$1000)</f>
        <v>2.4085699197172173E-5</v>
      </c>
      <c r="K1230" s="1" cm="1">
        <f t="array" ref="K1230">SUMPRODUCT(("T_C-FC-H2O-S4"=[1]OUT_TransportEnergyCons!$A$3:$A$1000)*1,("var_fout"=[1]OUT_TransportEnergyCons!$B$3:$B$1000)*1,ISNUMBER(SEARCH("TPCAR",[1]OUT_TransportEnergyCons!$C$3:$C$1000))*1,[1]OUT_TransportEnergyCons!I$3:I$1000)</f>
        <v>2.0389393594692094E-5</v>
      </c>
      <c r="L1230" s="1" cm="1">
        <f t="array" ref="L1230">SUMPRODUCT(("T_C-FC-H2O-S4"=[1]OUT_TransportEnergyCons!$A$3:$A$1000)*1,("var_fout"=[1]OUT_TransportEnergyCons!$B$3:$B$1000)*1,ISNUMBER(SEARCH("TPCAR",[1]OUT_TransportEnergyCons!$C$3:$C$1000))*1,[1]OUT_TransportEnergyCons!J$3:J$1000)</f>
        <v>2.3448113822675951E-5</v>
      </c>
      <c r="M1230" s="1" cm="1">
        <f t="array" ref="M1230">SUMPRODUCT(("T_C-FC-H2O-S4"=[1]OUT_TransportEnergyCons!$A$3:$A$1000)*1,("var_fout"=[1]OUT_TransportEnergyCons!$B$3:$B$1000)*1,ISNUMBER(SEARCH("TPCAR",[1]OUT_TransportEnergyCons!$C$3:$C$1000))*1,[1]OUT_TransportEnergyCons!K$3:K$1000)</f>
        <v>2.5469165190144098E-5</v>
      </c>
      <c r="N1230" s="1" cm="1">
        <f t="array" ref="N1230">SUMPRODUCT(("T_C-FC-H2O-S4"=[1]OUT_TransportEnergyCons!$A$3:$A$1000)*1,("var_fout"=[1]OUT_TransportEnergyCons!$B$3:$B$1000)*1,ISNUMBER(SEARCH("TPCAR",[1]OUT_TransportEnergyCons!$C$3:$C$1000))*1,[1]OUT_TransportEnergyCons!L$3:L$1000)</f>
        <v>2.135009300622752E-5</v>
      </c>
      <c r="O1230" s="1" cm="1">
        <f t="array" ref="O1230">SUMPRODUCT(("T_C-FC-H2O-S4"=[1]OUT_TransportEnergyCons!$A$3:$A$1000)*1,("var_fout"=[1]OUT_TransportEnergyCons!$B$3:$B$1000)*1,ISNUMBER(SEARCH("TPCAR",[1]OUT_TransportEnergyCons!$C$3:$C$1000))*1,[1]OUT_TransportEnergyCons!M$3:M$1000)</f>
        <v>2.2664329218318143E-5</v>
      </c>
      <c r="P1230" s="1" cm="1">
        <f t="array" ref="P1230">SUMPRODUCT(("T_C-FC-H2O-S4"=[1]OUT_TransportEnergyCons!$A$3:$A$1000)*1,("var_fout"=[1]OUT_TransportEnergyCons!$B$3:$B$1000)*1,ISNUMBER(SEARCH("TPCAR",[1]OUT_TransportEnergyCons!$C$3:$C$1000))*1,[1]OUT_TransportEnergyCons!N$3:N$1000)</f>
        <v>1.9349768022546985E-5</v>
      </c>
      <c r="Q1230" s="1" cm="1">
        <f t="array" ref="Q1230">SUMPRODUCT(("T_C-FC-H2O-S4"=[1]OUT_TransportEnergyCons!$A$3:$A$1000)*1,("var_fout"=[1]OUT_TransportEnergyCons!$B$3:$B$1000)*1,ISNUMBER(SEARCH("TPCAR",[1]OUT_TransportEnergyCons!$C$3:$C$1000))*1,[1]OUT_TransportEnergyCons!O$3:O$1000)</f>
        <v>7.5395481031667738E-5</v>
      </c>
      <c r="S1230" s="3"/>
    </row>
    <row r="1231" spans="2:19" x14ac:dyDescent="0.5">
      <c r="B1231" s="5" t="str">
        <f t="shared" si="1401"/>
        <v>SPS1</v>
      </c>
      <c r="C1231" s="5" t="str">
        <f t="shared" si="1402"/>
        <v>CH</v>
      </c>
      <c r="D1231" t="s">
        <v>1233</v>
      </c>
      <c r="E1231" t="str">
        <f t="shared" si="1400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0.61926088016342029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0.62769957941677645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0.48284616053126356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0.24143022866162833</v>
      </c>
      <c r="J1231" s="1" cm="1">
        <f t="array" ref="J1231">SUMPRODUCT(("T_C-HYBGSLEXT"=[1]OUT_TransportEnergyCons!$A$3:$A$1000)*1,("var_fout"=[1]OUT_TransportEnergyCons!$B$3:$B$1000)*1,ISNUMBER(SEARCH("TPCAR",[1]OUT_TransportEnergyCons!$C$3:$C$1000))*1,[1]OUT_TransportEnergyCons!H$3:H$1000)</f>
        <v>0</v>
      </c>
      <c r="K1231" s="1" cm="1">
        <f t="array" ref="K1231">SUMPRODUCT(("T_C-HYBGSLEXT"=[1]OUT_TransportEnergyCons!$A$3:$A$1000)*1,("var_fout"=[1]OUT_TransportEnergyCons!$B$3:$B$1000)*1,ISNUMBER(SEARCH("TPCAR",[1]OUT_TransportEnergyCons!$C$3:$C$1000))*1,[1]OUT_TransportEnergyCons!I$3:I$1000)</f>
        <v>0</v>
      </c>
      <c r="L1231" s="1" cm="1">
        <f t="array" ref="L1231">SUMPRODUCT(("T_C-HYBGSLEXT"=[1]OUT_TransportEnergyCons!$A$3:$A$1000)*1,("var_fout"=[1]OUT_TransportEnergyCons!$B$3:$B$1000)*1,ISNUMBER(SEARCH("TPCAR",[1]OUT_TransportEnergyCons!$C$3:$C$1000))*1,[1]OUT_TransportEnergyCons!J$3:J$1000)</f>
        <v>0</v>
      </c>
      <c r="M1231" s="1" cm="1">
        <f t="array" ref="M1231">SUMPRODUCT(("T_C-HYBGSLEXT"=[1]OUT_TransportEnergyCons!$A$3:$A$1000)*1,("var_fout"=[1]OUT_TransportEnergyCons!$B$3:$B$1000)*1,ISNUMBER(SEARCH("TPCAR",[1]OUT_TransportEnergyCons!$C$3:$C$1000))*1,[1]OUT_TransportEnergyCons!K$3:K$1000)</f>
        <v>0</v>
      </c>
      <c r="N1231" s="1" cm="1">
        <f t="array" ref="N1231">SUMPRODUCT(("T_C-HYBGSLEXT"=[1]OUT_TransportEnergyCons!$A$3:$A$1000)*1,("var_fout"=[1]OUT_TransportEnergyCons!$B$3:$B$1000)*1,ISNUMBER(SEARCH("TPCAR",[1]OUT_TransportEnergyCons!$C$3:$C$1000))*1,[1]OUT_TransportEnergyCons!L$3:L$1000)</f>
        <v>0</v>
      </c>
      <c r="O1231" s="1" cm="1">
        <f t="array" ref="O1231">SUMPRODUCT(("T_C-HYBGSLEXT"=[1]OUT_TransportEnergyCons!$A$3:$A$1000)*1,("var_fout"=[1]OUT_TransportEnergyCons!$B$3:$B$1000)*1,ISNUMBER(SEARCH("TPCAR",[1]OUT_TransportEnergyCons!$C$3:$C$1000))*1,[1]OUT_TransportEnergyCons!M$3:M$1000)</f>
        <v>0</v>
      </c>
      <c r="P1231" s="1" cm="1">
        <f t="array" ref="P1231">SUMPRODUCT(("T_C-HYBGSLEXT"=[1]OUT_TransportEnergyCons!$A$3:$A$1000)*1,("var_fout"=[1]OUT_TransportEnergyCons!$B$3:$B$1000)*1,ISNUMBER(SEARCH("TPCAR",[1]OUT_TransportEnergyCons!$C$3:$C$1000))*1,[1]OUT_TransportEnergyCons!N$3:N$1000)</f>
        <v>0</v>
      </c>
      <c r="Q1231" s="1" cm="1">
        <f t="array" ref="Q1231">SUMPRODUCT(("T_C-HYBGSLEXT"=[1]OUT_TransportEnergyCons!$A$3:$A$1000)*1,("var_fout"=[1]OUT_TransportEnergyCons!$B$3:$B$1000)*1,ISNUMBER(SEARCH("TPCAR",[1]OUT_TransportEnergyCons!$C$3:$C$1000))*1,[1]OUT_TransportEnergyCons!O$3:O$1000)</f>
        <v>0</v>
      </c>
      <c r="S1231" s="3"/>
    </row>
    <row r="1232" spans="2:19" x14ac:dyDescent="0.5">
      <c r="B1232" s="5" t="str">
        <f t="shared" si="1401"/>
        <v>SPS1</v>
      </c>
      <c r="C1232" s="5" t="str">
        <f t="shared" si="1402"/>
        <v>CH</v>
      </c>
      <c r="D1232" t="s">
        <v>1150</v>
      </c>
      <c r="E1232" t="str">
        <f t="shared" si="1400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5.1875507682894235E-2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6.2221037908121307E-2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4.3659072738052918E-2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3.506899466950239E-2</v>
      </c>
      <c r="J1232" s="1" cm="1">
        <f t="array" ref="J1232">SUMPRODUCT(("T_C-HY-GSL-S1"=[1]OUT_TransportEnergyCons!$A$3:$A$1000)*1,("var_fout"=[1]OUT_TransportEnergyCons!$B$3:$B$1000)*1,ISNUMBER(SEARCH("TPCAR",[1]OUT_TransportEnergyCons!$C$3:$C$1000))*1,[1]OUT_TransportEnergyCons!H$3:H$1000)</f>
        <v>0.24458237709756292</v>
      </c>
      <c r="K1232" s="1" cm="1">
        <f t="array" ref="K1232">SUMPRODUCT(("T_C-HY-GSL-S1"=[1]OUT_TransportEnergyCons!$A$3:$A$1000)*1,("var_fout"=[1]OUT_TransportEnergyCons!$B$3:$B$1000)*1,ISNUMBER(SEARCH("TPCAR",[1]OUT_TransportEnergyCons!$C$3:$C$1000))*1,[1]OUT_TransportEnergyCons!I$3:I$1000)</f>
        <v>0.49209453831448174</v>
      </c>
      <c r="L1232" s="1" cm="1">
        <f t="array" ref="L1232">SUMPRODUCT(("T_C-HY-GSL-S1"=[1]OUT_TransportEnergyCons!$A$3:$A$1000)*1,("var_fout"=[1]OUT_TransportEnergyCons!$B$3:$B$1000)*1,ISNUMBER(SEARCH("TPCAR",[1]OUT_TransportEnergyCons!$C$3:$C$1000))*1,[1]OUT_TransportEnergyCons!J$3:J$1000)</f>
        <v>0.3857398663327502</v>
      </c>
      <c r="M1232" s="1" cm="1">
        <f t="array" ref="M1232">SUMPRODUCT(("T_C-HY-GSL-S1"=[1]OUT_TransportEnergyCons!$A$3:$A$1000)*1,("var_fout"=[1]OUT_TransportEnergyCons!$B$3:$B$1000)*1,ISNUMBER(SEARCH("TPCAR",[1]OUT_TransportEnergyCons!$C$3:$C$1000))*1,[1]OUT_TransportEnergyCons!K$3:K$1000)</f>
        <v>0.16944290781926796</v>
      </c>
      <c r="N1232" s="1" cm="1">
        <f t="array" ref="N1232">SUMPRODUCT(("T_C-HY-GSL-S1"=[1]OUT_TransportEnergyCons!$A$3:$A$1000)*1,("var_fout"=[1]OUT_TransportEnergyCons!$B$3:$B$1000)*1,ISNUMBER(SEARCH("TPCAR",[1]OUT_TransportEnergyCons!$C$3:$C$1000))*1,[1]OUT_TransportEnergyCons!L$3:L$1000)</f>
        <v>2.5458862630158282E-2</v>
      </c>
      <c r="O1232" s="1" cm="1">
        <f t="array" ref="O1232">SUMPRODUCT(("T_C-HY-GSL-S1"=[1]OUT_TransportEnergyCons!$A$3:$A$1000)*1,("var_fout"=[1]OUT_TransportEnergyCons!$B$3:$B$1000)*1,ISNUMBER(SEARCH("TPCAR",[1]OUT_TransportEnergyCons!$C$3:$C$1000))*1,[1]OUT_TransportEnergyCons!M$3:M$1000)</f>
        <v>0.1485617570495753</v>
      </c>
      <c r="P1232" s="1" cm="1">
        <f t="array" ref="P1232">SUMPRODUCT(("T_C-HY-GSL-S1"=[1]OUT_TransportEnergyCons!$A$3:$A$1000)*1,("var_fout"=[1]OUT_TransportEnergyCons!$B$3:$B$1000)*1,ISNUMBER(SEARCH("TPCAR",[1]OUT_TransportEnergyCons!$C$3:$C$1000))*1,[1]OUT_TransportEnergyCons!N$3:N$1000)</f>
        <v>0.51967725735539194</v>
      </c>
      <c r="Q1232" s="1" cm="1">
        <f t="array" ref="Q1232">SUMPRODUCT(("T_C-HY-GSL-S1"=[1]OUT_TransportEnergyCons!$A$3:$A$1000)*1,("var_fout"=[1]OUT_TransportEnergyCons!$B$3:$B$1000)*1,ISNUMBER(SEARCH("TPCAR",[1]OUT_TransportEnergyCons!$C$3:$C$1000))*1,[1]OUT_TransportEnergyCons!O$3:O$1000)</f>
        <v>0.70580416027749271</v>
      </c>
      <c r="S1232" s="3"/>
    </row>
    <row r="1233" spans="2:19" x14ac:dyDescent="0.5">
      <c r="B1233" s="5" t="str">
        <f t="shared" si="1401"/>
        <v>SPS1</v>
      </c>
      <c r="C1233" s="5" t="str">
        <f t="shared" si="1402"/>
        <v>CH</v>
      </c>
      <c r="D1233" t="s">
        <v>1151</v>
      </c>
      <c r="E1233" t="str">
        <f t="shared" si="1400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0.2218153030335335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0.38908457085593529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0.50710001239081848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0.41667951893920641</v>
      </c>
      <c r="J1233" s="1" cm="1">
        <f t="array" ref="J1233">SUMPRODUCT(("T_C-HY-GSL-S2"=[1]OUT_TransportEnergyCons!$A$3:$A$1000)*1,("var_fout"=[1]OUT_TransportEnergyCons!$B$3:$B$1000)*1,ISNUMBER(SEARCH("TPCAR",[1]OUT_TransportEnergyCons!$C$3:$C$1000))*1,[1]OUT_TransportEnergyCons!H$3:H$1000)</f>
        <v>0.92249876046932344</v>
      </c>
      <c r="K1233" s="1" cm="1">
        <f t="array" ref="K1233">SUMPRODUCT(("T_C-HY-GSL-S2"=[1]OUT_TransportEnergyCons!$A$3:$A$1000)*1,("var_fout"=[1]OUT_TransportEnergyCons!$B$3:$B$1000)*1,ISNUMBER(SEARCH("TPCAR",[1]OUT_TransportEnergyCons!$C$3:$C$1000))*1,[1]OUT_TransportEnergyCons!I$3:I$1000)</f>
        <v>0.71942499260854509</v>
      </c>
      <c r="L1233" s="1" cm="1">
        <f t="array" ref="L1233">SUMPRODUCT(("T_C-HY-GSL-S2"=[1]OUT_TransportEnergyCons!$A$3:$A$1000)*1,("var_fout"=[1]OUT_TransportEnergyCons!$B$3:$B$1000)*1,ISNUMBER(SEARCH("TPCAR",[1]OUT_TransportEnergyCons!$C$3:$C$1000))*1,[1]OUT_TransportEnergyCons!J$3:J$1000)</f>
        <v>0.50345413923522353</v>
      </c>
      <c r="M1233" s="1" cm="1">
        <f t="array" ref="M1233">SUMPRODUCT(("T_C-HY-GSL-S2"=[1]OUT_TransportEnergyCons!$A$3:$A$1000)*1,("var_fout"=[1]OUT_TransportEnergyCons!$B$3:$B$1000)*1,ISNUMBER(SEARCH("TPCAR",[1]OUT_TransportEnergyCons!$C$3:$C$1000))*1,[1]OUT_TransportEnergyCons!K$3:K$1000)</f>
        <v>4.1208389069676814E-3</v>
      </c>
      <c r="N1233" s="1" cm="1">
        <f t="array" ref="N1233">SUMPRODUCT(("T_C-HY-GSL-S2"=[1]OUT_TransportEnergyCons!$A$3:$A$1000)*1,("var_fout"=[1]OUT_TransportEnergyCons!$B$3:$B$1000)*1,ISNUMBER(SEARCH("TPCAR",[1]OUT_TransportEnergyCons!$C$3:$C$1000))*1,[1]OUT_TransportEnergyCons!L$3:L$1000)</f>
        <v>2.8048830722294475E-3</v>
      </c>
      <c r="O1233" s="1" cm="1">
        <f t="array" ref="O1233">SUMPRODUCT(("T_C-HY-GSL-S2"=[1]OUT_TransportEnergyCons!$A$3:$A$1000)*1,("var_fout"=[1]OUT_TransportEnergyCons!$B$3:$B$1000)*1,ISNUMBER(SEARCH("TPCAR",[1]OUT_TransportEnergyCons!$C$3:$C$1000))*1,[1]OUT_TransportEnergyCons!M$3:M$1000)</f>
        <v>3.9225056881485743E-3</v>
      </c>
      <c r="P1233" s="1" cm="1">
        <f t="array" ref="P1233">SUMPRODUCT(("T_C-HY-GSL-S2"=[1]OUT_TransportEnergyCons!$A$3:$A$1000)*1,("var_fout"=[1]OUT_TransportEnergyCons!$B$3:$B$1000)*1,ISNUMBER(SEARCH("TPCAR",[1]OUT_TransportEnergyCons!$C$3:$C$1000))*1,[1]OUT_TransportEnergyCons!N$3:N$1000)</f>
        <v>5.5472582959214117E-3</v>
      </c>
      <c r="Q1233" s="1" cm="1">
        <f t="array" ref="Q1233">SUMPRODUCT(("T_C-HY-GSL-S2"=[1]OUT_TransportEnergyCons!$A$3:$A$1000)*1,("var_fout"=[1]OUT_TransportEnergyCons!$B$3:$B$1000)*1,ISNUMBER(SEARCH("TPCAR",[1]OUT_TransportEnergyCons!$C$3:$C$1000))*1,[1]OUT_TransportEnergyCons!O$3:O$1000)</f>
        <v>5.605510758161787E-3</v>
      </c>
      <c r="S1233" s="3"/>
    </row>
    <row r="1234" spans="2:19" x14ac:dyDescent="0.5">
      <c r="B1234" s="5" t="str">
        <f t="shared" si="1401"/>
        <v>SPS1</v>
      </c>
      <c r="C1234" s="5" t="str">
        <f t="shared" si="1402"/>
        <v>CH</v>
      </c>
      <c r="D1234" t="s">
        <v>1152</v>
      </c>
      <c r="E1234" t="str">
        <f t="shared" si="1400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0.20245970141616595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2.7809359565040923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2.6278432173505863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2.1163493157942086</v>
      </c>
      <c r="J1234" s="1" cm="1">
        <f t="array" ref="J1234">SUMPRODUCT(("T_C-HY-GSL-S3"=[1]OUT_TransportEnergyCons!$A$3:$A$1000)*1,("var_fout"=[1]OUT_TransportEnergyCons!$B$3:$B$1000)*1,ISNUMBER(SEARCH("TPCAR",[1]OUT_TransportEnergyCons!$C$3:$C$1000))*1,[1]OUT_TransportEnergyCons!H$3:H$1000)</f>
        <v>0.68168566954616494</v>
      </c>
      <c r="K1234" s="1" cm="1">
        <f t="array" ref="K1234">SUMPRODUCT(("T_C-HY-GSL-S3"=[1]OUT_TransportEnergyCons!$A$3:$A$1000)*1,("var_fout"=[1]OUT_TransportEnergyCons!$B$3:$B$1000)*1,ISNUMBER(SEARCH("TPCAR",[1]OUT_TransportEnergyCons!$C$3:$C$1000))*1,[1]OUT_TransportEnergyCons!I$3:I$1000)</f>
        <v>1.2251197746355415E-3</v>
      </c>
      <c r="L1234" s="1" cm="1">
        <f t="array" ref="L1234">SUMPRODUCT(("T_C-HY-GSL-S3"=[1]OUT_TransportEnergyCons!$A$3:$A$1000)*1,("var_fout"=[1]OUT_TransportEnergyCons!$B$3:$B$1000)*1,ISNUMBER(SEARCH("TPCAR",[1]OUT_TransportEnergyCons!$C$3:$C$1000))*1,[1]OUT_TransportEnergyCons!J$3:J$1000)</f>
        <v>1.3791798720086566E-3</v>
      </c>
      <c r="M1234" s="1" cm="1">
        <f t="array" ref="M1234">SUMPRODUCT(("T_C-HY-GSL-S3"=[1]OUT_TransportEnergyCons!$A$3:$A$1000)*1,("var_fout"=[1]OUT_TransportEnergyCons!$B$3:$B$1000)*1,ISNUMBER(SEARCH("TPCAR",[1]OUT_TransportEnergyCons!$C$3:$C$1000))*1,[1]OUT_TransportEnergyCons!K$3:K$1000)</f>
        <v>1.7541773134027948E-3</v>
      </c>
      <c r="N1234" s="1" cm="1">
        <f t="array" ref="N1234">SUMPRODUCT(("T_C-HY-GSL-S3"=[1]OUT_TransportEnergyCons!$A$3:$A$1000)*1,("var_fout"=[1]OUT_TransportEnergyCons!$B$3:$B$1000)*1,ISNUMBER(SEARCH("TPCAR",[1]OUT_TransportEnergyCons!$C$3:$C$1000))*1,[1]OUT_TransportEnergyCons!L$3:L$1000)</f>
        <v>1.6902402130626274E-3</v>
      </c>
      <c r="O1234" s="1" cm="1">
        <f t="array" ref="O1234">SUMPRODUCT(("T_C-HY-GSL-S3"=[1]OUT_TransportEnergyCons!$A$3:$A$1000)*1,("var_fout"=[1]OUT_TransportEnergyCons!$B$3:$B$1000)*1,ISNUMBER(SEARCH("TPCAR",[1]OUT_TransportEnergyCons!$C$3:$C$1000))*1,[1]OUT_TransportEnergyCons!M$3:M$1000)</f>
        <v>1.9675003082180952E-3</v>
      </c>
      <c r="P1234" s="1" cm="1">
        <f t="array" ref="P1234">SUMPRODUCT(("T_C-HY-GSL-S3"=[1]OUT_TransportEnergyCons!$A$3:$A$1000)*1,("var_fout"=[1]OUT_TransportEnergyCons!$B$3:$B$1000)*1,ISNUMBER(SEARCH("TPCAR",[1]OUT_TransportEnergyCons!$C$3:$C$1000))*1,[1]OUT_TransportEnergyCons!N$3:N$1000)</f>
        <v>1.9897561961580087E-3</v>
      </c>
      <c r="Q1234" s="1" cm="1">
        <f t="array" ref="Q1234">SUMPRODUCT(("T_C-HY-GSL-S3"=[1]OUT_TransportEnergyCons!$A$3:$A$1000)*1,("var_fout"=[1]OUT_TransportEnergyCons!$B$3:$B$1000)*1,ISNUMBER(SEARCH("TPCAR",[1]OUT_TransportEnergyCons!$C$3:$C$1000))*1,[1]OUT_TransportEnergyCons!O$3:O$1000)</f>
        <v>1.8007813073076884E-3</v>
      </c>
      <c r="S1234" s="3"/>
    </row>
    <row r="1235" spans="2:19" x14ac:dyDescent="0.5">
      <c r="B1235" s="5" t="str">
        <f t="shared" si="1401"/>
        <v>SPS1</v>
      </c>
      <c r="C1235" s="5" t="str">
        <f t="shared" si="1402"/>
        <v>CH</v>
      </c>
      <c r="D1235" t="s">
        <v>1153</v>
      </c>
      <c r="E1235" t="str">
        <f t="shared" si="1400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0.10386542321906614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0.17988624555070765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0.17244939389816935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0.14457870819269306</v>
      </c>
      <c r="J1235" s="1" cm="1">
        <f t="array" ref="J1235">SUMPRODUCT(("T_C-HY-GSL-S4"=[1]OUT_TransportEnergyCons!$A$3:$A$1000)*1,("var_fout"=[1]OUT_TransportEnergyCons!$B$3:$B$1000)*1,ISNUMBER(SEARCH("TPCAR",[1]OUT_TransportEnergyCons!$C$3:$C$1000))*1,[1]OUT_TransportEnergyCons!H$3:H$1000)</f>
        <v>2.6503283088774865E-2</v>
      </c>
      <c r="K1235" s="1" cm="1">
        <f t="array" ref="K1235">SUMPRODUCT(("T_C-HY-GSL-S4"=[1]OUT_TransportEnergyCons!$A$3:$A$1000)*1,("var_fout"=[1]OUT_TransportEnergyCons!$B$3:$B$1000)*1,ISNUMBER(SEARCH("TPCAR",[1]OUT_TransportEnergyCons!$C$3:$C$1000))*1,[1]OUT_TransportEnergyCons!I$3:I$1000)</f>
        <v>3.6331061620755709E-3</v>
      </c>
      <c r="L1235" s="1" cm="1">
        <f t="array" ref="L1235">SUMPRODUCT(("T_C-HY-GSL-S4"=[1]OUT_TransportEnergyCons!$A$3:$A$1000)*1,("var_fout"=[1]OUT_TransportEnergyCons!$B$3:$B$1000)*1,ISNUMBER(SEARCH("TPCAR",[1]OUT_TransportEnergyCons!$C$3:$C$1000))*1,[1]OUT_TransportEnergyCons!J$3:J$1000)</f>
        <v>5.0667687026979139E-3</v>
      </c>
      <c r="M1235" s="1" cm="1">
        <f t="array" ref="M1235">SUMPRODUCT(("T_C-HY-GSL-S4"=[1]OUT_TransportEnergyCons!$A$3:$A$1000)*1,("var_fout"=[1]OUT_TransportEnergyCons!$B$3:$B$1000)*1,ISNUMBER(SEARCH("TPCAR",[1]OUT_TransportEnergyCons!$C$3:$C$1000))*1,[1]OUT_TransportEnergyCons!K$3:K$1000)</f>
        <v>0.88824774615746438</v>
      </c>
      <c r="N1235" s="1" cm="1">
        <f t="array" ref="N1235">SUMPRODUCT(("T_C-HY-GSL-S4"=[1]OUT_TransportEnergyCons!$A$3:$A$1000)*1,("var_fout"=[1]OUT_TransportEnergyCons!$B$3:$B$1000)*1,ISNUMBER(SEARCH("TPCAR",[1]OUT_TransportEnergyCons!$C$3:$C$1000))*1,[1]OUT_TransportEnergyCons!L$3:L$1000)</f>
        <v>0.84479676804750048</v>
      </c>
      <c r="O1235" s="1" cm="1">
        <f t="array" ref="O1235">SUMPRODUCT(("T_C-HY-GSL-S4"=[1]OUT_TransportEnergyCons!$A$3:$A$1000)*1,("var_fout"=[1]OUT_TransportEnergyCons!$B$3:$B$1000)*1,ISNUMBER(SEARCH("TPCAR",[1]OUT_TransportEnergyCons!$C$3:$C$1000))*1,[1]OUT_TransportEnergyCons!M$3:M$1000)</f>
        <v>0.6725934598553337</v>
      </c>
      <c r="P1235" s="1" cm="1">
        <f t="array" ref="P1235">SUMPRODUCT(("T_C-HY-GSL-S4"=[1]OUT_TransportEnergyCons!$A$3:$A$1000)*1,("var_fout"=[1]OUT_TransportEnergyCons!$B$3:$B$1000)*1,ISNUMBER(SEARCH("TPCAR",[1]OUT_TransportEnergyCons!$C$3:$C$1000))*1,[1]OUT_TransportEnergyCons!N$3:N$1000)</f>
        <v>0.22612088410575898</v>
      </c>
      <c r="Q1235" s="1" cm="1">
        <f t="array" ref="Q1235">SUMPRODUCT(("T_C-HY-GSL-S4"=[1]OUT_TransportEnergyCons!$A$3:$A$1000)*1,("var_fout"=[1]OUT_TransportEnergyCons!$B$3:$B$1000)*1,ISNUMBER(SEARCH("TPCAR",[1]OUT_TransportEnergyCons!$C$3:$C$1000))*1,[1]OUT_TransportEnergyCons!O$3:O$1000)</f>
        <v>3.9164101893309393E-3</v>
      </c>
      <c r="S1235" s="3"/>
    </row>
    <row r="1236" spans="2:19" x14ac:dyDescent="0.5">
      <c r="B1236" s="5" t="str">
        <f t="shared" si="1401"/>
        <v>SPS1</v>
      </c>
      <c r="C1236" s="5" t="str">
        <f t="shared" si="1402"/>
        <v>CH</v>
      </c>
      <c r="D1236" t="s">
        <v>1154</v>
      </c>
      <c r="E1236" t="str">
        <f t="shared" si="1400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18.302989311421761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15.920907537756047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14.186344491235198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4.1386349840064192</v>
      </c>
      <c r="J1236" s="1" cm="1">
        <f t="array" ref="J1236">SUMPRODUCT(("T_C-ICEGSLEXT"=[1]OUT_TransportEnergyCons!$A$3:$A$1000)*1,("var_fout"=[1]OUT_TransportEnergyCons!$B$3:$B$1000)*1,ISNUMBER(SEARCH("TPCAR",[1]OUT_TransportEnergyCons!$C$3:$C$1000))*1,[1]OUT_TransportEnergyCons!H$3:H$1000)</f>
        <v>0</v>
      </c>
      <c r="K1236" s="1" cm="1">
        <f t="array" ref="K1236">SUMPRODUCT(("T_C-ICEGSLEXT"=[1]OUT_TransportEnergyCons!$A$3:$A$1000)*1,("var_fout"=[1]OUT_TransportEnergyCons!$B$3:$B$1000)*1,ISNUMBER(SEARCH("TPCAR",[1]OUT_TransportEnergyCons!$C$3:$C$1000))*1,[1]OUT_TransportEnergyCons!I$3:I$1000)</f>
        <v>0</v>
      </c>
      <c r="L1236" s="1" cm="1">
        <f t="array" ref="L1236">SUMPRODUCT(("T_C-ICEGSLEXT"=[1]OUT_TransportEnergyCons!$A$3:$A$1000)*1,("var_fout"=[1]OUT_TransportEnergyCons!$B$3:$B$1000)*1,ISNUMBER(SEARCH("TPCAR",[1]OUT_TransportEnergyCons!$C$3:$C$1000))*1,[1]OUT_TransportEnergyCons!J$3:J$1000)</f>
        <v>0</v>
      </c>
      <c r="M1236" s="1" cm="1">
        <f t="array" ref="M1236">SUMPRODUCT(("T_C-ICEGSLEXT"=[1]OUT_TransportEnergyCons!$A$3:$A$1000)*1,("var_fout"=[1]OUT_TransportEnergyCons!$B$3:$B$1000)*1,ISNUMBER(SEARCH("TPCAR",[1]OUT_TransportEnergyCons!$C$3:$C$1000))*1,[1]OUT_TransportEnergyCons!K$3:K$1000)</f>
        <v>0</v>
      </c>
      <c r="N1236" s="1" cm="1">
        <f t="array" ref="N1236">SUMPRODUCT(("T_C-ICEGSLEXT"=[1]OUT_TransportEnergyCons!$A$3:$A$1000)*1,("var_fout"=[1]OUT_TransportEnergyCons!$B$3:$B$1000)*1,ISNUMBER(SEARCH("TPCAR",[1]OUT_TransportEnergyCons!$C$3:$C$1000))*1,[1]OUT_TransportEnergyCons!L$3:L$1000)</f>
        <v>0</v>
      </c>
      <c r="O1236" s="1" cm="1">
        <f t="array" ref="O1236">SUMPRODUCT(("T_C-ICEGSLEXT"=[1]OUT_TransportEnergyCons!$A$3:$A$1000)*1,("var_fout"=[1]OUT_TransportEnergyCons!$B$3:$B$1000)*1,ISNUMBER(SEARCH("TPCAR",[1]OUT_TransportEnergyCons!$C$3:$C$1000))*1,[1]OUT_TransportEnergyCons!M$3:M$1000)</f>
        <v>0</v>
      </c>
      <c r="P1236" s="1" cm="1">
        <f t="array" ref="P1236">SUMPRODUCT(("T_C-ICEGSLEXT"=[1]OUT_TransportEnergyCons!$A$3:$A$1000)*1,("var_fout"=[1]OUT_TransportEnergyCons!$B$3:$B$1000)*1,ISNUMBER(SEARCH("TPCAR",[1]OUT_TransportEnergyCons!$C$3:$C$1000))*1,[1]OUT_TransportEnergyCons!N$3:N$1000)</f>
        <v>0</v>
      </c>
      <c r="Q1236" s="1" cm="1">
        <f t="array" ref="Q1236">SUMPRODUCT(("T_C-ICEGSLEXT"=[1]OUT_TransportEnergyCons!$A$3:$A$1000)*1,("var_fout"=[1]OUT_TransportEnergyCons!$B$3:$B$1000)*1,ISNUMBER(SEARCH("TPCAR",[1]OUT_TransportEnergyCons!$C$3:$C$1000))*1,[1]OUT_TransportEnergyCons!O$3:O$1000)</f>
        <v>0</v>
      </c>
      <c r="S1236" s="3"/>
    </row>
    <row r="1237" spans="2:19" x14ac:dyDescent="0.5">
      <c r="B1237" s="5" t="str">
        <f t="shared" si="1401"/>
        <v>SPS1</v>
      </c>
      <c r="C1237" s="5" t="str">
        <f t="shared" si="1402"/>
        <v>CH</v>
      </c>
      <c r="D1237" t="s">
        <v>1155</v>
      </c>
      <c r="E1237" t="str">
        <f t="shared" si="1400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0.33930876372379726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0.37241081592190822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0.25959863794697152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0.19964088876289063</v>
      </c>
      <c r="J1237" s="1" cm="1">
        <f t="array" ref="J1237">SUMPRODUCT(("T_C-ICE-GSL-S1"=[1]OUT_TransportEnergyCons!$A$3:$A$1000)*1,("var_fout"=[1]OUT_TransportEnergyCons!$B$3:$B$1000)*1,ISNUMBER(SEARCH("TPCAR",[1]OUT_TransportEnergyCons!$C$3:$C$1000))*1,[1]OUT_TransportEnergyCons!H$3:H$1000)</f>
        <v>1.0713083419227189E-2</v>
      </c>
      <c r="K1237" s="1" cm="1">
        <f t="array" ref="K1237">SUMPRODUCT(("T_C-ICE-GSL-S1"=[1]OUT_TransportEnergyCons!$A$3:$A$1000)*1,("var_fout"=[1]OUT_TransportEnergyCons!$B$3:$B$1000)*1,ISNUMBER(SEARCH("TPCAR",[1]OUT_TransportEnergyCons!$C$3:$C$1000))*1,[1]OUT_TransportEnergyCons!I$3:I$1000)</f>
        <v>1.6271956123072384E-3</v>
      </c>
      <c r="L1237" s="1" cm="1">
        <f t="array" ref="L1237">SUMPRODUCT(("T_C-ICE-GSL-S1"=[1]OUT_TransportEnergyCons!$A$3:$A$1000)*1,("var_fout"=[1]OUT_TransportEnergyCons!$B$3:$B$1000)*1,ISNUMBER(SEARCH("TPCAR",[1]OUT_TransportEnergyCons!$C$3:$C$1000))*1,[1]OUT_TransportEnergyCons!J$3:J$1000)</f>
        <v>1.0796507418490032E-3</v>
      </c>
      <c r="M1237" s="1" cm="1">
        <f t="array" ref="M1237">SUMPRODUCT(("T_C-ICE-GSL-S1"=[1]OUT_TransportEnergyCons!$A$3:$A$1000)*1,("var_fout"=[1]OUT_TransportEnergyCons!$B$3:$B$1000)*1,ISNUMBER(SEARCH("TPCAR",[1]OUT_TransportEnergyCons!$C$3:$C$1000))*1,[1]OUT_TransportEnergyCons!K$3:K$1000)</f>
        <v>7.3492865575128046E-4</v>
      </c>
      <c r="N1237" s="1" cm="1">
        <f t="array" ref="N1237">SUMPRODUCT(("T_C-ICE-GSL-S1"=[1]OUT_TransportEnergyCons!$A$3:$A$1000)*1,("var_fout"=[1]OUT_TransportEnergyCons!$B$3:$B$1000)*1,ISNUMBER(SEARCH("TPCAR",[1]OUT_TransportEnergyCons!$C$3:$C$1000))*1,[1]OUT_TransportEnergyCons!L$3:L$1000)</f>
        <v>4.1649036473901318E-4</v>
      </c>
      <c r="O1237" s="1" cm="1">
        <f t="array" ref="O1237">SUMPRODUCT(("T_C-ICE-GSL-S1"=[1]OUT_TransportEnergyCons!$A$3:$A$1000)*1,("var_fout"=[1]OUT_TransportEnergyCons!$B$3:$B$1000)*1,ISNUMBER(SEARCH("TPCAR",[1]OUT_TransportEnergyCons!$C$3:$C$1000))*1,[1]OUT_TransportEnergyCons!M$3:M$1000)</f>
        <v>4.3262837869755878E-4</v>
      </c>
      <c r="P1237" s="1" cm="1">
        <f t="array" ref="P1237">SUMPRODUCT(("T_C-ICE-GSL-S1"=[1]OUT_TransportEnergyCons!$A$3:$A$1000)*1,("var_fout"=[1]OUT_TransportEnergyCons!$B$3:$B$1000)*1,ISNUMBER(SEARCH("TPCAR",[1]OUT_TransportEnergyCons!$C$3:$C$1000))*1,[1]OUT_TransportEnergyCons!N$3:N$1000)</f>
        <v>5.0452393288749468E-4</v>
      </c>
      <c r="Q1237" s="1" cm="1">
        <f t="array" ref="Q1237">SUMPRODUCT(("T_C-ICE-GSL-S1"=[1]OUT_TransportEnergyCons!$A$3:$A$1000)*1,("var_fout"=[1]OUT_TransportEnergyCons!$B$3:$B$1000)*1,ISNUMBER(SEARCH("TPCAR",[1]OUT_TransportEnergyCons!$C$3:$C$1000))*1,[1]OUT_TransportEnergyCons!O$3:O$1000)</f>
        <v>6.663055510400922E-4</v>
      </c>
      <c r="S1237" s="3"/>
    </row>
    <row r="1238" spans="2:19" x14ac:dyDescent="0.5">
      <c r="B1238" s="5" t="str">
        <f t="shared" si="1401"/>
        <v>SPS1</v>
      </c>
      <c r="C1238" s="5" t="str">
        <f t="shared" si="1402"/>
        <v>CH</v>
      </c>
      <c r="D1238" t="s">
        <v>1156</v>
      </c>
      <c r="E1238" t="str">
        <f t="shared" si="1400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2.284763977425694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3.2079783132157216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3.1765765677489064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2.5119505714125241</v>
      </c>
      <c r="J1238" s="1" cm="1">
        <f t="array" ref="J1238">SUMPRODUCT(("T_C-ICE-GSL-S2"=[1]OUT_TransportEnergyCons!$A$3:$A$1000)*1,("var_fout"=[1]OUT_TransportEnergyCons!$B$3:$B$1000)*1,ISNUMBER(SEARCH("TPCAR",[1]OUT_TransportEnergyCons!$C$3:$C$1000))*1,[1]OUT_TransportEnergyCons!H$3:H$1000)</f>
        <v>0.10781871795567113</v>
      </c>
      <c r="K1238" s="1" cm="1">
        <f t="array" ref="K1238">SUMPRODUCT(("T_C-ICE-GSL-S2"=[1]OUT_TransportEnergyCons!$A$3:$A$1000)*1,("var_fout"=[1]OUT_TransportEnergyCons!$B$3:$B$1000)*1,ISNUMBER(SEARCH("TPCAR",[1]OUT_TransportEnergyCons!$C$3:$C$1000))*1,[1]OUT_TransportEnergyCons!I$3:I$1000)</f>
        <v>6.1285597508036376E-3</v>
      </c>
      <c r="L1238" s="1" cm="1">
        <f t="array" ref="L1238">SUMPRODUCT(("T_C-ICE-GSL-S2"=[1]OUT_TransportEnergyCons!$A$3:$A$1000)*1,("var_fout"=[1]OUT_TransportEnergyCons!$B$3:$B$1000)*1,ISNUMBER(SEARCH("TPCAR",[1]OUT_TransportEnergyCons!$C$3:$C$1000))*1,[1]OUT_TransportEnergyCons!J$3:J$1000)</f>
        <v>2.7827355425350917E-3</v>
      </c>
      <c r="M1238" s="1" cm="1">
        <f t="array" ref="M1238">SUMPRODUCT(("T_C-ICE-GSL-S2"=[1]OUT_TransportEnergyCons!$A$3:$A$1000)*1,("var_fout"=[1]OUT_TransportEnergyCons!$B$3:$B$1000)*1,ISNUMBER(SEARCH("TPCAR",[1]OUT_TransportEnergyCons!$C$3:$C$1000))*1,[1]OUT_TransportEnergyCons!K$3:K$1000)</f>
        <v>1.4812148073628296E-3</v>
      </c>
      <c r="N1238" s="1" cm="1">
        <f t="array" ref="N1238">SUMPRODUCT(("T_C-ICE-GSL-S2"=[1]OUT_TransportEnergyCons!$A$3:$A$1000)*1,("var_fout"=[1]OUT_TransportEnergyCons!$B$3:$B$1000)*1,ISNUMBER(SEARCH("TPCAR",[1]OUT_TransportEnergyCons!$C$3:$C$1000))*1,[1]OUT_TransportEnergyCons!L$3:L$1000)</f>
        <v>8.2596430285165195E-4</v>
      </c>
      <c r="O1238" s="1" cm="1">
        <f t="array" ref="O1238">SUMPRODUCT(("T_C-ICE-GSL-S2"=[1]OUT_TransportEnergyCons!$A$3:$A$1000)*1,("var_fout"=[1]OUT_TransportEnergyCons!$B$3:$B$1000)*1,ISNUMBER(SEARCH("TPCAR",[1]OUT_TransportEnergyCons!$C$3:$C$1000))*1,[1]OUT_TransportEnergyCons!M$3:M$1000)</f>
        <v>8.760273007959278E-4</v>
      </c>
      <c r="P1238" s="1" cm="1">
        <f t="array" ref="P1238">SUMPRODUCT(("T_C-ICE-GSL-S2"=[1]OUT_TransportEnergyCons!$A$3:$A$1000)*1,("var_fout"=[1]OUT_TransportEnergyCons!$B$3:$B$1000)*1,ISNUMBER(SEARCH("TPCAR",[1]OUT_TransportEnergyCons!$C$3:$C$1000))*1,[1]OUT_TransportEnergyCons!N$3:N$1000)</f>
        <v>1.0344282813159215E-3</v>
      </c>
      <c r="Q1238" s="1" cm="1">
        <f t="array" ref="Q1238">SUMPRODUCT(("T_C-ICE-GSL-S2"=[1]OUT_TransportEnergyCons!$A$3:$A$1000)*1,("var_fout"=[1]OUT_TransportEnergyCons!$B$3:$B$1000)*1,ISNUMBER(SEARCH("TPCAR",[1]OUT_TransportEnergyCons!$C$3:$C$1000))*1,[1]OUT_TransportEnergyCons!O$3:O$1000)</f>
        <v>1.2903559752439498E-3</v>
      </c>
      <c r="S1238" s="3"/>
    </row>
    <row r="1239" spans="2:19" x14ac:dyDescent="0.5">
      <c r="B1239" s="5" t="str">
        <f t="shared" si="1401"/>
        <v>SPS1</v>
      </c>
      <c r="C1239" s="5" t="str">
        <f t="shared" si="1402"/>
        <v>CH</v>
      </c>
      <c r="D1239" t="s">
        <v>1157</v>
      </c>
      <c r="E1239" t="str">
        <f t="shared" si="1400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1.9524974369843293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2.9626056685162441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3.8380445098271254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3.1935053065418888</v>
      </c>
      <c r="J1239" s="1" cm="1">
        <f t="array" ref="J1239">SUMPRODUCT(("T_C-ICE-GSL-S3"=[1]OUT_TransportEnergyCons!$A$3:$A$1000)*1,("var_fout"=[1]OUT_TransportEnergyCons!$B$3:$B$1000)*1,ISNUMBER(SEARCH("TPCAR",[1]OUT_TransportEnergyCons!$C$3:$C$1000))*1,[1]OUT_TransportEnergyCons!H$3:H$1000)</f>
        <v>1.1129658485713303</v>
      </c>
      <c r="K1239" s="1" cm="1">
        <f t="array" ref="K1239">SUMPRODUCT(("T_C-ICE-GSL-S3"=[1]OUT_TransportEnergyCons!$A$3:$A$1000)*1,("var_fout"=[1]OUT_TransportEnergyCons!$B$3:$B$1000)*1,ISNUMBER(SEARCH("TPCAR",[1]OUT_TransportEnergyCons!$C$3:$C$1000))*1,[1]OUT_TransportEnergyCons!I$3:I$1000)</f>
        <v>0.45858930081280225</v>
      </c>
      <c r="L1239" s="1" cm="1">
        <f t="array" ref="L1239">SUMPRODUCT(("T_C-ICE-GSL-S3"=[1]OUT_TransportEnergyCons!$A$3:$A$1000)*1,("var_fout"=[1]OUT_TransportEnergyCons!$B$3:$B$1000)*1,ISNUMBER(SEARCH("TPCAR",[1]OUT_TransportEnergyCons!$C$3:$C$1000))*1,[1]OUT_TransportEnergyCons!J$3:J$1000)</f>
        <v>0.25721891525829188</v>
      </c>
      <c r="M1239" s="1" cm="1">
        <f t="array" ref="M1239">SUMPRODUCT(("T_C-ICE-GSL-S3"=[1]OUT_TransportEnergyCons!$A$3:$A$1000)*1,("var_fout"=[1]OUT_TransportEnergyCons!$B$3:$B$1000)*1,ISNUMBER(SEARCH("TPCAR",[1]OUT_TransportEnergyCons!$C$3:$C$1000))*1,[1]OUT_TransportEnergyCons!K$3:K$1000)</f>
        <v>8.4786734303926598E-3</v>
      </c>
      <c r="N1239" s="1" cm="1">
        <f t="array" ref="N1239">SUMPRODUCT(("T_C-ICE-GSL-S3"=[1]OUT_TransportEnergyCons!$A$3:$A$1000)*1,("var_fout"=[1]OUT_TransportEnergyCons!$B$3:$B$1000)*1,ISNUMBER(SEARCH("TPCAR",[1]OUT_TransportEnergyCons!$C$3:$C$1000))*1,[1]OUT_TransportEnergyCons!L$3:L$1000)</f>
        <v>1.9721202352802033E-3</v>
      </c>
      <c r="O1239" s="1" cm="1">
        <f t="array" ref="O1239">SUMPRODUCT(("T_C-ICE-GSL-S3"=[1]OUT_TransportEnergyCons!$A$3:$A$1000)*1,("var_fout"=[1]OUT_TransportEnergyCons!$B$3:$B$1000)*1,ISNUMBER(SEARCH("TPCAR",[1]OUT_TransportEnergyCons!$C$3:$C$1000))*1,[1]OUT_TransportEnergyCons!M$3:M$1000)</f>
        <v>1.4491309201682557E-3</v>
      </c>
      <c r="P1239" s="1" cm="1">
        <f t="array" ref="P1239">SUMPRODUCT(("T_C-ICE-GSL-S3"=[1]OUT_TransportEnergyCons!$A$3:$A$1000)*1,("var_fout"=[1]OUT_TransportEnergyCons!$B$3:$B$1000)*1,ISNUMBER(SEARCH("TPCAR",[1]OUT_TransportEnergyCons!$C$3:$C$1000))*1,[1]OUT_TransportEnergyCons!N$3:N$1000)</f>
        <v>1.6185356453100777E-3</v>
      </c>
      <c r="Q1239" s="1" cm="1">
        <f t="array" ref="Q1239">SUMPRODUCT(("T_C-ICE-GSL-S3"=[1]OUT_TransportEnergyCons!$A$3:$A$1000)*1,("var_fout"=[1]OUT_TransportEnergyCons!$B$3:$B$1000)*1,ISNUMBER(SEARCH("TPCAR",[1]OUT_TransportEnergyCons!$C$3:$C$1000))*1,[1]OUT_TransportEnergyCons!O$3:O$1000)</f>
        <v>1.7698148027922055E-3</v>
      </c>
      <c r="S1239" s="3"/>
    </row>
    <row r="1240" spans="2:19" x14ac:dyDescent="0.5">
      <c r="B1240" s="5" t="str">
        <f t="shared" si="1401"/>
        <v>SPS1</v>
      </c>
      <c r="C1240" s="5" t="str">
        <f t="shared" si="1402"/>
        <v>CH</v>
      </c>
      <c r="D1240" t="s">
        <v>1158</v>
      </c>
      <c r="E1240" t="str">
        <f t="shared" si="1400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1.7182961424446286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2.2770016530694117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5.754901247725547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11.131364229159811</v>
      </c>
      <c r="J1240" s="1" cm="1">
        <f t="array" ref="J1240">SUMPRODUCT(("T_C-ICE-GSL-S4"=[1]OUT_TransportEnergyCons!$A$3:$A$1000)*1,("var_fout"=[1]OUT_TransportEnergyCons!$B$3:$B$1000)*1,ISNUMBER(SEARCH("TPCAR",[1]OUT_TransportEnergyCons!$C$3:$C$1000))*1,[1]OUT_TransportEnergyCons!H$3:H$1000)</f>
        <v>14.578355017722345</v>
      </c>
      <c r="K1240" s="1" cm="1">
        <f t="array" ref="K1240">SUMPRODUCT(("T_C-ICE-GSL-S4"=[1]OUT_TransportEnergyCons!$A$3:$A$1000)*1,("var_fout"=[1]OUT_TransportEnergyCons!$B$3:$B$1000)*1,ISNUMBER(SEARCH("TPCAR",[1]OUT_TransportEnergyCons!$C$3:$C$1000))*1,[1]OUT_TransportEnergyCons!I$3:I$1000)</f>
        <v>14.145408089918293</v>
      </c>
      <c r="L1240" s="1" cm="1">
        <f t="array" ref="L1240">SUMPRODUCT(("T_C-ICE-GSL-S4"=[1]OUT_TransportEnergyCons!$A$3:$A$1000)*1,("var_fout"=[1]OUT_TransportEnergyCons!$B$3:$B$1000)*1,ISNUMBER(SEARCH("TPCAR",[1]OUT_TransportEnergyCons!$C$3:$C$1000))*1,[1]OUT_TransportEnergyCons!J$3:J$1000)</f>
        <v>13.452144427912827</v>
      </c>
      <c r="M1240" s="1" cm="1">
        <f t="array" ref="M1240">SUMPRODUCT(("T_C-ICE-GSL-S4"=[1]OUT_TransportEnergyCons!$A$3:$A$1000)*1,("var_fout"=[1]OUT_TransportEnergyCons!$B$3:$B$1000)*1,ISNUMBER(SEARCH("TPCAR",[1]OUT_TransportEnergyCons!$C$3:$C$1000))*1,[1]OUT_TransportEnergyCons!K$3:K$1000)</f>
        <v>12.792858556072106</v>
      </c>
      <c r="N1240" s="1" cm="1">
        <f t="array" ref="N1240">SUMPRODUCT(("T_C-ICE-GSL-S4"=[1]OUT_TransportEnergyCons!$A$3:$A$1000)*1,("var_fout"=[1]OUT_TransportEnergyCons!$B$3:$B$1000)*1,ISNUMBER(SEARCH("TPCAR",[1]OUT_TransportEnergyCons!$C$3:$C$1000))*1,[1]OUT_TransportEnergyCons!L$3:L$1000)</f>
        <v>12.165879798586589</v>
      </c>
      <c r="O1240" s="1" cm="1">
        <f t="array" ref="O1240">SUMPRODUCT(("T_C-ICE-GSL-S4"=[1]OUT_TransportEnergyCons!$A$3:$A$1000)*1,("var_fout"=[1]OUT_TransportEnergyCons!$B$3:$B$1000)*1,ISNUMBER(SEARCH("TPCAR",[1]OUT_TransportEnergyCons!$C$3:$C$1000))*1,[1]OUT_TransportEnergyCons!M$3:M$1000)</f>
        <v>11.569632633025154</v>
      </c>
      <c r="P1240" s="1" cm="1">
        <f t="array" ref="P1240">SUMPRODUCT(("T_C-ICE-GSL-S4"=[1]OUT_TransportEnergyCons!$A$3:$A$1000)*1,("var_fout"=[1]OUT_TransportEnergyCons!$B$3:$B$1000)*1,ISNUMBER(SEARCH("TPCAR",[1]OUT_TransportEnergyCons!$C$3:$C$1000))*1,[1]OUT_TransportEnergyCons!N$3:N$1000)</f>
        <v>11.002606325591694</v>
      </c>
      <c r="Q1240" s="1" cm="1">
        <f t="array" ref="Q1240">SUMPRODUCT(("T_C-ICE-GSL-S4"=[1]OUT_TransportEnergyCons!$A$3:$A$1000)*1,("var_fout"=[1]OUT_TransportEnergyCons!$B$3:$B$1000)*1,ISNUMBER(SEARCH("TPCAR",[1]OUT_TransportEnergyCons!$C$3:$C$1000))*1,[1]OUT_TransportEnergyCons!O$3:O$1000)</f>
        <v>10.464120437454405</v>
      </c>
      <c r="S1240" s="3"/>
    </row>
    <row r="1241" spans="2:19" x14ac:dyDescent="0.5">
      <c r="B1241" s="5" t="str">
        <f t="shared" si="1401"/>
        <v>SPS1</v>
      </c>
      <c r="C1241" s="5" t="str">
        <f t="shared" si="1402"/>
        <v>CH</v>
      </c>
      <c r="D1241" t="s">
        <v>1159</v>
      </c>
      <c r="E1241" t="str">
        <f t="shared" si="1400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2.7406893618509779E-4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0.11802336980021408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0.11075540456986399</v>
      </c>
      <c r="J1241" s="1" cm="1">
        <f t="array" ref="J1241">SUMPRODUCT(("T_C-MHY-GSL-S1"=[1]OUT_TransportEnergyCons!$A$3:$A$1000)*1,("var_fout"=[1]OUT_TransportEnergyCons!$B$3:$B$1000)*1,ISNUMBER(SEARCH("TPCAR",[1]OUT_TransportEnergyCons!$C$3:$C$1000))*1,[1]OUT_TransportEnergyCons!H$3:H$1000)</f>
        <v>7.9976113352642195E-2</v>
      </c>
      <c r="K1241" s="1" cm="1">
        <f t="array" ref="K1241">SUMPRODUCT(("T_C-MHY-GSL-S1"=[1]OUT_TransportEnergyCons!$A$3:$A$1000)*1,("var_fout"=[1]OUT_TransportEnergyCons!$B$3:$B$1000)*1,ISNUMBER(SEARCH("TPCAR",[1]OUT_TransportEnergyCons!$C$3:$C$1000))*1,[1]OUT_TransportEnergyCons!I$3:I$1000)</f>
        <v>1.5948704491751588E-2</v>
      </c>
      <c r="L1241" s="1" cm="1">
        <f t="array" ref="L1241">SUMPRODUCT(("T_C-MHY-GSL-S1"=[1]OUT_TransportEnergyCons!$A$3:$A$1000)*1,("var_fout"=[1]OUT_TransportEnergyCons!$B$3:$B$1000)*1,ISNUMBER(SEARCH("TPCAR",[1]OUT_TransportEnergyCons!$C$3:$C$1000))*1,[1]OUT_TransportEnergyCons!J$3:J$1000)</f>
        <v>7.8608627693502577E-4</v>
      </c>
      <c r="M1241" s="1" cm="1">
        <f t="array" ref="M1241">SUMPRODUCT(("T_C-MHY-GSL-S1"=[1]OUT_TransportEnergyCons!$A$3:$A$1000)*1,("var_fout"=[1]OUT_TransportEnergyCons!$B$3:$B$1000)*1,ISNUMBER(SEARCH("TPCAR",[1]OUT_TransportEnergyCons!$C$3:$C$1000))*1,[1]OUT_TransportEnergyCons!K$3:K$1000)</f>
        <v>6.4839113838586571E-4</v>
      </c>
      <c r="N1241" s="1" cm="1">
        <f t="array" ref="N1241">SUMPRODUCT(("T_C-MHY-GSL-S1"=[1]OUT_TransportEnergyCons!$A$3:$A$1000)*1,("var_fout"=[1]OUT_TransportEnergyCons!$B$3:$B$1000)*1,ISNUMBER(SEARCH("TPCAR",[1]OUT_TransportEnergyCons!$C$3:$C$1000))*1,[1]OUT_TransportEnergyCons!L$3:L$1000)</f>
        <v>5.1378426291123476E-4</v>
      </c>
      <c r="O1241" s="1" cm="1">
        <f t="array" ref="O1241">SUMPRODUCT(("T_C-MHY-GSL-S1"=[1]OUT_TransportEnergyCons!$A$3:$A$1000)*1,("var_fout"=[1]OUT_TransportEnergyCons!$B$3:$B$1000)*1,ISNUMBER(SEARCH("TPCAR",[1]OUT_TransportEnergyCons!$C$3:$C$1000))*1,[1]OUT_TransportEnergyCons!M$3:M$1000)</f>
        <v>8.0975148427985151E-4</v>
      </c>
      <c r="P1241" s="1" cm="1">
        <f t="array" ref="P1241">SUMPRODUCT(("T_C-MHY-GSL-S1"=[1]OUT_TransportEnergyCons!$A$3:$A$1000)*1,("var_fout"=[1]OUT_TransportEnergyCons!$B$3:$B$1000)*1,ISNUMBER(SEARCH("TPCAR",[1]OUT_TransportEnergyCons!$C$3:$C$1000))*1,[1]OUT_TransportEnergyCons!N$3:N$1000)</f>
        <v>1.9684636466487694E-3</v>
      </c>
      <c r="Q1241" s="1" cm="1">
        <f t="array" ref="Q1241">SUMPRODUCT(("T_C-MHY-GSL-S1"=[1]OUT_TransportEnergyCons!$A$3:$A$1000)*1,("var_fout"=[1]OUT_TransportEnergyCons!$B$3:$B$1000)*1,ISNUMBER(SEARCH("TPCAR",[1]OUT_TransportEnergyCons!$C$3:$C$1000))*1,[1]OUT_TransportEnergyCons!O$3:O$1000)</f>
        <v>2.6183716100834703E-3</v>
      </c>
      <c r="S1241" s="3"/>
    </row>
    <row r="1242" spans="2:19" x14ac:dyDescent="0.5">
      <c r="B1242" s="5" t="str">
        <f t="shared" si="1401"/>
        <v>SPS1</v>
      </c>
      <c r="C1242" s="5" t="str">
        <f t="shared" si="1402"/>
        <v>CH</v>
      </c>
      <c r="D1242" t="s">
        <v>1160</v>
      </c>
      <c r="E1242" t="str">
        <f t="shared" si="1400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1.7740879318078708E-4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2.3191040949876651E-3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3.0410821715834602E-3</v>
      </c>
      <c r="J1242" s="1" cm="1">
        <f t="array" ref="J1242">SUMPRODUCT(("T_C-MHY-GSL-S2"=[1]OUT_TransportEnergyCons!$A$3:$A$1000)*1,("var_fout"=[1]OUT_TransportEnergyCons!$B$3:$B$1000)*1,ISNUMBER(SEARCH("TPCAR",[1]OUT_TransportEnergyCons!$C$3:$C$1000))*1,[1]OUT_TransportEnergyCons!H$3:H$1000)</f>
        <v>2.8042051491129014E-3</v>
      </c>
      <c r="K1242" s="1" cm="1">
        <f t="array" ref="K1242">SUMPRODUCT(("T_C-MHY-GSL-S2"=[1]OUT_TransportEnergyCons!$A$3:$A$1000)*1,("var_fout"=[1]OUT_TransportEnergyCons!$B$3:$B$1000)*1,ISNUMBER(SEARCH("TPCAR",[1]OUT_TransportEnergyCons!$C$3:$C$1000))*1,[1]OUT_TransportEnergyCons!I$3:I$1000)</f>
        <v>1.7986582843289621E-3</v>
      </c>
      <c r="L1242" s="1" cm="1">
        <f t="array" ref="L1242">SUMPRODUCT(("T_C-MHY-GSL-S2"=[1]OUT_TransportEnergyCons!$A$3:$A$1000)*1,("var_fout"=[1]OUT_TransportEnergyCons!$B$3:$B$1000)*1,ISNUMBER(SEARCH("TPCAR",[1]OUT_TransportEnergyCons!$C$3:$C$1000))*1,[1]OUT_TransportEnergyCons!J$3:J$1000)</f>
        <v>1.1212612505719481E-3</v>
      </c>
      <c r="M1242" s="1" cm="1">
        <f t="array" ref="M1242">SUMPRODUCT(("T_C-MHY-GSL-S2"=[1]OUT_TransportEnergyCons!$A$3:$A$1000)*1,("var_fout"=[1]OUT_TransportEnergyCons!$B$3:$B$1000)*1,ISNUMBER(SEARCH("TPCAR",[1]OUT_TransportEnergyCons!$C$3:$C$1000))*1,[1]OUT_TransportEnergyCons!K$3:K$1000)</f>
        <v>9.892795350000753E-4</v>
      </c>
      <c r="N1242" s="1" cm="1">
        <f t="array" ref="N1242">SUMPRODUCT(("T_C-MHY-GSL-S2"=[1]OUT_TransportEnergyCons!$A$3:$A$1000)*1,("var_fout"=[1]OUT_TransportEnergyCons!$B$3:$B$1000)*1,ISNUMBER(SEARCH("TPCAR",[1]OUT_TransportEnergyCons!$C$3:$C$1000))*1,[1]OUT_TransportEnergyCons!L$3:L$1000)</f>
        <v>8.3758182972382622E-4</v>
      </c>
      <c r="O1242" s="1" cm="1">
        <f t="array" ref="O1242">SUMPRODUCT(("T_C-MHY-GSL-S2"=[1]OUT_TransportEnergyCons!$A$3:$A$1000)*1,("var_fout"=[1]OUT_TransportEnergyCons!$B$3:$B$1000)*1,ISNUMBER(SEARCH("TPCAR",[1]OUT_TransportEnergyCons!$C$3:$C$1000))*1,[1]OUT_TransportEnergyCons!M$3:M$1000)</f>
        <v>1.1766184114111288E-3</v>
      </c>
      <c r="P1242" s="1" cm="1">
        <f t="array" ref="P1242">SUMPRODUCT(("T_C-MHY-GSL-S2"=[1]OUT_TransportEnergyCons!$A$3:$A$1000)*1,("var_fout"=[1]OUT_TransportEnergyCons!$B$3:$B$1000)*1,ISNUMBER(SEARCH("TPCAR",[1]OUT_TransportEnergyCons!$C$3:$C$1000))*1,[1]OUT_TransportEnergyCons!N$3:N$1000)</f>
        <v>1.8232941953087872E-3</v>
      </c>
      <c r="Q1242" s="1" cm="1">
        <f t="array" ref="Q1242">SUMPRODUCT(("T_C-MHY-GSL-S2"=[1]OUT_TransportEnergyCons!$A$3:$A$1000)*1,("var_fout"=[1]OUT_TransportEnergyCons!$B$3:$B$1000)*1,ISNUMBER(SEARCH("TPCAR",[1]OUT_TransportEnergyCons!$C$3:$C$1000))*1,[1]OUT_TransportEnergyCons!O$3:O$1000)</f>
        <v>2.0431111378802461E-3</v>
      </c>
      <c r="S1242" s="3"/>
    </row>
    <row r="1243" spans="2:19" x14ac:dyDescent="0.5">
      <c r="B1243" s="5" t="str">
        <f t="shared" si="1401"/>
        <v>SPS1</v>
      </c>
      <c r="C1243" s="5" t="str">
        <f t="shared" si="1402"/>
        <v>CH</v>
      </c>
      <c r="D1243" t="s">
        <v>1161</v>
      </c>
      <c r="E1243" t="str">
        <f t="shared" si="1400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2.6064018798464957E-4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1.5645202063911919E-3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2.3187324145500401E-3</v>
      </c>
      <c r="J1243" s="1" cm="1">
        <f t="array" ref="J1243">SUMPRODUCT(("T_C-MHY-GSL-S3"=[1]OUT_TransportEnergyCons!$A$3:$A$1000)*1,("var_fout"=[1]OUT_TransportEnergyCons!$B$3:$B$1000)*1,ISNUMBER(SEARCH("TPCAR",[1]OUT_TransportEnergyCons!$C$3:$C$1000))*1,[1]OUT_TransportEnergyCons!H$3:H$1000)</f>
        <v>2.1765699895015594E-3</v>
      </c>
      <c r="K1243" s="1" cm="1">
        <f t="array" ref="K1243">SUMPRODUCT(("T_C-MHY-GSL-S3"=[1]OUT_TransportEnergyCons!$A$3:$A$1000)*1,("var_fout"=[1]OUT_TransportEnergyCons!$B$3:$B$1000)*1,ISNUMBER(SEARCH("TPCAR",[1]OUT_TransportEnergyCons!$C$3:$C$1000))*1,[1]OUT_TransportEnergyCons!I$3:I$1000)</f>
        <v>1.6496253905733237E-3</v>
      </c>
      <c r="L1243" s="1" cm="1">
        <f t="array" ref="L1243">SUMPRODUCT(("T_C-MHY-GSL-S3"=[1]OUT_TransportEnergyCons!$A$3:$A$1000)*1,("var_fout"=[1]OUT_TransportEnergyCons!$B$3:$B$1000)*1,ISNUMBER(SEARCH("TPCAR",[1]OUT_TransportEnergyCons!$C$3:$C$1000))*1,[1]OUT_TransportEnergyCons!J$3:J$1000)</f>
        <v>1.3969718576827789E-3</v>
      </c>
      <c r="M1243" s="1" cm="1">
        <f t="array" ref="M1243">SUMPRODUCT(("T_C-MHY-GSL-S3"=[1]OUT_TransportEnergyCons!$A$3:$A$1000)*1,("var_fout"=[1]OUT_TransportEnergyCons!$B$3:$B$1000)*1,ISNUMBER(SEARCH("TPCAR",[1]OUT_TransportEnergyCons!$C$3:$C$1000))*1,[1]OUT_TransportEnergyCons!K$3:K$1000)</f>
        <v>1.4695394517822483E-3</v>
      </c>
      <c r="N1243" s="1" cm="1">
        <f t="array" ref="N1243">SUMPRODUCT(("T_C-MHY-GSL-S3"=[1]OUT_TransportEnergyCons!$A$3:$A$1000)*1,("var_fout"=[1]OUT_TransportEnergyCons!$B$3:$B$1000)*1,ISNUMBER(SEARCH("TPCAR",[1]OUT_TransportEnergyCons!$C$3:$C$1000))*1,[1]OUT_TransportEnergyCons!L$3:L$1000)</f>
        <v>1.3154886656459727E-3</v>
      </c>
      <c r="O1243" s="1" cm="1">
        <f t="array" ref="O1243">SUMPRODUCT(("T_C-MHY-GSL-S3"=[1]OUT_TransportEnergyCons!$A$3:$A$1000)*1,("var_fout"=[1]OUT_TransportEnergyCons!$B$3:$B$1000)*1,ISNUMBER(SEARCH("TPCAR",[1]OUT_TransportEnergyCons!$C$3:$C$1000))*1,[1]OUT_TransportEnergyCons!M$3:M$1000)</f>
        <v>1.8124078678038024E-3</v>
      </c>
      <c r="P1243" s="1" cm="1">
        <f t="array" ref="P1243">SUMPRODUCT(("T_C-MHY-GSL-S3"=[1]OUT_TransportEnergyCons!$A$3:$A$1000)*1,("var_fout"=[1]OUT_TransportEnergyCons!$B$3:$B$1000)*1,ISNUMBER(SEARCH("TPCAR",[1]OUT_TransportEnergyCons!$C$3:$C$1000))*1,[1]OUT_TransportEnergyCons!N$3:N$1000)</f>
        <v>2.6706011546981136E-3</v>
      </c>
      <c r="Q1243" s="1" cm="1">
        <f t="array" ref="Q1243">SUMPRODUCT(("T_C-MHY-GSL-S3"=[1]OUT_TransportEnergyCons!$A$3:$A$1000)*1,("var_fout"=[1]OUT_TransportEnergyCons!$B$3:$B$1000)*1,ISNUMBER(SEARCH("TPCAR",[1]OUT_TransportEnergyCons!$C$3:$C$1000))*1,[1]OUT_TransportEnergyCons!O$3:O$1000)</f>
        <v>2.6402715403579411E-3</v>
      </c>
      <c r="S1243" s="3"/>
    </row>
    <row r="1244" spans="2:19" x14ac:dyDescent="0.5">
      <c r="B1244" s="5" t="str">
        <f t="shared" si="1401"/>
        <v>SPS1</v>
      </c>
      <c r="C1244" s="5" t="str">
        <f t="shared" si="1402"/>
        <v>CH</v>
      </c>
      <c r="D1244" t="s">
        <v>1162</v>
      </c>
      <c r="E1244" t="str">
        <f t="shared" si="1400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3.4807370679767937E-4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0.4189015012060241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1.816630154471643</v>
      </c>
      <c r="J1244" s="1" cm="1">
        <f t="array" ref="J1244">SUMPRODUCT(("T_C-MHY-GSL-S4"=[1]OUT_TransportEnergyCons!$A$3:$A$1000)*1,("var_fout"=[1]OUT_TransportEnergyCons!$B$3:$B$1000)*1,ISNUMBER(SEARCH("TPCAR",[1]OUT_TransportEnergyCons!$C$3:$C$1000))*1,[1]OUT_TransportEnergyCons!H$3:H$1000)</f>
        <v>1.7463971568346663</v>
      </c>
      <c r="K1244" s="1" cm="1">
        <f t="array" ref="K1244">SUMPRODUCT(("T_C-MHY-GSL-S4"=[1]OUT_TransportEnergyCons!$A$3:$A$1000)*1,("var_fout"=[1]OUT_TransportEnergyCons!$B$3:$B$1000)*1,ISNUMBER(SEARCH("TPCAR",[1]OUT_TransportEnergyCons!$C$3:$C$1000))*1,[1]OUT_TransportEnergyCons!I$3:I$1000)</f>
        <v>1.9989001609488155</v>
      </c>
      <c r="L1244" s="1" cm="1">
        <f t="array" ref="L1244">SUMPRODUCT(("T_C-MHY-GSL-S4"=[1]OUT_TransportEnergyCons!$A$3:$A$1000)*1,("var_fout"=[1]OUT_TransportEnergyCons!$B$3:$B$1000)*1,ISNUMBER(SEARCH("TPCAR",[1]OUT_TransportEnergyCons!$C$3:$C$1000))*1,[1]OUT_TransportEnergyCons!J$3:J$1000)</f>
        <v>2.1650042935466876</v>
      </c>
      <c r="M1244" s="1" cm="1">
        <f t="array" ref="M1244">SUMPRODUCT(("T_C-MHY-GSL-S4"=[1]OUT_TransportEnergyCons!$A$3:$A$1000)*1,("var_fout"=[1]OUT_TransportEnergyCons!$B$3:$B$1000)*1,ISNUMBER(SEARCH("TPCAR",[1]OUT_TransportEnergyCons!$C$3:$C$1000))*1,[1]OUT_TransportEnergyCons!K$3:K$1000)</f>
        <v>2.2295004474099529</v>
      </c>
      <c r="N1244" s="1" cm="1">
        <f t="array" ref="N1244">SUMPRODUCT(("T_C-MHY-GSL-S4"=[1]OUT_TransportEnergyCons!$A$3:$A$1000)*1,("var_fout"=[1]OUT_TransportEnergyCons!$B$3:$B$1000)*1,ISNUMBER(SEARCH("TPCAR",[1]OUT_TransportEnergyCons!$C$3:$C$1000))*1,[1]OUT_TransportEnergyCons!L$3:L$1000)</f>
        <v>2.2651904199614865</v>
      </c>
      <c r="O1244" s="1" cm="1">
        <f t="array" ref="O1244">SUMPRODUCT(("T_C-MHY-GSL-S4"=[1]OUT_TransportEnergyCons!$A$3:$A$1000)*1,("var_fout"=[1]OUT_TransportEnergyCons!$B$3:$B$1000)*1,ISNUMBER(SEARCH("TPCAR",[1]OUT_TransportEnergyCons!$C$3:$C$1000))*1,[1]OUT_TransportEnergyCons!M$3:M$1000)</f>
        <v>2.2689430053775759</v>
      </c>
      <c r="P1244" s="1" cm="1">
        <f t="array" ref="P1244">SUMPRODUCT(("T_C-MHY-GSL-S4"=[1]OUT_TransportEnergyCons!$A$3:$A$1000)*1,("var_fout"=[1]OUT_TransportEnergyCons!$B$3:$B$1000)*1,ISNUMBER(SEARCH("TPCAR",[1]OUT_TransportEnergyCons!$C$3:$C$1000))*1,[1]OUT_TransportEnergyCons!N$3:N$1000)</f>
        <v>2.2085525123694842</v>
      </c>
      <c r="Q1244" s="1" cm="1">
        <f t="array" ref="Q1244">SUMPRODUCT(("T_C-MHY-GSL-S4"=[1]OUT_TransportEnergyCons!$A$3:$A$1000)*1,("var_fout"=[1]OUT_TransportEnergyCons!$B$3:$B$1000)*1,ISNUMBER(SEARCH("TPCAR",[1]OUT_TransportEnergyCons!$C$3:$C$1000))*1,[1]OUT_TransportEnergyCons!O$3:O$1000)</f>
        <v>2.1775978075165279</v>
      </c>
      <c r="S1244" s="3"/>
    </row>
    <row r="1245" spans="2:19" x14ac:dyDescent="0.5">
      <c r="B1245" s="5" t="str">
        <f t="shared" si="1401"/>
        <v>SPS1</v>
      </c>
      <c r="C1245" s="5" t="str">
        <f t="shared" si="1402"/>
        <v>CH</v>
      </c>
      <c r="D1245" t="s">
        <v>1235</v>
      </c>
      <c r="E1245" t="str">
        <f t="shared" si="1400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SUMPRODUCT(("T_C-HYBDSLEXT"=[1]OUT_TransportEnergyCons!$A$3:$A$1000)*1,("var_fout"=[1]OUT_TransportEnergyCons!$B$3:$B$1000)*1,ISNUMBER(SEARCH("TPCAR",[1]OUT_TransportEnergyCons!$C$3:$C$1000))*1,[1]OUT_TransportEnergyCons!H$3:H$1000)</f>
        <v>0</v>
      </c>
      <c r="K1245" s="1" cm="1">
        <f t="array" ref="K1245">SUMPRODUCT(("T_C-HYBDSLEXT"=[1]OUT_TransportEnergyCons!$A$3:$A$1000)*1,("var_fout"=[1]OUT_TransportEnergyCons!$B$3:$B$1000)*1,ISNUMBER(SEARCH("TPCAR",[1]OUT_TransportEnergyCons!$C$3:$C$1000))*1,[1]OUT_TransportEnergyCons!I$3:I$1000)</f>
        <v>0</v>
      </c>
      <c r="L1245" s="1" cm="1">
        <f t="array" ref="L1245">SUMPRODUCT(("T_C-HYBDSLEXT"=[1]OUT_TransportEnergyCons!$A$3:$A$1000)*1,("var_fout"=[1]OUT_TransportEnergyCons!$B$3:$B$1000)*1,ISNUMBER(SEARCH("TPCAR",[1]OUT_TransportEnergyCons!$C$3:$C$1000))*1,[1]OUT_TransportEnergyCons!J$3:J$1000)</f>
        <v>0</v>
      </c>
      <c r="M1245" s="1" cm="1">
        <f t="array" ref="M1245">SUMPRODUCT(("T_C-HYBDSLEXT"=[1]OUT_TransportEnergyCons!$A$3:$A$1000)*1,("var_fout"=[1]OUT_TransportEnergyCons!$B$3:$B$1000)*1,ISNUMBER(SEARCH("TPCAR",[1]OUT_TransportEnergyCons!$C$3:$C$1000))*1,[1]OUT_TransportEnergyCons!K$3:K$1000)</f>
        <v>0</v>
      </c>
      <c r="N1245" s="1" cm="1">
        <f t="array" ref="N1245">SUMPRODUCT(("T_C-HYBDSLEXT"=[1]OUT_TransportEnergyCons!$A$3:$A$1000)*1,("var_fout"=[1]OUT_TransportEnergyCons!$B$3:$B$1000)*1,ISNUMBER(SEARCH("TPCAR",[1]OUT_TransportEnergyCons!$C$3:$C$1000))*1,[1]OUT_TransportEnergyCons!L$3:L$1000)</f>
        <v>0</v>
      </c>
      <c r="O1245" s="1" cm="1">
        <f t="array" ref="O1245">SUMPRODUCT(("T_C-HYBDSLEXT"=[1]OUT_TransportEnergyCons!$A$3:$A$1000)*1,("var_fout"=[1]OUT_TransportEnergyCons!$B$3:$B$1000)*1,ISNUMBER(SEARCH("TPCAR",[1]OUT_TransportEnergyCons!$C$3:$C$1000))*1,[1]OUT_TransportEnergyCons!M$3:M$1000)</f>
        <v>0</v>
      </c>
      <c r="P1245" s="1" cm="1">
        <f t="array" ref="P1245">SUMPRODUCT(("T_C-HYBDSLEXT"=[1]OUT_TransportEnergyCons!$A$3:$A$1000)*1,("var_fout"=[1]OUT_TransportEnergyCons!$B$3:$B$1000)*1,ISNUMBER(SEARCH("TPCAR",[1]OUT_TransportEnergyCons!$C$3:$C$1000))*1,[1]OUT_TransportEnergyCons!N$3:N$1000)</f>
        <v>0</v>
      </c>
      <c r="Q1245" s="1" cm="1">
        <f t="array" ref="Q1245">SUMPRODUCT(("T_C-HYBDSLEXT"=[1]OUT_TransportEnergyCons!$A$3:$A$1000)*1,("var_fout"=[1]OUT_TransportEnergyCons!$B$3:$B$1000)*1,ISNUMBER(SEARCH("TPCAR",[1]OUT_TransportEnergyCons!$C$3:$C$1000))*1,[1]OUT_TransportEnergyCons!O$3:O$1000)</f>
        <v>0</v>
      </c>
      <c r="S1245" s="3"/>
    </row>
    <row r="1246" spans="2:19" x14ac:dyDescent="0.5">
      <c r="B1246" s="5" t="str">
        <f t="shared" si="1401"/>
        <v>SPS1</v>
      </c>
      <c r="C1246" s="5" t="str">
        <f t="shared" si="1402"/>
        <v>CH</v>
      </c>
      <c r="D1246" t="s">
        <v>1163</v>
      </c>
      <c r="E1246" t="str">
        <f t="shared" si="1400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1.3846610591294723E-5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0.27182558539771656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0.18094644152357003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0.14557363827539338</v>
      </c>
      <c r="J1246" s="1" cm="1">
        <f t="array" ref="J1246">SUMPRODUCT(("T_C-HY-DSL-S1"=[1]OUT_TransportEnergyCons!$A$3:$A$1000)*1,("var_fout"=[1]OUT_TransportEnergyCons!$B$3:$B$1000)*1,ISNUMBER(SEARCH("TPCAR",[1]OUT_TransportEnergyCons!$C$3:$C$1000))*1,[1]OUT_TransportEnergyCons!H$3:H$1000)</f>
        <v>0.74263330651163961</v>
      </c>
      <c r="K1246" s="1" cm="1">
        <f t="array" ref="K1246">SUMPRODUCT(("T_C-HY-DSL-S1"=[1]OUT_TransportEnergyCons!$A$3:$A$1000)*1,("var_fout"=[1]OUT_TransportEnergyCons!$B$3:$B$1000)*1,ISNUMBER(SEARCH("TPCAR",[1]OUT_TransportEnergyCons!$C$3:$C$1000))*1,[1]OUT_TransportEnergyCons!I$3:I$1000)</f>
        <v>0.80348379613882781</v>
      </c>
      <c r="L1246" s="1" cm="1">
        <f t="array" ref="L1246">SUMPRODUCT(("T_C-HY-DSL-S1"=[1]OUT_TransportEnergyCons!$A$3:$A$1000)*1,("var_fout"=[1]OUT_TransportEnergyCons!$B$3:$B$1000)*1,ISNUMBER(SEARCH("TPCAR",[1]OUT_TransportEnergyCons!$C$3:$C$1000))*1,[1]OUT_TransportEnergyCons!J$3:J$1000)</f>
        <v>1.0190108413518173</v>
      </c>
      <c r="M1246" s="1" cm="1">
        <f t="array" ref="M1246">SUMPRODUCT(("T_C-HY-DSL-S1"=[1]OUT_TransportEnergyCons!$A$3:$A$1000)*1,("var_fout"=[1]OUT_TransportEnergyCons!$B$3:$B$1000)*1,ISNUMBER(SEARCH("TPCAR",[1]OUT_TransportEnergyCons!$C$3:$C$1000))*1,[1]OUT_TransportEnergyCons!K$3:K$1000)</f>
        <v>0.48442354189292641</v>
      </c>
      <c r="N1246" s="1" cm="1">
        <f t="array" ref="N1246">SUMPRODUCT(("T_C-HY-DSL-S1"=[1]OUT_TransportEnergyCons!$A$3:$A$1000)*1,("var_fout"=[1]OUT_TransportEnergyCons!$B$3:$B$1000)*1,ISNUMBER(SEARCH("TPCAR",[1]OUT_TransportEnergyCons!$C$3:$C$1000))*1,[1]OUT_TransportEnergyCons!L$3:L$1000)</f>
        <v>0.54793046479016438</v>
      </c>
      <c r="O1246" s="1" cm="1">
        <f t="array" ref="O1246">SUMPRODUCT(("T_C-HY-DSL-S1"=[1]OUT_TransportEnergyCons!$A$3:$A$1000)*1,("var_fout"=[1]OUT_TransportEnergyCons!$B$3:$B$1000)*1,ISNUMBER(SEARCH("TPCAR",[1]OUT_TransportEnergyCons!$C$3:$C$1000))*1,[1]OUT_TransportEnergyCons!M$3:M$1000)</f>
        <v>0.43660349075013272</v>
      </c>
      <c r="P1246" s="1" cm="1">
        <f t="array" ref="P1246">SUMPRODUCT(("T_C-HY-DSL-S1"=[1]OUT_TransportEnergyCons!$A$3:$A$1000)*1,("var_fout"=[1]OUT_TransportEnergyCons!$B$3:$B$1000)*1,ISNUMBER(SEARCH("TPCAR",[1]OUT_TransportEnergyCons!$C$3:$C$1000))*1,[1]OUT_TransportEnergyCons!N$3:N$1000)</f>
        <v>1.1354297848820455E-3</v>
      </c>
      <c r="Q1246" s="1" cm="1">
        <f t="array" ref="Q1246">SUMPRODUCT(("T_C-HY-DSL-S1"=[1]OUT_TransportEnergyCons!$A$3:$A$1000)*1,("var_fout"=[1]OUT_TransportEnergyCons!$B$3:$B$1000)*1,ISNUMBER(SEARCH("TPCAR",[1]OUT_TransportEnergyCons!$C$3:$C$1000))*1,[1]OUT_TransportEnergyCons!O$3:O$1000)</f>
        <v>1.1589318480938408E-3</v>
      </c>
      <c r="S1246" s="3"/>
    </row>
    <row r="1247" spans="2:19" x14ac:dyDescent="0.5">
      <c r="B1247" s="5" t="str">
        <f t="shared" si="1401"/>
        <v>SPS1</v>
      </c>
      <c r="C1247" s="5" t="str">
        <f t="shared" si="1402"/>
        <v>CH</v>
      </c>
      <c r="D1247" t="s">
        <v>1164</v>
      </c>
      <c r="E1247" t="str">
        <f t="shared" si="1400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3.2418619277392387E-3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1.5803801313965853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1.9970531930429882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1.6423758930620109</v>
      </c>
      <c r="J1247" s="1" cm="1">
        <f t="array" ref="J1247">SUMPRODUCT(("T_C-HY-DSL-S2"=[1]OUT_TransportEnergyCons!$A$3:$A$1000)*1,("var_fout"=[1]OUT_TransportEnergyCons!$B$3:$B$1000)*1,ISNUMBER(SEARCH("TPCAR",[1]OUT_TransportEnergyCons!$C$3:$C$1000))*1,[1]OUT_TransportEnergyCons!H$3:H$1000)</f>
        <v>0.73231031911679134</v>
      </c>
      <c r="K1247" s="1" cm="1">
        <f t="array" ref="K1247">SUMPRODUCT(("T_C-HY-DSL-S2"=[1]OUT_TransportEnergyCons!$A$3:$A$1000)*1,("var_fout"=[1]OUT_TransportEnergyCons!$B$3:$B$1000)*1,ISNUMBER(SEARCH("TPCAR",[1]OUT_TransportEnergyCons!$C$3:$C$1000))*1,[1]OUT_TransportEnergyCons!I$3:I$1000)</f>
        <v>4.2300509163395686E-2</v>
      </c>
      <c r="L1247" s="1" cm="1">
        <f t="array" ref="L1247">SUMPRODUCT(("T_C-HY-DSL-S2"=[1]OUT_TransportEnergyCons!$A$3:$A$1000)*1,("var_fout"=[1]OUT_TransportEnergyCons!$B$3:$B$1000)*1,ISNUMBER(SEARCH("TPCAR",[1]OUT_TransportEnergyCons!$C$3:$C$1000))*1,[1]OUT_TransportEnergyCons!J$3:J$1000)</f>
        <v>8.1499174219557893E-3</v>
      </c>
      <c r="M1247" s="1" cm="1">
        <f t="array" ref="M1247">SUMPRODUCT(("T_C-HY-DSL-S2"=[1]OUT_TransportEnergyCons!$A$3:$A$1000)*1,("var_fout"=[1]OUT_TransportEnergyCons!$B$3:$B$1000)*1,ISNUMBER(SEARCH("TPCAR",[1]OUT_TransportEnergyCons!$C$3:$C$1000))*1,[1]OUT_TransportEnergyCons!K$3:K$1000)</f>
        <v>6.0242288757582415E-3</v>
      </c>
      <c r="N1247" s="1" cm="1">
        <f t="array" ref="N1247">SUMPRODUCT(("T_C-HY-DSL-S2"=[1]OUT_TransportEnergyCons!$A$3:$A$1000)*1,("var_fout"=[1]OUT_TransportEnergyCons!$B$3:$B$1000)*1,ISNUMBER(SEARCH("TPCAR",[1]OUT_TransportEnergyCons!$C$3:$C$1000))*1,[1]OUT_TransportEnergyCons!L$3:L$1000)</f>
        <v>4.5004403996498658E-3</v>
      </c>
      <c r="O1247" s="1" cm="1">
        <f t="array" ref="O1247">SUMPRODUCT(("T_C-HY-DSL-S2"=[1]OUT_TransportEnergyCons!$A$3:$A$1000)*1,("var_fout"=[1]OUT_TransportEnergyCons!$B$3:$B$1000)*1,ISNUMBER(SEARCH("TPCAR",[1]OUT_TransportEnergyCons!$C$3:$C$1000))*1,[1]OUT_TransportEnergyCons!M$3:M$1000)</f>
        <v>5.7786929141816195E-3</v>
      </c>
      <c r="P1247" s="1" cm="1">
        <f t="array" ref="P1247">SUMPRODUCT(("T_C-HY-DSL-S2"=[1]OUT_TransportEnergyCons!$A$3:$A$1000)*1,("var_fout"=[1]OUT_TransportEnergyCons!$B$3:$B$1000)*1,ISNUMBER(SEARCH("TPCAR",[1]OUT_TransportEnergyCons!$C$3:$C$1000))*1,[1]OUT_TransportEnergyCons!N$3:N$1000)</f>
        <v>0.39872694696858979</v>
      </c>
      <c r="Q1247" s="1" cm="1">
        <f t="array" ref="Q1247">SUMPRODUCT(("T_C-HY-DSL-S2"=[1]OUT_TransportEnergyCons!$A$3:$A$1000)*1,("var_fout"=[1]OUT_TransportEnergyCons!$B$3:$B$1000)*1,ISNUMBER(SEARCH("TPCAR",[1]OUT_TransportEnergyCons!$C$3:$C$1000))*1,[1]OUT_TransportEnergyCons!O$3:O$1000)</f>
        <v>0.45979903330229499</v>
      </c>
      <c r="S1247" s="3"/>
    </row>
    <row r="1248" spans="2:19" x14ac:dyDescent="0.5">
      <c r="B1248" s="5" t="str">
        <f t="shared" si="1401"/>
        <v>SPS1</v>
      </c>
      <c r="C1248" s="5" t="str">
        <f t="shared" si="1402"/>
        <v>CH</v>
      </c>
      <c r="D1248" t="s">
        <v>1165</v>
      </c>
      <c r="E1248" t="str">
        <f t="shared" si="1400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2.610608632258591E-2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5.5189053474097444E-2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5.2787324032795881E-2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4.2189511485284471E-2</v>
      </c>
      <c r="J1248" s="1" cm="1">
        <f t="array" ref="J1248">SUMPRODUCT(("T_C-HY-DSL-S3"=[1]OUT_TransportEnergyCons!$A$3:$A$1000)*1,("var_fout"=[1]OUT_TransportEnergyCons!$B$3:$B$1000)*1,ISNUMBER(SEARCH("TPCAR",[1]OUT_TransportEnergyCons!$C$3:$C$1000))*1,[1]OUT_TransportEnergyCons!H$3:H$1000)</f>
        <v>1.0036432642971778E-2</v>
      </c>
      <c r="K1248" s="1" cm="1">
        <f t="array" ref="K1248">SUMPRODUCT(("T_C-HY-DSL-S3"=[1]OUT_TransportEnergyCons!$A$3:$A$1000)*1,("var_fout"=[1]OUT_TransportEnergyCons!$B$3:$B$1000)*1,ISNUMBER(SEARCH("TPCAR",[1]OUT_TransportEnergyCons!$C$3:$C$1000))*1,[1]OUT_TransportEnergyCons!I$3:I$1000)</f>
        <v>9.8922444697492205E-4</v>
      </c>
      <c r="L1248" s="1" cm="1">
        <f t="array" ref="L1248">SUMPRODUCT(("T_C-HY-DSL-S3"=[1]OUT_TransportEnergyCons!$A$3:$A$1000)*1,("var_fout"=[1]OUT_TransportEnergyCons!$B$3:$B$1000)*1,ISNUMBER(SEARCH("TPCAR",[1]OUT_TransportEnergyCons!$C$3:$C$1000))*1,[1]OUT_TransportEnergyCons!J$3:J$1000)</f>
        <v>1.2651087326682633E-3</v>
      </c>
      <c r="M1248" s="1" cm="1">
        <f t="array" ref="M1248">SUMPRODUCT(("T_C-HY-DSL-S3"=[1]OUT_TransportEnergyCons!$A$3:$A$1000)*1,("var_fout"=[1]OUT_TransportEnergyCons!$B$3:$B$1000)*1,ISNUMBER(SEARCH("TPCAR",[1]OUT_TransportEnergyCons!$C$3:$C$1000))*1,[1]OUT_TransportEnergyCons!K$3:K$1000)</f>
        <v>1.7181708792783836E-3</v>
      </c>
      <c r="N1248" s="1" cm="1">
        <f t="array" ref="N1248">SUMPRODUCT(("T_C-HY-DSL-S3"=[1]OUT_TransportEnergyCons!$A$3:$A$1000)*1,("var_fout"=[1]OUT_TransportEnergyCons!$B$3:$B$1000)*1,ISNUMBER(SEARCH("TPCAR",[1]OUT_TransportEnergyCons!$C$3:$C$1000))*1,[1]OUT_TransportEnergyCons!L$3:L$1000)</f>
        <v>1.742364728116632E-3</v>
      </c>
      <c r="O1248" s="1" cm="1">
        <f t="array" ref="O1248">SUMPRODUCT(("T_C-HY-DSL-S3"=[1]OUT_TransportEnergyCons!$A$3:$A$1000)*1,("var_fout"=[1]OUT_TransportEnergyCons!$B$3:$B$1000)*1,ISNUMBER(SEARCH("TPCAR",[1]OUT_TransportEnergyCons!$C$3:$C$1000))*1,[1]OUT_TransportEnergyCons!M$3:M$1000)</f>
        <v>2.3000768591919371E-3</v>
      </c>
      <c r="P1248" s="1" cm="1">
        <f t="array" ref="P1248">SUMPRODUCT(("T_C-HY-DSL-S3"=[1]OUT_TransportEnergyCons!$A$3:$A$1000)*1,("var_fout"=[1]OUT_TransportEnergyCons!$B$3:$B$1000)*1,ISNUMBER(SEARCH("TPCAR",[1]OUT_TransportEnergyCons!$C$3:$C$1000))*1,[1]OUT_TransportEnergyCons!N$3:N$1000)</f>
        <v>3.0522830081639927E-3</v>
      </c>
      <c r="Q1248" s="1" cm="1">
        <f t="array" ref="Q1248">SUMPRODUCT(("T_C-HY-DSL-S3"=[1]OUT_TransportEnergyCons!$A$3:$A$1000)*1,("var_fout"=[1]OUT_TransportEnergyCons!$B$3:$B$1000)*1,ISNUMBER(SEARCH("TPCAR",[1]OUT_TransportEnergyCons!$C$3:$C$1000))*1,[1]OUT_TransportEnergyCons!O$3:O$1000)</f>
        <v>4.6295709408144762E-3</v>
      </c>
      <c r="S1248" s="3"/>
    </row>
    <row r="1249" spans="2:19" x14ac:dyDescent="0.5">
      <c r="B1249" s="5" t="str">
        <f t="shared" si="1401"/>
        <v>SPS1</v>
      </c>
      <c r="C1249" s="5" t="str">
        <f t="shared" si="1402"/>
        <v>CH</v>
      </c>
      <c r="D1249" t="s">
        <v>1166</v>
      </c>
      <c r="E1249" t="str">
        <f t="shared" si="1400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4.7336177541226439E-2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0.11314331220376898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0.10804155712246924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9.0691891192656485E-2</v>
      </c>
      <c r="J1249" s="1" cm="1">
        <f t="array" ref="J1249">SUMPRODUCT(("T_C-HY-DSL-S4"=[1]OUT_TransportEnergyCons!$A$3:$A$1000)*1,("var_fout"=[1]OUT_TransportEnergyCons!$B$3:$B$1000)*1,ISNUMBER(SEARCH("TPCAR",[1]OUT_TransportEnergyCons!$C$3:$C$1000))*1,[1]OUT_TransportEnergyCons!H$3:H$1000)</f>
        <v>2.0900166429202616E-2</v>
      </c>
      <c r="K1249" s="1" cm="1">
        <f t="array" ref="K1249">SUMPRODUCT(("T_C-HY-DSL-S4"=[1]OUT_TransportEnergyCons!$A$3:$A$1000)*1,("var_fout"=[1]OUT_TransportEnergyCons!$B$3:$B$1000)*1,ISNUMBER(SEARCH("TPCAR",[1]OUT_TransportEnergyCons!$C$3:$C$1000))*1,[1]OUT_TransportEnergyCons!I$3:I$1000)</f>
        <v>2.1859428050091828E-3</v>
      </c>
      <c r="L1249" s="1" cm="1">
        <f t="array" ref="L1249">SUMPRODUCT(("T_C-HY-DSL-S4"=[1]OUT_TransportEnergyCons!$A$3:$A$1000)*1,("var_fout"=[1]OUT_TransportEnergyCons!$B$3:$B$1000)*1,ISNUMBER(SEARCH("TPCAR",[1]OUT_TransportEnergyCons!$C$3:$C$1000))*1,[1]OUT_TransportEnergyCons!J$3:J$1000)</f>
        <v>8.5335887918815967E-2</v>
      </c>
      <c r="M1249" s="1" cm="1">
        <f t="array" ref="M1249">SUMPRODUCT(("T_C-HY-DSL-S4"=[1]OUT_TransportEnergyCons!$A$3:$A$1000)*1,("var_fout"=[1]OUT_TransportEnergyCons!$B$3:$B$1000)*1,ISNUMBER(SEARCH("TPCAR",[1]OUT_TransportEnergyCons!$C$3:$C$1000))*1,[1]OUT_TransportEnergyCons!K$3:K$1000)</f>
        <v>0.88993443948776951</v>
      </c>
      <c r="N1249" s="1" cm="1">
        <f t="array" ref="N1249">SUMPRODUCT(("T_C-HY-DSL-S4"=[1]OUT_TransportEnergyCons!$A$3:$A$1000)*1,("var_fout"=[1]OUT_TransportEnergyCons!$B$3:$B$1000)*1,ISNUMBER(SEARCH("TPCAR",[1]OUT_TransportEnergyCons!$C$3:$C$1000))*1,[1]OUT_TransportEnergyCons!L$3:L$1000)</f>
        <v>0.84018700295139015</v>
      </c>
      <c r="O1249" s="1" cm="1">
        <f t="array" ref="O1249">SUMPRODUCT(("T_C-HY-DSL-S4"=[1]OUT_TransportEnergyCons!$A$3:$A$1000)*1,("var_fout"=[1]OUT_TransportEnergyCons!$B$3:$B$1000)*1,ISNUMBER(SEARCH("TPCAR",[1]OUT_TransportEnergyCons!$C$3:$C$1000))*1,[1]OUT_TransportEnergyCons!M$3:M$1000)</f>
        <v>0.58863586353226427</v>
      </c>
      <c r="P1249" s="1" cm="1">
        <f t="array" ref="P1249">SUMPRODUCT(("T_C-HY-DSL-S4"=[1]OUT_TransportEnergyCons!$A$3:$A$1000)*1,("var_fout"=[1]OUT_TransportEnergyCons!$B$3:$B$1000)*1,ISNUMBER(SEARCH("TPCAR",[1]OUT_TransportEnergyCons!$C$3:$C$1000))*1,[1]OUT_TransportEnergyCons!N$3:N$1000)</f>
        <v>0.12287524330790831</v>
      </c>
      <c r="Q1249" s="1" cm="1">
        <f t="array" ref="Q1249">SUMPRODUCT(("T_C-HY-DSL-S4"=[1]OUT_TransportEnergyCons!$A$3:$A$1000)*1,("var_fout"=[1]OUT_TransportEnergyCons!$B$3:$B$1000)*1,ISNUMBER(SEARCH("TPCAR",[1]OUT_TransportEnergyCons!$C$3:$C$1000))*1,[1]OUT_TransportEnergyCons!O$3:O$1000)</f>
        <v>3.4923441363739614E-2</v>
      </c>
      <c r="S1249" s="3"/>
    </row>
    <row r="1250" spans="2:19" x14ac:dyDescent="0.5">
      <c r="B1250" s="5" t="str">
        <f t="shared" si="1401"/>
        <v>SPS1</v>
      </c>
      <c r="C1250" s="5" t="str">
        <f t="shared" si="1402"/>
        <v>CH</v>
      </c>
      <c r="D1250" t="s">
        <v>1167</v>
      </c>
      <c r="E1250" t="str">
        <f t="shared" si="1400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17.673724669786125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17.235950799842829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13.258419336621264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6.3291561182272496</v>
      </c>
      <c r="J1250" s="1" cm="1">
        <f t="array" ref="J1250">SUMPRODUCT(("T_C-ICEDSLEXT"=[1]OUT_TransportEnergyCons!$A$3:$A$1000)*1,("var_fout"=[1]OUT_TransportEnergyCons!$B$3:$B$1000)*1,ISNUMBER(SEARCH("TPCAR",[1]OUT_TransportEnergyCons!$C$3:$C$1000))*1,[1]OUT_TransportEnergyCons!H$3:H$1000)</f>
        <v>0</v>
      </c>
      <c r="K1250" s="1" cm="1">
        <f t="array" ref="K1250">SUMPRODUCT(("T_C-ICEDSLEXT"=[1]OUT_TransportEnergyCons!$A$3:$A$1000)*1,("var_fout"=[1]OUT_TransportEnergyCons!$B$3:$B$1000)*1,ISNUMBER(SEARCH("TPCAR",[1]OUT_TransportEnergyCons!$C$3:$C$1000))*1,[1]OUT_TransportEnergyCons!I$3:I$1000)</f>
        <v>0</v>
      </c>
      <c r="L1250" s="1" cm="1">
        <f t="array" ref="L1250">SUMPRODUCT(("T_C-ICEDSLEXT"=[1]OUT_TransportEnergyCons!$A$3:$A$1000)*1,("var_fout"=[1]OUT_TransportEnergyCons!$B$3:$B$1000)*1,ISNUMBER(SEARCH("TPCAR",[1]OUT_TransportEnergyCons!$C$3:$C$1000))*1,[1]OUT_TransportEnergyCons!J$3:J$1000)</f>
        <v>0</v>
      </c>
      <c r="M1250" s="1" cm="1">
        <f t="array" ref="M1250">SUMPRODUCT(("T_C-ICEDSLEXT"=[1]OUT_TransportEnergyCons!$A$3:$A$1000)*1,("var_fout"=[1]OUT_TransportEnergyCons!$B$3:$B$1000)*1,ISNUMBER(SEARCH("TPCAR",[1]OUT_TransportEnergyCons!$C$3:$C$1000))*1,[1]OUT_TransportEnergyCons!K$3:K$1000)</f>
        <v>0</v>
      </c>
      <c r="N1250" s="1" cm="1">
        <f t="array" ref="N1250">SUMPRODUCT(("T_C-ICEDSLEXT"=[1]OUT_TransportEnergyCons!$A$3:$A$1000)*1,("var_fout"=[1]OUT_TransportEnergyCons!$B$3:$B$1000)*1,ISNUMBER(SEARCH("TPCAR",[1]OUT_TransportEnergyCons!$C$3:$C$1000))*1,[1]OUT_TransportEnergyCons!L$3:L$1000)</f>
        <v>0</v>
      </c>
      <c r="O1250" s="1" cm="1">
        <f t="array" ref="O1250">SUMPRODUCT(("T_C-ICEDSLEXT"=[1]OUT_TransportEnergyCons!$A$3:$A$1000)*1,("var_fout"=[1]OUT_TransportEnergyCons!$B$3:$B$1000)*1,ISNUMBER(SEARCH("TPCAR",[1]OUT_TransportEnergyCons!$C$3:$C$1000))*1,[1]OUT_TransportEnergyCons!M$3:M$1000)</f>
        <v>0</v>
      </c>
      <c r="P1250" s="1" cm="1">
        <f t="array" ref="P1250">SUMPRODUCT(("T_C-ICEDSLEXT"=[1]OUT_TransportEnergyCons!$A$3:$A$1000)*1,("var_fout"=[1]OUT_TransportEnergyCons!$B$3:$B$1000)*1,ISNUMBER(SEARCH("TPCAR",[1]OUT_TransportEnergyCons!$C$3:$C$1000))*1,[1]OUT_TransportEnergyCons!N$3:N$1000)</f>
        <v>0</v>
      </c>
      <c r="Q1250" s="1" cm="1">
        <f t="array" ref="Q1250">SUMPRODUCT(("T_C-ICEDSLEXT"=[1]OUT_TransportEnergyCons!$A$3:$A$1000)*1,("var_fout"=[1]OUT_TransportEnergyCons!$B$3:$B$1000)*1,ISNUMBER(SEARCH("TPCAR",[1]OUT_TransportEnergyCons!$C$3:$C$1000))*1,[1]OUT_TransportEnergyCons!O$3:O$1000)</f>
        <v>0</v>
      </c>
      <c r="S1250" s="3"/>
    </row>
    <row r="1251" spans="2:19" x14ac:dyDescent="0.5">
      <c r="B1251" s="5" t="str">
        <f t="shared" si="1401"/>
        <v>SPS1</v>
      </c>
      <c r="C1251" s="5" t="str">
        <f t="shared" si="1402"/>
        <v>CH</v>
      </c>
      <c r="D1251" t="s">
        <v>1168</v>
      </c>
      <c r="E1251" t="str">
        <f t="shared" si="1400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3.8419180353626856E-3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4.7703164408162534E-3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3.8202675318241542E-3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3.2808710713821449E-3</v>
      </c>
      <c r="J1251" s="1" cm="1">
        <f t="array" ref="J1251">SUMPRODUCT(("T_C-ICE-DSL-S1"=[1]OUT_TransportEnergyCons!$A$3:$A$1000)*1,("var_fout"=[1]OUT_TransportEnergyCons!$B$3:$B$1000)*1,ISNUMBER(SEARCH("TPCAR",[1]OUT_TransportEnergyCons!$C$3:$C$1000))*1,[1]OUT_TransportEnergyCons!H$3:H$1000)</f>
        <v>1.7517289752840559E-3</v>
      </c>
      <c r="K1251" s="1" cm="1">
        <f t="array" ref="K1251">SUMPRODUCT(("T_C-ICE-DSL-S1"=[1]OUT_TransportEnergyCons!$A$3:$A$1000)*1,("var_fout"=[1]OUT_TransportEnergyCons!$B$3:$B$1000)*1,ISNUMBER(SEARCH("TPCAR",[1]OUT_TransportEnergyCons!$C$3:$C$1000))*1,[1]OUT_TransportEnergyCons!I$3:I$1000)</f>
        <v>3.0870120068350514E-2</v>
      </c>
      <c r="L1251" s="1" cm="1">
        <f t="array" ref="L1251">SUMPRODUCT(("T_C-ICE-DSL-S1"=[1]OUT_TransportEnergyCons!$A$3:$A$1000)*1,("var_fout"=[1]OUT_TransportEnergyCons!$B$3:$B$1000)*1,ISNUMBER(SEARCH("TPCAR",[1]OUT_TransportEnergyCons!$C$3:$C$1000))*1,[1]OUT_TransportEnergyCons!J$3:J$1000)</f>
        <v>2.5723757792291989E-2</v>
      </c>
      <c r="M1251" s="1" cm="1">
        <f t="array" ref="M1251">SUMPRODUCT(("T_C-ICE-DSL-S1"=[1]OUT_TransportEnergyCons!$A$3:$A$1000)*1,("var_fout"=[1]OUT_TransportEnergyCons!$B$3:$B$1000)*1,ISNUMBER(SEARCH("TPCAR",[1]OUT_TransportEnergyCons!$C$3:$C$1000))*1,[1]OUT_TransportEnergyCons!K$3:K$1000)</f>
        <v>1.8495713916267045E-2</v>
      </c>
      <c r="N1251" s="1" cm="1">
        <f t="array" ref="N1251">SUMPRODUCT(("T_C-ICE-DSL-S1"=[1]OUT_TransportEnergyCons!$A$3:$A$1000)*1,("var_fout"=[1]OUT_TransportEnergyCons!$B$3:$B$1000)*1,ISNUMBER(SEARCH("TPCAR",[1]OUT_TransportEnergyCons!$C$3:$C$1000))*1,[1]OUT_TransportEnergyCons!L$3:L$1000)</f>
        <v>2.6204241654537897E-3</v>
      </c>
      <c r="O1251" s="1" cm="1">
        <f t="array" ref="O1251">SUMPRODUCT(("T_C-ICE-DSL-S1"=[1]OUT_TransportEnergyCons!$A$3:$A$1000)*1,("var_fout"=[1]OUT_TransportEnergyCons!$B$3:$B$1000)*1,ISNUMBER(SEARCH("TPCAR",[1]OUT_TransportEnergyCons!$C$3:$C$1000))*1,[1]OUT_TransportEnergyCons!M$3:M$1000)</f>
        <v>2.9163456189328123E-4</v>
      </c>
      <c r="P1251" s="1" cm="1">
        <f t="array" ref="P1251">SUMPRODUCT(("T_C-ICE-DSL-S1"=[1]OUT_TransportEnergyCons!$A$3:$A$1000)*1,("var_fout"=[1]OUT_TransportEnergyCons!$B$3:$B$1000)*1,ISNUMBER(SEARCH("TPCAR",[1]OUT_TransportEnergyCons!$C$3:$C$1000))*1,[1]OUT_TransportEnergyCons!N$3:N$1000)</f>
        <v>1.7629213129051794E-4</v>
      </c>
      <c r="Q1251" s="1" cm="1">
        <f t="array" ref="Q1251">SUMPRODUCT(("T_C-ICE-DSL-S1"=[1]OUT_TransportEnergyCons!$A$3:$A$1000)*1,("var_fout"=[1]OUT_TransportEnergyCons!$B$3:$B$1000)*1,ISNUMBER(SEARCH("TPCAR",[1]OUT_TransportEnergyCons!$C$3:$C$1000))*1,[1]OUT_TransportEnergyCons!O$3:O$1000)</f>
        <v>1.6035528971768492E-4</v>
      </c>
      <c r="S1251" s="3"/>
    </row>
    <row r="1252" spans="2:19" x14ac:dyDescent="0.5">
      <c r="B1252" s="5" t="str">
        <f t="shared" si="1401"/>
        <v>SPS1</v>
      </c>
      <c r="C1252" s="5" t="str">
        <f t="shared" si="1402"/>
        <v>CH</v>
      </c>
      <c r="D1252" t="s">
        <v>1169</v>
      </c>
      <c r="E1252" t="str">
        <f t="shared" si="1400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0.85021512946297251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0.90319408921544708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0.89543498684609757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0.5779411472526832</v>
      </c>
      <c r="J1252" s="1" cm="1">
        <f t="array" ref="J1252">SUMPRODUCT(("T_C-ICE-DSL-S2"=[1]OUT_TransportEnergyCons!$A$3:$A$1000)*1,("var_fout"=[1]OUT_TransportEnergyCons!$B$3:$B$1000)*1,ISNUMBER(SEARCH("TPCAR",[1]OUT_TransportEnergyCons!$C$3:$C$1000))*1,[1]OUT_TransportEnergyCons!H$3:H$1000)</f>
        <v>1.8794588879477724E-2</v>
      </c>
      <c r="K1252" s="1" cm="1">
        <f t="array" ref="K1252">SUMPRODUCT(("T_C-ICE-DSL-S2"=[1]OUT_TransportEnergyCons!$A$3:$A$1000)*1,("var_fout"=[1]OUT_TransportEnergyCons!$B$3:$B$1000)*1,ISNUMBER(SEARCH("TPCAR",[1]OUT_TransportEnergyCons!$C$3:$C$1000))*1,[1]OUT_TransportEnergyCons!I$3:I$1000)</f>
        <v>1.542933504142885E-3</v>
      </c>
      <c r="L1252" s="1" cm="1">
        <f t="array" ref="L1252">SUMPRODUCT(("T_C-ICE-DSL-S2"=[1]OUT_TransportEnergyCons!$A$3:$A$1000)*1,("var_fout"=[1]OUT_TransportEnergyCons!$B$3:$B$1000)*1,ISNUMBER(SEARCH("TPCAR",[1]OUT_TransportEnergyCons!$C$3:$C$1000))*1,[1]OUT_TransportEnergyCons!J$3:J$1000)</f>
        <v>1.2499212368839857E-3</v>
      </c>
      <c r="M1252" s="1" cm="1">
        <f t="array" ref="M1252">SUMPRODUCT(("T_C-ICE-DSL-S2"=[1]OUT_TransportEnergyCons!$A$3:$A$1000)*1,("var_fout"=[1]OUT_TransportEnergyCons!$B$3:$B$1000)*1,ISNUMBER(SEARCH("TPCAR",[1]OUT_TransportEnergyCons!$C$3:$C$1000))*1,[1]OUT_TransportEnergyCons!K$3:K$1000)</f>
        <v>1.099672406323303E-3</v>
      </c>
      <c r="N1252" s="1" cm="1">
        <f t="array" ref="N1252">SUMPRODUCT(("T_C-ICE-DSL-S2"=[1]OUT_TransportEnergyCons!$A$3:$A$1000)*1,("var_fout"=[1]OUT_TransportEnergyCons!$B$3:$B$1000)*1,ISNUMBER(SEARCH("TPCAR",[1]OUT_TransportEnergyCons!$C$3:$C$1000))*1,[1]OUT_TransportEnergyCons!L$3:L$1000)</f>
        <v>6.781510231373694E-4</v>
      </c>
      <c r="O1252" s="1" cm="1">
        <f t="array" ref="O1252">SUMPRODUCT(("T_C-ICE-DSL-S2"=[1]OUT_TransportEnergyCons!$A$3:$A$1000)*1,("var_fout"=[1]OUT_TransportEnergyCons!$B$3:$B$1000)*1,ISNUMBER(SEARCH("TPCAR",[1]OUT_TransportEnergyCons!$C$3:$C$1000))*1,[1]OUT_TransportEnergyCons!M$3:M$1000)</f>
        <v>4.8485041768200302E-4</v>
      </c>
      <c r="P1252" s="1" cm="1">
        <f t="array" ref="P1252">SUMPRODUCT(("T_C-ICE-DSL-S2"=[1]OUT_TransportEnergyCons!$A$3:$A$1000)*1,("var_fout"=[1]OUT_TransportEnergyCons!$B$3:$B$1000)*1,ISNUMBER(SEARCH("TPCAR",[1]OUT_TransportEnergyCons!$C$3:$C$1000))*1,[1]OUT_TransportEnergyCons!N$3:N$1000)</f>
        <v>2.9561082907722416E-4</v>
      </c>
      <c r="Q1252" s="1" cm="1">
        <f t="array" ref="Q1252">SUMPRODUCT(("T_C-ICE-DSL-S2"=[1]OUT_TransportEnergyCons!$A$3:$A$1000)*1,("var_fout"=[1]OUT_TransportEnergyCons!$B$3:$B$1000)*1,ISNUMBER(SEARCH("TPCAR",[1]OUT_TransportEnergyCons!$C$3:$C$1000))*1,[1]OUT_TransportEnergyCons!O$3:O$1000)</f>
        <v>2.5830508660570981E-4</v>
      </c>
      <c r="S1252" s="3"/>
    </row>
    <row r="1253" spans="2:19" x14ac:dyDescent="0.5">
      <c r="B1253" s="5" t="str">
        <f t="shared" si="1401"/>
        <v>SPS1</v>
      </c>
      <c r="C1253" s="5" t="str">
        <f t="shared" si="1402"/>
        <v>CH</v>
      </c>
      <c r="D1253" t="s">
        <v>1170</v>
      </c>
      <c r="E1253" t="str">
        <f t="shared" si="1400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2.6576669386781067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2.8363316172987796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2.806922309279118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2.1813259118881763</v>
      </c>
      <c r="J1253" s="1" cm="1">
        <f t="array" ref="J1253">SUMPRODUCT(("T_C-ICE-DSL-S3"=[1]OUT_TransportEnergyCons!$A$3:$A$1000)*1,("var_fout"=[1]OUT_TransportEnergyCons!$B$3:$B$1000)*1,ISNUMBER(SEARCH("TPCAR",[1]OUT_TransportEnergyCons!$C$3:$C$1000))*1,[1]OUT_TransportEnergyCons!H$3:H$1000)</f>
        <v>8.2753207045253005E-2</v>
      </c>
      <c r="K1253" s="1" cm="1">
        <f t="array" ref="K1253">SUMPRODUCT(("T_C-ICE-DSL-S3"=[1]OUT_TransportEnergyCons!$A$3:$A$1000)*1,("var_fout"=[1]OUT_TransportEnergyCons!$B$3:$B$1000)*1,ISNUMBER(SEARCH("TPCAR",[1]OUT_TransportEnergyCons!$C$3:$C$1000))*1,[1]OUT_TransportEnergyCons!I$3:I$1000)</f>
        <v>1.3172461225107515E-3</v>
      </c>
      <c r="L1253" s="1" cm="1">
        <f t="array" ref="L1253">SUMPRODUCT(("T_C-ICE-DSL-S3"=[1]OUT_TransportEnergyCons!$A$3:$A$1000)*1,("var_fout"=[1]OUT_TransportEnergyCons!$B$3:$B$1000)*1,ISNUMBER(SEARCH("TPCAR",[1]OUT_TransportEnergyCons!$C$3:$C$1000))*1,[1]OUT_TransportEnergyCons!J$3:J$1000)</f>
        <v>1.2212528268173508E-3</v>
      </c>
      <c r="M1253" s="1" cm="1">
        <f t="array" ref="M1253">SUMPRODUCT(("T_C-ICE-DSL-S3"=[1]OUT_TransportEnergyCons!$A$3:$A$1000)*1,("var_fout"=[1]OUT_TransportEnergyCons!$B$3:$B$1000)*1,ISNUMBER(SEARCH("TPCAR",[1]OUT_TransportEnergyCons!$C$3:$C$1000))*1,[1]OUT_TransportEnergyCons!K$3:K$1000)</f>
        <v>1.4605769850722095E-3</v>
      </c>
      <c r="N1253" s="1" cm="1">
        <f t="array" ref="N1253">SUMPRODUCT(("T_C-ICE-DSL-S3"=[1]OUT_TransportEnergyCons!$A$3:$A$1000)*1,("var_fout"=[1]OUT_TransportEnergyCons!$B$3:$B$1000)*1,ISNUMBER(SEARCH("TPCAR",[1]OUT_TransportEnergyCons!$C$3:$C$1000))*1,[1]OUT_TransportEnergyCons!L$3:L$1000)</f>
        <v>9.9581527790370433E-4</v>
      </c>
      <c r="O1253" s="1" cm="1">
        <f t="array" ref="O1253">SUMPRODUCT(("T_C-ICE-DSL-S3"=[1]OUT_TransportEnergyCons!$A$3:$A$1000)*1,("var_fout"=[1]OUT_TransportEnergyCons!$B$3:$B$1000)*1,ISNUMBER(SEARCH("TPCAR",[1]OUT_TransportEnergyCons!$C$3:$C$1000))*1,[1]OUT_TransportEnergyCons!M$3:M$1000)</f>
        <v>7.1716000659666299E-4</v>
      </c>
      <c r="P1253" s="1" cm="1">
        <f t="array" ref="P1253">SUMPRODUCT(("T_C-ICE-DSL-S3"=[1]OUT_TransportEnergyCons!$A$3:$A$1000)*1,("var_fout"=[1]OUT_TransportEnergyCons!$B$3:$B$1000)*1,ISNUMBER(SEARCH("TPCAR",[1]OUT_TransportEnergyCons!$C$3:$C$1000))*1,[1]OUT_TransportEnergyCons!N$3:N$1000)</f>
        <v>3.800464193174223E-4</v>
      </c>
      <c r="Q1253" s="1" cm="1">
        <f t="array" ref="Q1253">SUMPRODUCT(("T_C-ICE-DSL-S3"=[1]OUT_TransportEnergyCons!$A$3:$A$1000)*1,("var_fout"=[1]OUT_TransportEnergyCons!$B$3:$B$1000)*1,ISNUMBER(SEARCH("TPCAR",[1]OUT_TransportEnergyCons!$C$3:$C$1000))*1,[1]OUT_TransportEnergyCons!O$3:O$1000)</f>
        <v>2.9864390938969454E-4</v>
      </c>
      <c r="S1253" s="3"/>
    </row>
    <row r="1254" spans="2:19" x14ac:dyDescent="0.5">
      <c r="B1254" s="5" t="str">
        <f t="shared" si="1401"/>
        <v>SPS1</v>
      </c>
      <c r="C1254" s="5" t="str">
        <f t="shared" si="1402"/>
        <v>CH</v>
      </c>
      <c r="D1254" t="s">
        <v>1171</v>
      </c>
      <c r="E1254" t="str">
        <f t="shared" si="1400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0.90149506823559167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1.0076023432894217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0.99259878567532978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0.77167699774600218</v>
      </c>
      <c r="J1254" s="1" cm="1">
        <f t="array" ref="J1254">SUMPRODUCT(("T_C-ICE-DSL-S4"=[1]OUT_TransportEnergyCons!$A$3:$A$1000)*1,("var_fout"=[1]OUT_TransportEnergyCons!$B$3:$B$1000)*1,ISNUMBER(SEARCH("TPCAR",[1]OUT_TransportEnergyCons!$C$3:$C$1000))*1,[1]OUT_TransportEnergyCons!H$3:H$1000)</f>
        <v>4.2836631515951649E-2</v>
      </c>
      <c r="K1254" s="1" cm="1">
        <f t="array" ref="K1254">SUMPRODUCT(("T_C-ICE-DSL-S4"=[1]OUT_TransportEnergyCons!$A$3:$A$1000)*1,("var_fout"=[1]OUT_TransportEnergyCons!$B$3:$B$1000)*1,ISNUMBER(SEARCH("TPCAR",[1]OUT_TransportEnergyCons!$C$3:$C$1000))*1,[1]OUT_TransportEnergyCons!I$3:I$1000)</f>
        <v>9.5878120612492412E-4</v>
      </c>
      <c r="L1254" s="1" cm="1">
        <f t="array" ref="L1254">SUMPRODUCT(("T_C-ICE-DSL-S4"=[1]OUT_TransportEnergyCons!$A$3:$A$1000)*1,("var_fout"=[1]OUT_TransportEnergyCons!$B$3:$B$1000)*1,ISNUMBER(SEARCH("TPCAR",[1]OUT_TransportEnergyCons!$C$3:$C$1000))*1,[1]OUT_TransportEnergyCons!J$3:J$1000)</f>
        <v>9.6070955482853947E-4</v>
      </c>
      <c r="M1254" s="1" cm="1">
        <f t="array" ref="M1254">SUMPRODUCT(("T_C-ICE-DSL-S4"=[1]OUT_TransportEnergyCons!$A$3:$A$1000)*1,("var_fout"=[1]OUT_TransportEnergyCons!$B$3:$B$1000)*1,ISNUMBER(SEARCH("TPCAR",[1]OUT_TransportEnergyCons!$C$3:$C$1000))*1,[1]OUT_TransportEnergyCons!K$3:K$1000)</f>
        <v>1.2406588200273639E-3</v>
      </c>
      <c r="N1254" s="1" cm="1">
        <f t="array" ref="N1254">SUMPRODUCT(("T_C-ICE-DSL-S4"=[1]OUT_TransportEnergyCons!$A$3:$A$1000)*1,("var_fout"=[1]OUT_TransportEnergyCons!$B$3:$B$1000)*1,ISNUMBER(SEARCH("TPCAR",[1]OUT_TransportEnergyCons!$C$3:$C$1000))*1,[1]OUT_TransportEnergyCons!L$3:L$1000)</f>
        <v>8.9789297177085916E-4</v>
      </c>
      <c r="O1254" s="1" cm="1">
        <f t="array" ref="O1254">SUMPRODUCT(("T_C-ICE-DSL-S4"=[1]OUT_TransportEnergyCons!$A$3:$A$1000)*1,("var_fout"=[1]OUT_TransportEnergyCons!$B$3:$B$1000)*1,ISNUMBER(SEARCH("TPCAR",[1]OUT_TransportEnergyCons!$C$3:$C$1000))*1,[1]OUT_TransportEnergyCons!M$3:M$1000)</f>
        <v>6.3050193320713028E-4</v>
      </c>
      <c r="P1254" s="1" cm="1">
        <f t="array" ref="P1254">SUMPRODUCT(("T_C-ICE-DSL-S4"=[1]OUT_TransportEnergyCons!$A$3:$A$1000)*1,("var_fout"=[1]OUT_TransportEnergyCons!$B$3:$B$1000)*1,ISNUMBER(SEARCH("TPCAR",[1]OUT_TransportEnergyCons!$C$3:$C$1000))*1,[1]OUT_TransportEnergyCons!N$3:N$1000)</f>
        <v>3.0360449425629449E-4</v>
      </c>
      <c r="Q1254" s="1" cm="1">
        <f t="array" ref="Q1254">SUMPRODUCT(("T_C-ICE-DSL-S4"=[1]OUT_TransportEnergyCons!$A$3:$A$1000)*1,("var_fout"=[1]OUT_TransportEnergyCons!$B$3:$B$1000)*1,ISNUMBER(SEARCH("TPCAR",[1]OUT_TransportEnergyCons!$C$3:$C$1000))*1,[1]OUT_TransportEnergyCons!O$3:O$1000)</f>
        <v>2.4196373011641645E-4</v>
      </c>
      <c r="S1254" s="3"/>
    </row>
    <row r="1255" spans="2:19" x14ac:dyDescent="0.5">
      <c r="B1255" s="5" t="str">
        <f t="shared" si="1401"/>
        <v>SPS1</v>
      </c>
      <c r="C1255" s="5" t="str">
        <f t="shared" si="1402"/>
        <v>CH</v>
      </c>
      <c r="D1255" t="s">
        <v>1172</v>
      </c>
      <c r="E1255" t="str">
        <f t="shared" si="1400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3.079746046115882E-4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0.49646457235864738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1.342806942631863</v>
      </c>
      <c r="J1255" s="1" cm="1">
        <f t="array" ref="J1255">SUMPRODUCT(("T_C-MHY-DSL-S1"=[1]OUT_TransportEnergyCons!$A$3:$A$1000)*1,("var_fout"=[1]OUT_TransportEnergyCons!$B$3:$B$1000)*1,ISNUMBER(SEARCH("TPCAR",[1]OUT_TransportEnergyCons!$C$3:$C$1000))*1,[1]OUT_TransportEnergyCons!H$3:H$1000)</f>
        <v>1.2312305499370872</v>
      </c>
      <c r="K1255" s="1" cm="1">
        <f t="array" ref="K1255">SUMPRODUCT(("T_C-MHY-DSL-S1"=[1]OUT_TransportEnergyCons!$A$3:$A$1000)*1,("var_fout"=[1]OUT_TransportEnergyCons!$B$3:$B$1000)*1,ISNUMBER(SEARCH("TPCAR",[1]OUT_TransportEnergyCons!$C$3:$C$1000))*1,[1]OUT_TransportEnergyCons!I$3:I$1000)</f>
        <v>0.77388700622849949</v>
      </c>
      <c r="L1255" s="1" cm="1">
        <f t="array" ref="L1255">SUMPRODUCT(("T_C-MHY-DSL-S1"=[1]OUT_TransportEnergyCons!$A$3:$A$1000)*1,("var_fout"=[1]OUT_TransportEnergyCons!$B$3:$B$1000)*1,ISNUMBER(SEARCH("TPCAR",[1]OUT_TransportEnergyCons!$C$3:$C$1000))*1,[1]OUT_TransportEnergyCons!J$3:J$1000)</f>
        <v>0.22326901114543876</v>
      </c>
      <c r="M1255" s="1" cm="1">
        <f t="array" ref="M1255">SUMPRODUCT(("T_C-MHY-DSL-S1"=[1]OUT_TransportEnergyCons!$A$3:$A$1000)*1,("var_fout"=[1]OUT_TransportEnergyCons!$B$3:$B$1000)*1,ISNUMBER(SEARCH("TPCAR",[1]OUT_TransportEnergyCons!$C$3:$C$1000))*1,[1]OUT_TransportEnergyCons!K$3:K$1000)</f>
        <v>7.912978942642844E-2</v>
      </c>
      <c r="N1255" s="1" cm="1">
        <f t="array" ref="N1255">SUMPRODUCT(("T_C-MHY-DSL-S1"=[1]OUT_TransportEnergyCons!$A$3:$A$1000)*1,("var_fout"=[1]OUT_TransportEnergyCons!$B$3:$B$1000)*1,ISNUMBER(SEARCH("TPCAR",[1]OUT_TransportEnergyCons!$C$3:$C$1000))*1,[1]OUT_TransportEnergyCons!L$3:L$1000)</f>
        <v>1.0633167151741205E-2</v>
      </c>
      <c r="O1255" s="1" cm="1">
        <f t="array" ref="O1255">SUMPRODUCT(("T_C-MHY-DSL-S1"=[1]OUT_TransportEnergyCons!$A$3:$A$1000)*1,("var_fout"=[1]OUT_TransportEnergyCons!$B$3:$B$1000)*1,ISNUMBER(SEARCH("TPCAR",[1]OUT_TransportEnergyCons!$C$3:$C$1000))*1,[1]OUT_TransportEnergyCons!M$3:M$1000)</f>
        <v>9.809479966065562E-4</v>
      </c>
      <c r="P1255" s="1" cm="1">
        <f t="array" ref="P1255">SUMPRODUCT(("T_C-MHY-DSL-S1"=[1]OUT_TransportEnergyCons!$A$3:$A$1000)*1,("var_fout"=[1]OUT_TransportEnergyCons!$B$3:$B$1000)*1,ISNUMBER(SEARCH("TPCAR",[1]OUT_TransportEnergyCons!$C$3:$C$1000))*1,[1]OUT_TransportEnergyCons!N$3:N$1000)</f>
        <v>1.105523795071681E-3</v>
      </c>
      <c r="Q1255" s="1" cm="1">
        <f t="array" ref="Q1255">SUMPRODUCT(("T_C-MHY-DSL-S1"=[1]OUT_TransportEnergyCons!$A$3:$A$1000)*1,("var_fout"=[1]OUT_TransportEnergyCons!$B$3:$B$1000)*1,ISNUMBER(SEARCH("TPCAR",[1]OUT_TransportEnergyCons!$C$3:$C$1000))*1,[1]OUT_TransportEnergyCons!O$3:O$1000)</f>
        <v>1.1619450265452588E-3</v>
      </c>
      <c r="S1255" s="3"/>
    </row>
    <row r="1256" spans="2:19" x14ac:dyDescent="0.5">
      <c r="B1256" s="5" t="str">
        <f t="shared" si="1401"/>
        <v>SPS1</v>
      </c>
      <c r="C1256" s="5" t="str">
        <f t="shared" si="1402"/>
        <v>CH</v>
      </c>
      <c r="D1256" t="s">
        <v>1173</v>
      </c>
      <c r="E1256" t="str">
        <f t="shared" si="1400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1.8592407887557669E-4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1.5098434325678978E-3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3.0996931558890575E-3</v>
      </c>
      <c r="J1256" s="1" cm="1">
        <f t="array" ref="J1256">SUMPRODUCT(("T_C-MHY-DSL-S2"=[1]OUT_TransportEnergyCons!$A$3:$A$1000)*1,("var_fout"=[1]OUT_TransportEnergyCons!$B$3:$B$1000)*1,ISNUMBER(SEARCH("TPCAR",[1]OUT_TransportEnergyCons!$C$3:$C$1000))*1,[1]OUT_TransportEnergyCons!H$3:H$1000)</f>
        <v>8.9691765892539986E-3</v>
      </c>
      <c r="K1256" s="1" cm="1">
        <f t="array" ref="K1256">SUMPRODUCT(("T_C-MHY-DSL-S2"=[1]OUT_TransportEnergyCons!$A$3:$A$1000)*1,("var_fout"=[1]OUT_TransportEnergyCons!$B$3:$B$1000)*1,ISNUMBER(SEARCH("TPCAR",[1]OUT_TransportEnergyCons!$C$3:$C$1000))*1,[1]OUT_TransportEnergyCons!I$3:I$1000)</f>
        <v>1.0023493538705143E-2</v>
      </c>
      <c r="L1256" s="1" cm="1">
        <f t="array" ref="L1256">SUMPRODUCT(("T_C-MHY-DSL-S2"=[1]OUT_TransportEnergyCons!$A$3:$A$1000)*1,("var_fout"=[1]OUT_TransportEnergyCons!$B$3:$B$1000)*1,ISNUMBER(SEARCH("TPCAR",[1]OUT_TransportEnergyCons!$C$3:$C$1000))*1,[1]OUT_TransportEnergyCons!J$3:J$1000)</f>
        <v>6.0805679354679308E-3</v>
      </c>
      <c r="M1256" s="1" cm="1">
        <f t="array" ref="M1256">SUMPRODUCT(("T_C-MHY-DSL-S2"=[1]OUT_TransportEnergyCons!$A$3:$A$1000)*1,("var_fout"=[1]OUT_TransportEnergyCons!$B$3:$B$1000)*1,ISNUMBER(SEARCH("TPCAR",[1]OUT_TransportEnergyCons!$C$3:$C$1000))*1,[1]OUT_TransportEnergyCons!K$3:K$1000)</f>
        <v>3.0197064350970513E-3</v>
      </c>
      <c r="N1256" s="1" cm="1">
        <f t="array" ref="N1256">SUMPRODUCT(("T_C-MHY-DSL-S2"=[1]OUT_TransportEnergyCons!$A$3:$A$1000)*1,("var_fout"=[1]OUT_TransportEnergyCons!$B$3:$B$1000)*1,ISNUMBER(SEARCH("TPCAR",[1]OUT_TransportEnergyCons!$C$3:$C$1000))*1,[1]OUT_TransportEnergyCons!L$3:L$1000)</f>
        <v>2.0028932063647863E-3</v>
      </c>
      <c r="O1256" s="1" cm="1">
        <f t="array" ref="O1256">SUMPRODUCT(("T_C-MHY-DSL-S2"=[1]OUT_TransportEnergyCons!$A$3:$A$1000)*1,("var_fout"=[1]OUT_TransportEnergyCons!$B$3:$B$1000)*1,ISNUMBER(SEARCH("TPCAR",[1]OUT_TransportEnergyCons!$C$3:$C$1000))*1,[1]OUT_TransportEnergyCons!M$3:M$1000)</f>
        <v>2.5354062202513502E-3</v>
      </c>
      <c r="P1256" s="1" cm="1">
        <f t="array" ref="P1256">SUMPRODUCT(("T_C-MHY-DSL-S2"=[1]OUT_TransportEnergyCons!$A$3:$A$1000)*1,("var_fout"=[1]OUT_TransportEnergyCons!$B$3:$B$1000)*1,ISNUMBER(SEARCH("TPCAR",[1]OUT_TransportEnergyCons!$C$3:$C$1000))*1,[1]OUT_TransportEnergyCons!N$3:N$1000)</f>
        <v>3.5312510234858673E-3</v>
      </c>
      <c r="Q1256" s="1" cm="1">
        <f t="array" ref="Q1256">SUMPRODUCT(("T_C-MHY-DSL-S2"=[1]OUT_TransportEnergyCons!$A$3:$A$1000)*1,("var_fout"=[1]OUT_TransportEnergyCons!$B$3:$B$1000)*1,ISNUMBER(SEARCH("TPCAR",[1]OUT_TransportEnergyCons!$C$3:$C$1000))*1,[1]OUT_TransportEnergyCons!O$3:O$1000)</f>
        <v>4.8125306605924243E-3</v>
      </c>
      <c r="S1256" s="3"/>
    </row>
    <row r="1257" spans="2:19" x14ac:dyDescent="0.5">
      <c r="B1257" s="5" t="str">
        <f t="shared" si="1401"/>
        <v>SPS1</v>
      </c>
      <c r="C1257" s="5" t="str">
        <f t="shared" si="1402"/>
        <v>CH</v>
      </c>
      <c r="D1257" t="s">
        <v>1174</v>
      </c>
      <c r="E1257" t="str">
        <f t="shared" si="1400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2.6223161129816533E-4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1.1895786946025694E-3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2.3291716610324945E-3</v>
      </c>
      <c r="J1257" s="1" cm="1">
        <f t="array" ref="J1257">SUMPRODUCT(("T_C-MHY-DSL-S3"=[1]OUT_TransportEnergyCons!$A$3:$A$1000)*1,("var_fout"=[1]OUT_TransportEnergyCons!$B$3:$B$1000)*1,ISNUMBER(SEARCH("TPCAR",[1]OUT_TransportEnergyCons!$C$3:$C$1000))*1,[1]OUT_TransportEnergyCons!H$3:H$1000)</f>
        <v>3.6767679140542416E-2</v>
      </c>
      <c r="K1257" s="1" cm="1">
        <f t="array" ref="K1257">SUMPRODUCT(("T_C-MHY-DSL-S3"=[1]OUT_TransportEnergyCons!$A$3:$A$1000)*1,("var_fout"=[1]OUT_TransportEnergyCons!$B$3:$B$1000)*1,ISNUMBER(SEARCH("TPCAR",[1]OUT_TransportEnergyCons!$C$3:$C$1000))*1,[1]OUT_TransportEnergyCons!I$3:I$1000)</f>
        <v>0.62209096039954803</v>
      </c>
      <c r="L1257" s="1" cm="1">
        <f t="array" ref="L1257">SUMPRODUCT(("T_C-MHY-DSL-S3"=[1]OUT_TransportEnergyCons!$A$3:$A$1000)*1,("var_fout"=[1]OUT_TransportEnergyCons!$B$3:$B$1000)*1,ISNUMBER(SEARCH("TPCAR",[1]OUT_TransportEnergyCons!$C$3:$C$1000))*1,[1]OUT_TransportEnergyCons!J$3:J$1000)</f>
        <v>1.2801776025317007</v>
      </c>
      <c r="M1257" s="1" cm="1">
        <f t="array" ref="M1257">SUMPRODUCT(("T_C-MHY-DSL-S3"=[1]OUT_TransportEnergyCons!$A$3:$A$1000)*1,("var_fout"=[1]OUT_TransportEnergyCons!$B$3:$B$1000)*1,ISNUMBER(SEARCH("TPCAR",[1]OUT_TransportEnergyCons!$C$3:$C$1000))*1,[1]OUT_TransportEnergyCons!K$3:K$1000)</f>
        <v>1.4695304089534627</v>
      </c>
      <c r="N1257" s="1" cm="1">
        <f t="array" ref="N1257">SUMPRODUCT(("T_C-MHY-DSL-S3"=[1]OUT_TransportEnergyCons!$A$3:$A$1000)*1,("var_fout"=[1]OUT_TransportEnergyCons!$B$3:$B$1000)*1,ISNUMBER(SEARCH("TPCAR",[1]OUT_TransportEnergyCons!$C$3:$C$1000))*1,[1]OUT_TransportEnergyCons!L$3:L$1000)</f>
        <v>1.5628835378751091</v>
      </c>
      <c r="O1257" s="1" cm="1">
        <f t="array" ref="O1257">SUMPRODUCT(("T_C-MHY-DSL-S3"=[1]OUT_TransportEnergyCons!$A$3:$A$1000)*1,("var_fout"=[1]OUT_TransportEnergyCons!$B$3:$B$1000)*1,ISNUMBER(SEARCH("TPCAR",[1]OUT_TransportEnergyCons!$C$3:$C$1000))*1,[1]OUT_TransportEnergyCons!M$3:M$1000)</f>
        <v>1.5769176832310108</v>
      </c>
      <c r="P1257" s="1" cm="1">
        <f t="array" ref="P1257">SUMPRODUCT(("T_C-MHY-DSL-S3"=[1]OUT_TransportEnergyCons!$A$3:$A$1000)*1,("var_fout"=[1]OUT_TransportEnergyCons!$B$3:$B$1000)*1,ISNUMBER(SEARCH("TPCAR",[1]OUT_TransportEnergyCons!$C$3:$C$1000))*1,[1]OUT_TransportEnergyCons!N$3:N$1000)</f>
        <v>1.5383383029416839</v>
      </c>
      <c r="Q1257" s="1" cm="1">
        <f t="array" ref="Q1257">SUMPRODUCT(("T_C-MHY-DSL-S3"=[1]OUT_TransportEnergyCons!$A$3:$A$1000)*1,("var_fout"=[1]OUT_TransportEnergyCons!$B$3:$B$1000)*1,ISNUMBER(SEARCH("TPCAR",[1]OUT_TransportEnergyCons!$C$3:$C$1000))*1,[1]OUT_TransportEnergyCons!O$3:O$1000)</f>
        <v>1.5158787074685789</v>
      </c>
      <c r="S1257" s="3"/>
    </row>
    <row r="1258" spans="2:19" x14ac:dyDescent="0.5">
      <c r="B1258" s="5" t="str">
        <f t="shared" si="1401"/>
        <v>SPS1</v>
      </c>
      <c r="C1258" s="5" t="str">
        <f t="shared" si="1402"/>
        <v>CH</v>
      </c>
      <c r="D1258" t="s">
        <v>1175</v>
      </c>
      <c r="E1258" t="str">
        <f t="shared" si="1400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1.5655805603688401E-4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4.4326692688540973E-4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6.9185592794037938E-4</v>
      </c>
      <c r="J1258" s="1" cm="1">
        <f t="array" ref="J1258">SUMPRODUCT(("T_C-MHY-DSL-S4"=[1]OUT_TransportEnergyCons!$A$3:$A$1000)*1,("var_fout"=[1]OUT_TransportEnergyCons!$B$3:$B$1000)*1,ISNUMBER(SEARCH("TPCAR",[1]OUT_TransportEnergyCons!$C$3:$C$1000))*1,[1]OUT_TransportEnergyCons!H$3:H$1000)</f>
        <v>1.1959532858908874E-3</v>
      </c>
      <c r="K1258" s="1" cm="1">
        <f t="array" ref="K1258">SUMPRODUCT(("T_C-MHY-DSL-S4"=[1]OUT_TransportEnergyCons!$A$3:$A$1000)*1,("var_fout"=[1]OUT_TransportEnergyCons!$B$3:$B$1000)*1,ISNUMBER(SEARCH("TPCAR",[1]OUT_TransportEnergyCons!$C$3:$C$1000))*1,[1]OUT_TransportEnergyCons!I$3:I$1000)</f>
        <v>2.63482674874308E-3</v>
      </c>
      <c r="L1258" s="1" cm="1">
        <f t="array" ref="L1258">SUMPRODUCT(("T_C-MHY-DSL-S4"=[1]OUT_TransportEnergyCons!$A$3:$A$1000)*1,("var_fout"=[1]OUT_TransportEnergyCons!$B$3:$B$1000)*1,ISNUMBER(SEARCH("TPCAR",[1]OUT_TransportEnergyCons!$C$3:$C$1000))*1,[1]OUT_TransportEnergyCons!J$3:J$1000)</f>
        <v>3.8086782778838789E-3</v>
      </c>
      <c r="M1258" s="1" cm="1">
        <f t="array" ref="M1258">SUMPRODUCT(("T_C-MHY-DSL-S4"=[1]OUT_TransportEnergyCons!$A$3:$A$1000)*1,("var_fout"=[1]OUT_TransportEnergyCons!$B$3:$B$1000)*1,ISNUMBER(SEARCH("TPCAR",[1]OUT_TransportEnergyCons!$C$3:$C$1000))*1,[1]OUT_TransportEnergyCons!K$3:K$1000)</f>
        <v>6.5351514905403855E-3</v>
      </c>
      <c r="N1258" s="1" cm="1">
        <f t="array" ref="N1258">SUMPRODUCT(("T_C-MHY-DSL-S4"=[1]OUT_TransportEnergyCons!$A$3:$A$1000)*1,("var_fout"=[1]OUT_TransportEnergyCons!$B$3:$B$1000)*1,ISNUMBER(SEARCH("TPCAR",[1]OUT_TransportEnergyCons!$C$3:$C$1000))*1,[1]OUT_TransportEnergyCons!L$3:L$1000)</f>
        <v>7.2935112597488612E-3</v>
      </c>
      <c r="O1258" s="1" cm="1">
        <f t="array" ref="O1258">SUMPRODUCT(("T_C-MHY-DSL-S4"=[1]OUT_TransportEnergyCons!$A$3:$A$1000)*1,("var_fout"=[1]OUT_TransportEnergyCons!$B$3:$B$1000)*1,ISNUMBER(SEARCH("TPCAR",[1]OUT_TransportEnergyCons!$C$3:$C$1000))*1,[1]OUT_TransportEnergyCons!M$3:M$1000)</f>
        <v>5.7904281918820738E-3</v>
      </c>
      <c r="P1258" s="1" cm="1">
        <f t="array" ref="P1258">SUMPRODUCT(("T_C-MHY-DSL-S4"=[1]OUT_TransportEnergyCons!$A$3:$A$1000)*1,("var_fout"=[1]OUT_TransportEnergyCons!$B$3:$B$1000)*1,ISNUMBER(SEARCH("TPCAR",[1]OUT_TransportEnergyCons!$C$3:$C$1000))*1,[1]OUT_TransportEnergyCons!N$3:N$1000)</f>
        <v>2.9579757369738182E-3</v>
      </c>
      <c r="Q1258" s="1" cm="1">
        <f t="array" ref="Q1258">SUMPRODUCT(("T_C-MHY-DSL-S4"=[1]OUT_TransportEnergyCons!$A$3:$A$1000)*1,("var_fout"=[1]OUT_TransportEnergyCons!$B$3:$B$1000)*1,ISNUMBER(SEARCH("TPCAR",[1]OUT_TransportEnergyCons!$C$3:$C$1000))*1,[1]OUT_TransportEnergyCons!O$3:O$1000)</f>
        <v>3.0635533566788645E-3</v>
      </c>
      <c r="S1258" s="3"/>
    </row>
    <row r="1259" spans="2:19" x14ac:dyDescent="0.5">
      <c r="B1259" s="5" t="str">
        <f t="shared" si="1401"/>
        <v>SPS1</v>
      </c>
      <c r="C1259" s="5" t="str">
        <f t="shared" si="1402"/>
        <v>CH</v>
      </c>
      <c r="D1259" t="s">
        <v>1176</v>
      </c>
      <c r="E1259" t="str">
        <f t="shared" si="1400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SUMPRODUCT(("T_C-ICENGAEXT"=[1]OUT_TransportEnergyCons!$A$3:$A$1000)*1,("var_fout"=[1]OUT_TransportEnergyCons!$B$3:$B$1000)*1,ISNUMBER(SEARCH("TPCAR",[1]OUT_TransportEnergyCons!$C$3:$C$1000))*1,[1]OUT_TransportEnergyCons!H$3:H$1000)</f>
        <v>0</v>
      </c>
      <c r="K1259" s="1" cm="1">
        <f t="array" ref="K1259">SUMPRODUCT(("T_C-ICENGAEXT"=[1]OUT_TransportEnergyCons!$A$3:$A$1000)*1,("var_fout"=[1]OUT_TransportEnergyCons!$B$3:$B$1000)*1,ISNUMBER(SEARCH("TPCAR",[1]OUT_TransportEnergyCons!$C$3:$C$1000))*1,[1]OUT_TransportEnergyCons!I$3:I$1000)</f>
        <v>0</v>
      </c>
      <c r="L1259" s="1" cm="1">
        <f t="array" ref="L1259">SUMPRODUCT(("T_C-ICENGAEXT"=[1]OUT_TransportEnergyCons!$A$3:$A$1000)*1,("var_fout"=[1]OUT_TransportEnergyCons!$B$3:$B$1000)*1,ISNUMBER(SEARCH("TPCAR",[1]OUT_TransportEnergyCons!$C$3:$C$1000))*1,[1]OUT_TransportEnergyCons!J$3:J$1000)</f>
        <v>0</v>
      </c>
      <c r="M1259" s="1" cm="1">
        <f t="array" ref="M1259">SUMPRODUCT(("T_C-ICENGAEXT"=[1]OUT_TransportEnergyCons!$A$3:$A$1000)*1,("var_fout"=[1]OUT_TransportEnergyCons!$B$3:$B$1000)*1,ISNUMBER(SEARCH("TPCAR",[1]OUT_TransportEnergyCons!$C$3:$C$1000))*1,[1]OUT_TransportEnergyCons!K$3:K$1000)</f>
        <v>0</v>
      </c>
      <c r="N1259" s="1" cm="1">
        <f t="array" ref="N1259">SUMPRODUCT(("T_C-ICENGAEXT"=[1]OUT_TransportEnergyCons!$A$3:$A$1000)*1,("var_fout"=[1]OUT_TransportEnergyCons!$B$3:$B$1000)*1,ISNUMBER(SEARCH("TPCAR",[1]OUT_TransportEnergyCons!$C$3:$C$1000))*1,[1]OUT_TransportEnergyCons!L$3:L$1000)</f>
        <v>0</v>
      </c>
      <c r="O1259" s="1" cm="1">
        <f t="array" ref="O1259">SUMPRODUCT(("T_C-ICENGAEXT"=[1]OUT_TransportEnergyCons!$A$3:$A$1000)*1,("var_fout"=[1]OUT_TransportEnergyCons!$B$3:$B$1000)*1,ISNUMBER(SEARCH("TPCAR",[1]OUT_TransportEnergyCons!$C$3:$C$1000))*1,[1]OUT_TransportEnergyCons!M$3:M$1000)</f>
        <v>0</v>
      </c>
      <c r="P1259" s="1" cm="1">
        <f t="array" ref="P1259">SUMPRODUCT(("T_C-ICENGAEXT"=[1]OUT_TransportEnergyCons!$A$3:$A$1000)*1,("var_fout"=[1]OUT_TransportEnergyCons!$B$3:$B$1000)*1,ISNUMBER(SEARCH("TPCAR",[1]OUT_TransportEnergyCons!$C$3:$C$1000))*1,[1]OUT_TransportEnergyCons!N$3:N$1000)</f>
        <v>0</v>
      </c>
      <c r="Q1259" s="1" cm="1">
        <f t="array" ref="Q1259">SUMPRODUCT(("T_C-ICENGAEXT"=[1]OUT_TransportEnergyCons!$A$3:$A$1000)*1,("var_fout"=[1]OUT_TransportEnergyCons!$B$3:$B$1000)*1,ISNUMBER(SEARCH("TPCAR",[1]OUT_TransportEnergyCons!$C$3:$C$1000))*1,[1]OUT_TransportEnergyCons!O$3:O$1000)</f>
        <v>0</v>
      </c>
      <c r="S1259" s="3"/>
    </row>
    <row r="1260" spans="2:19" x14ac:dyDescent="0.5">
      <c r="B1260" s="5" t="str">
        <f t="shared" si="1401"/>
        <v>SPS1</v>
      </c>
      <c r="C1260" s="5" t="str">
        <f t="shared" si="1402"/>
        <v>CH</v>
      </c>
      <c r="D1260" t="s">
        <v>1177</v>
      </c>
      <c r="E1260" t="str">
        <f t="shared" si="1400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2.2071400124503192E-3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1.35199110934063E-3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1.355729458352402E-3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9.0906984608473651E-5</v>
      </c>
      <c r="J1260" s="1" cm="1">
        <f t="array" ref="J1260">SUMPRODUCT(("T_C-ICE-NGA-S1"=[1]OUT_TransportEnergyCons!$A$3:$A$1000)*1,("var_fout"=[1]OUT_TransportEnergyCons!$B$3:$B$1000)*1,ISNUMBER(SEARCH("TPCAR",[1]OUT_TransportEnergyCons!$C$3:$C$1000))*1,[1]OUT_TransportEnergyCons!H$3:H$1000)</f>
        <v>4.8278241691743571E-5</v>
      </c>
      <c r="K1260" s="1" cm="1">
        <f t="array" ref="K1260">SUMPRODUCT(("T_C-ICE-NGA-S1"=[1]OUT_TransportEnergyCons!$A$3:$A$1000)*1,("var_fout"=[1]OUT_TransportEnergyCons!$B$3:$B$1000)*1,ISNUMBER(SEARCH("TPCAR",[1]OUT_TransportEnergyCons!$C$3:$C$1000))*1,[1]OUT_TransportEnergyCons!I$3:I$1000)</f>
        <v>3.9049388472531783E-5</v>
      </c>
      <c r="L1260" s="1" cm="1">
        <f t="array" ref="L1260">SUMPRODUCT(("T_C-ICE-NGA-S1"=[1]OUT_TransportEnergyCons!$A$3:$A$1000)*1,("var_fout"=[1]OUT_TransportEnergyCons!$B$3:$B$1000)*1,ISNUMBER(SEARCH("TPCAR",[1]OUT_TransportEnergyCons!$C$3:$C$1000))*1,[1]OUT_TransportEnergyCons!J$3:J$1000)</f>
        <v>3.9103963951199869E-5</v>
      </c>
      <c r="M1260" s="1" cm="1">
        <f t="array" ref="M1260">SUMPRODUCT(("T_C-ICE-NGA-S1"=[1]OUT_TransportEnergyCons!$A$3:$A$1000)*1,("var_fout"=[1]OUT_TransportEnergyCons!$B$3:$B$1000)*1,ISNUMBER(SEARCH("TPCAR",[1]OUT_TransportEnergyCons!$C$3:$C$1000))*1,[1]OUT_TransportEnergyCons!K$3:K$1000)</f>
        <v>4.3390037194697317E-5</v>
      </c>
      <c r="N1260" s="1" cm="1">
        <f t="array" ref="N1260">SUMPRODUCT(("T_C-ICE-NGA-S1"=[1]OUT_TransportEnergyCons!$A$3:$A$1000)*1,("var_fout"=[1]OUT_TransportEnergyCons!$B$3:$B$1000)*1,ISNUMBER(SEARCH("TPCAR",[1]OUT_TransportEnergyCons!$C$3:$C$1000))*1,[1]OUT_TransportEnergyCons!L$3:L$1000)</f>
        <v>3.9490037797593129E-5</v>
      </c>
      <c r="O1260" s="1" cm="1">
        <f t="array" ref="O1260">SUMPRODUCT(("T_C-ICE-NGA-S1"=[1]OUT_TransportEnergyCons!$A$3:$A$1000)*1,("var_fout"=[1]OUT_TransportEnergyCons!$B$3:$B$1000)*1,ISNUMBER(SEARCH("TPCAR",[1]OUT_TransportEnergyCons!$C$3:$C$1000))*1,[1]OUT_TransportEnergyCons!M$3:M$1000)</f>
        <v>4.542371628158022E-5</v>
      </c>
      <c r="P1260" s="1" cm="1">
        <f t="array" ref="P1260">SUMPRODUCT(("T_C-ICE-NGA-S1"=[1]OUT_TransportEnergyCons!$A$3:$A$1000)*1,("var_fout"=[1]OUT_TransportEnergyCons!$B$3:$B$1000)*1,ISNUMBER(SEARCH("TPCAR",[1]OUT_TransportEnergyCons!$C$3:$C$1000))*1,[1]OUT_TransportEnergyCons!N$3:N$1000)</f>
        <v>4.6209342624086259E-5</v>
      </c>
      <c r="Q1260" s="1" cm="1">
        <f t="array" ref="Q1260">SUMPRODUCT(("T_C-ICE-NGA-S1"=[1]OUT_TransportEnergyCons!$A$3:$A$1000)*1,("var_fout"=[1]OUT_TransportEnergyCons!$B$3:$B$1000)*1,ISNUMBER(SEARCH("TPCAR",[1]OUT_TransportEnergyCons!$C$3:$C$1000))*1,[1]OUT_TransportEnergyCons!O$3:O$1000)</f>
        <v>5.0825563476914192E-5</v>
      </c>
      <c r="S1260" s="3"/>
    </row>
    <row r="1261" spans="2:19" x14ac:dyDescent="0.5">
      <c r="B1261" s="5" t="str">
        <f t="shared" si="1401"/>
        <v>SPS1</v>
      </c>
      <c r="C1261" s="5" t="str">
        <f t="shared" si="1402"/>
        <v>CH</v>
      </c>
      <c r="D1261" t="s">
        <v>1178</v>
      </c>
      <c r="E1261" t="str">
        <f t="shared" si="1400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3.1280529195676039E-2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2.1981903758006623E-2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2.9957255970007365E-2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7.3199634154260057E-5</v>
      </c>
      <c r="J1261" s="1" cm="1">
        <f t="array" ref="J1261">SUMPRODUCT(("T_C-ICE-NGA-S2"=[1]OUT_TransportEnergyCons!$A$3:$A$1000)*1,("var_fout"=[1]OUT_TransportEnergyCons!$B$3:$B$1000)*1,ISNUMBER(SEARCH("TPCAR",[1]OUT_TransportEnergyCons!$C$3:$C$1000))*1,[1]OUT_TransportEnergyCons!H$3:H$1000)</f>
        <v>7.0028355336624397E-5</v>
      </c>
      <c r="K1261" s="1" cm="1">
        <f t="array" ref="K1261">SUMPRODUCT(("T_C-ICE-NGA-S2"=[1]OUT_TransportEnergyCons!$A$3:$A$1000)*1,("var_fout"=[1]OUT_TransportEnergyCons!$B$3:$B$1000)*1,ISNUMBER(SEARCH("TPCAR",[1]OUT_TransportEnergyCons!$C$3:$C$1000))*1,[1]OUT_TransportEnergyCons!I$3:I$1000)</f>
        <v>7.4573243850967473E-5</v>
      </c>
      <c r="L1261" s="1" cm="1">
        <f t="array" ref="L1261">SUMPRODUCT(("T_C-ICE-NGA-S2"=[1]OUT_TransportEnergyCons!$A$3:$A$1000)*1,("var_fout"=[1]OUT_TransportEnergyCons!$B$3:$B$1000)*1,ISNUMBER(SEARCH("TPCAR",[1]OUT_TransportEnergyCons!$C$3:$C$1000))*1,[1]OUT_TransportEnergyCons!J$3:J$1000)</f>
        <v>7.5115828259281447E-5</v>
      </c>
      <c r="M1261" s="1" cm="1">
        <f t="array" ref="M1261">SUMPRODUCT(("T_C-ICE-NGA-S2"=[1]OUT_TransportEnergyCons!$A$3:$A$1000)*1,("var_fout"=[1]OUT_TransportEnergyCons!$B$3:$B$1000)*1,ISNUMBER(SEARCH("TPCAR",[1]OUT_TransportEnergyCons!$C$3:$C$1000))*1,[1]OUT_TransportEnergyCons!K$3:K$1000)</f>
        <v>7.7013812171554229E-5</v>
      </c>
      <c r="N1261" s="1" cm="1">
        <f t="array" ref="N1261">SUMPRODUCT(("T_C-ICE-NGA-S2"=[1]OUT_TransportEnergyCons!$A$3:$A$1000)*1,("var_fout"=[1]OUT_TransportEnergyCons!$B$3:$B$1000)*1,ISNUMBER(SEARCH("TPCAR",[1]OUT_TransportEnergyCons!$C$3:$C$1000))*1,[1]OUT_TransportEnergyCons!L$3:L$1000)</f>
        <v>7.1656748183396835E-5</v>
      </c>
      <c r="O1261" s="1" cm="1">
        <f t="array" ref="O1261">SUMPRODUCT(("T_C-ICE-NGA-S2"=[1]OUT_TransportEnergyCons!$A$3:$A$1000)*1,("var_fout"=[1]OUT_TransportEnergyCons!$B$3:$B$1000)*1,ISNUMBER(SEARCH("TPCAR",[1]OUT_TransportEnergyCons!$C$3:$C$1000))*1,[1]OUT_TransportEnergyCons!M$3:M$1000)</f>
        <v>7.8104072829074473E-5</v>
      </c>
      <c r="P1261" s="1" cm="1">
        <f t="array" ref="P1261">SUMPRODUCT(("T_C-ICE-NGA-S2"=[1]OUT_TransportEnergyCons!$A$3:$A$1000)*1,("var_fout"=[1]OUT_TransportEnergyCons!$B$3:$B$1000)*1,ISNUMBER(SEARCH("TPCAR",[1]OUT_TransportEnergyCons!$C$3:$C$1000))*1,[1]OUT_TransportEnergyCons!N$3:N$1000)</f>
        <v>7.9302998902117808E-5</v>
      </c>
      <c r="Q1261" s="1" cm="1">
        <f t="array" ref="Q1261">SUMPRODUCT(("T_C-ICE-NGA-S2"=[1]OUT_TransportEnergyCons!$A$3:$A$1000)*1,("var_fout"=[1]OUT_TransportEnergyCons!$B$3:$B$1000)*1,ISNUMBER(SEARCH("TPCAR",[1]OUT_TransportEnergyCons!$C$3:$C$1000))*1,[1]OUT_TransportEnergyCons!O$3:O$1000)</f>
        <v>8.4407499796839555E-5</v>
      </c>
      <c r="S1261" s="3"/>
    </row>
    <row r="1262" spans="2:19" x14ac:dyDescent="0.5">
      <c r="B1262" s="5" t="str">
        <f t="shared" si="1401"/>
        <v>SPS1</v>
      </c>
      <c r="C1262" s="5" t="str">
        <f t="shared" si="1402"/>
        <v>CH</v>
      </c>
      <c r="D1262" t="s">
        <v>1179</v>
      </c>
      <c r="E1262" t="str">
        <f t="shared" si="1400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2.0230696405789442E-3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1.7158687000454682E-3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2.2978699039028056E-3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2.587890381383326E-4</v>
      </c>
      <c r="J1262" s="1" cm="1">
        <f t="array" ref="J1262">SUMPRODUCT(("T_C-ICE-NGA-S3"=[1]OUT_TransportEnergyCons!$A$3:$A$1000)*1,("var_fout"=[1]OUT_TransportEnergyCons!$B$3:$B$1000)*1,ISNUMBER(SEARCH("TPCAR",[1]OUT_TransportEnergyCons!$C$3:$C$1000))*1,[1]OUT_TransportEnergyCons!H$3:H$1000)</f>
        <v>1.149931119357004E-4</v>
      </c>
      <c r="K1262" s="1" cm="1">
        <f t="array" ref="K1262">SUMPRODUCT(("T_C-ICE-NGA-S3"=[1]OUT_TransportEnergyCons!$A$3:$A$1000)*1,("var_fout"=[1]OUT_TransportEnergyCons!$B$3:$B$1000)*1,ISNUMBER(SEARCH("TPCAR",[1]OUT_TransportEnergyCons!$C$3:$C$1000))*1,[1]OUT_TransportEnergyCons!I$3:I$1000)</f>
        <v>9.8103693401140128E-5</v>
      </c>
      <c r="L1262" s="1" cm="1">
        <f t="array" ref="L1262">SUMPRODUCT(("T_C-ICE-NGA-S3"=[1]OUT_TransportEnergyCons!$A$3:$A$1000)*1,("var_fout"=[1]OUT_TransportEnergyCons!$B$3:$B$1000)*1,ISNUMBER(SEARCH("TPCAR",[1]OUT_TransportEnergyCons!$C$3:$C$1000))*1,[1]OUT_TransportEnergyCons!J$3:J$1000)</f>
        <v>1.0335951644848647E-4</v>
      </c>
      <c r="M1262" s="1" cm="1">
        <f t="array" ref="M1262">SUMPRODUCT(("T_C-ICE-NGA-S3"=[1]OUT_TransportEnergyCons!$A$3:$A$1000)*1,("var_fout"=[1]OUT_TransportEnergyCons!$B$3:$B$1000)*1,ISNUMBER(SEARCH("TPCAR",[1]OUT_TransportEnergyCons!$C$3:$C$1000))*1,[1]OUT_TransportEnergyCons!K$3:K$1000)</f>
        <v>1.0529947037938018E-4</v>
      </c>
      <c r="N1262" s="1" cm="1">
        <f t="array" ref="N1262">SUMPRODUCT(("T_C-ICE-NGA-S3"=[1]OUT_TransportEnergyCons!$A$3:$A$1000)*1,("var_fout"=[1]OUT_TransportEnergyCons!$B$3:$B$1000)*1,ISNUMBER(SEARCH("TPCAR",[1]OUT_TransportEnergyCons!$C$3:$C$1000))*1,[1]OUT_TransportEnergyCons!L$3:L$1000)</f>
        <v>9.9991365304265067E-5</v>
      </c>
      <c r="O1262" s="1" cm="1">
        <f t="array" ref="O1262">SUMPRODUCT(("T_C-ICE-NGA-S3"=[1]OUT_TransportEnergyCons!$A$3:$A$1000)*1,("var_fout"=[1]OUT_TransportEnergyCons!$B$3:$B$1000)*1,ISNUMBER(SEARCH("TPCAR",[1]OUT_TransportEnergyCons!$C$3:$C$1000))*1,[1]OUT_TransportEnergyCons!M$3:M$1000)</f>
        <v>1.0381063724980426E-4</v>
      </c>
      <c r="P1262" s="1" cm="1">
        <f t="array" ref="P1262">SUMPRODUCT(("T_C-ICE-NGA-S3"=[1]OUT_TransportEnergyCons!$A$3:$A$1000)*1,("var_fout"=[1]OUT_TransportEnergyCons!$B$3:$B$1000)*1,ISNUMBER(SEARCH("TPCAR",[1]OUT_TransportEnergyCons!$C$3:$C$1000))*1,[1]OUT_TransportEnergyCons!N$3:N$1000)</f>
        <v>1.0208950932762796E-4</v>
      </c>
      <c r="Q1262" s="1" cm="1">
        <f t="array" ref="Q1262">SUMPRODUCT(("T_C-ICE-NGA-S3"=[1]OUT_TransportEnergyCons!$A$3:$A$1000)*1,("var_fout"=[1]OUT_TransportEnergyCons!$B$3:$B$1000)*1,ISNUMBER(SEARCH("TPCAR",[1]OUT_TransportEnergyCons!$C$3:$C$1000))*1,[1]OUT_TransportEnergyCons!O$3:O$1000)</f>
        <v>1.0348397478823942E-4</v>
      </c>
      <c r="S1262" s="3"/>
    </row>
    <row r="1263" spans="2:19" x14ac:dyDescent="0.5">
      <c r="B1263" s="5" t="str">
        <f t="shared" si="1401"/>
        <v>SPS1</v>
      </c>
      <c r="C1263" s="5" t="str">
        <f t="shared" si="1402"/>
        <v>CH</v>
      </c>
      <c r="D1263" t="s">
        <v>1180</v>
      </c>
      <c r="E1263" t="str">
        <f t="shared" si="1400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3.2930398907888708E-2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3.2137866184488502E-2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2.9992285333503087E-2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4.0650411976233122E-5</v>
      </c>
      <c r="J1263" s="1" cm="1">
        <f t="array" ref="J1263">SUMPRODUCT(("T_C-ICE-NGA-S4"=[1]OUT_TransportEnergyCons!$A$3:$A$1000)*1,("var_fout"=[1]OUT_TransportEnergyCons!$B$3:$B$1000)*1,ISNUMBER(SEARCH("TPCAR",[1]OUT_TransportEnergyCons!$C$3:$C$1000))*1,[1]OUT_TransportEnergyCons!H$3:H$1000)</f>
        <v>8.1337901034598913E-5</v>
      </c>
      <c r="K1263" s="1" cm="1">
        <f t="array" ref="K1263">SUMPRODUCT(("T_C-ICE-NGA-S4"=[1]OUT_TransportEnergyCons!$A$3:$A$1000)*1,("var_fout"=[1]OUT_TransportEnergyCons!$B$3:$B$1000)*1,ISNUMBER(SEARCH("TPCAR",[1]OUT_TransportEnergyCons!$C$3:$C$1000))*1,[1]OUT_TransportEnergyCons!I$3:I$1000)</f>
        <v>9.8790291877802304E-5</v>
      </c>
      <c r="L1263" s="1" cm="1">
        <f t="array" ref="L1263">SUMPRODUCT(("T_C-ICE-NGA-S4"=[1]OUT_TransportEnergyCons!$A$3:$A$1000)*1,("var_fout"=[1]OUT_TransportEnergyCons!$B$3:$B$1000)*1,ISNUMBER(SEARCH("TPCAR",[1]OUT_TransportEnergyCons!$C$3:$C$1000))*1,[1]OUT_TransportEnergyCons!J$3:J$1000)</f>
        <v>1.0046862839248623E-4</v>
      </c>
      <c r="M1263" s="1" cm="1">
        <f t="array" ref="M1263">SUMPRODUCT(("T_C-ICE-NGA-S4"=[1]OUT_TransportEnergyCons!$A$3:$A$1000)*1,("var_fout"=[1]OUT_TransportEnergyCons!$B$3:$B$1000)*1,ISNUMBER(SEARCH("TPCAR",[1]OUT_TransportEnergyCons!$C$3:$C$1000))*1,[1]OUT_TransportEnergyCons!K$3:K$1000)</f>
        <v>1.0239837346967964E-4</v>
      </c>
      <c r="N1263" s="1" cm="1">
        <f t="array" ref="N1263">SUMPRODUCT(("T_C-ICE-NGA-S4"=[1]OUT_TransportEnergyCons!$A$3:$A$1000)*1,("var_fout"=[1]OUT_TransportEnergyCons!$B$3:$B$1000)*1,ISNUMBER(SEARCH("TPCAR",[1]OUT_TransportEnergyCons!$C$3:$C$1000))*1,[1]OUT_TransportEnergyCons!L$3:L$1000)</f>
        <v>9.8994029300336444E-5</v>
      </c>
      <c r="O1263" s="1" cm="1">
        <f t="array" ref="O1263">SUMPRODUCT(("T_C-ICE-NGA-S4"=[1]OUT_TransportEnergyCons!$A$3:$A$1000)*1,("var_fout"=[1]OUT_TransportEnergyCons!$B$3:$B$1000)*1,ISNUMBER(SEARCH("TPCAR",[1]OUT_TransportEnergyCons!$C$3:$C$1000))*1,[1]OUT_TransportEnergyCons!M$3:M$1000)</f>
        <v>9.838321247722731E-5</v>
      </c>
      <c r="P1263" s="1" cm="1">
        <f t="array" ref="P1263">SUMPRODUCT(("T_C-ICE-NGA-S4"=[1]OUT_TransportEnergyCons!$A$3:$A$1000)*1,("var_fout"=[1]OUT_TransportEnergyCons!$B$3:$B$1000)*1,ISNUMBER(SEARCH("TPCAR",[1]OUT_TransportEnergyCons!$C$3:$C$1000))*1,[1]OUT_TransportEnergyCons!N$3:N$1000)</f>
        <v>8.9116685893368786E-5</v>
      </c>
      <c r="Q1263" s="1" cm="1">
        <f t="array" ref="Q1263">SUMPRODUCT(("T_C-ICE-NGA-S4"=[1]OUT_TransportEnergyCons!$A$3:$A$1000)*1,("var_fout"=[1]OUT_TransportEnergyCons!$B$3:$B$1000)*1,ISNUMBER(SEARCH("TPCAR",[1]OUT_TransportEnergyCons!$C$3:$C$1000))*1,[1]OUT_TransportEnergyCons!O$3:O$1000)</f>
        <v>8.9677665219361219E-5</v>
      </c>
      <c r="S1263" s="3"/>
    </row>
    <row r="1264" spans="2:19" x14ac:dyDescent="0.5">
      <c r="B1264" s="5" t="str">
        <f t="shared" si="1401"/>
        <v>SPS1</v>
      </c>
      <c r="C1264" s="5" t="str">
        <f t="shared" si="1402"/>
        <v>CH</v>
      </c>
      <c r="D1264" s="2" t="s">
        <v>1130</v>
      </c>
      <c r="E1264" s="2" t="s">
        <v>1229</v>
      </c>
      <c r="F1264" s="19" t="s">
        <v>292</v>
      </c>
      <c r="G1264" s="19" t="s">
        <v>292</v>
      </c>
      <c r="H1264" s="19" t="s">
        <v>292</v>
      </c>
      <c r="I1264" s="19" t="s">
        <v>292</v>
      </c>
      <c r="J1264" s="19" t="s">
        <v>292</v>
      </c>
      <c r="K1264" s="19" t="s">
        <v>292</v>
      </c>
      <c r="L1264" s="19" t="s">
        <v>292</v>
      </c>
      <c r="M1264" s="19" t="s">
        <v>292</v>
      </c>
      <c r="N1264" s="19" t="s">
        <v>292</v>
      </c>
      <c r="O1264" s="19" t="s">
        <v>292</v>
      </c>
      <c r="P1264" s="19" t="s">
        <v>292</v>
      </c>
      <c r="Q1264" s="19" t="s">
        <v>292</v>
      </c>
      <c r="S1264" s="3"/>
    </row>
    <row r="1265" spans="2:19" x14ac:dyDescent="0.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403">IFERROR(F1214/F1138,"-")</f>
        <v>0.88951199431361427</v>
      </c>
      <c r="G1265" s="1">
        <f t="shared" si="1403"/>
        <v>0.95694536964701948</v>
      </c>
      <c r="H1265" s="1">
        <f t="shared" si="1403"/>
        <v>1.0580954326471255</v>
      </c>
      <c r="I1265" s="1">
        <f t="shared" si="1403"/>
        <v>1.2266788709806371</v>
      </c>
      <c r="J1265" s="1" t="str">
        <f t="shared" si="1403"/>
        <v>-</v>
      </c>
      <c r="K1265" s="1" t="str">
        <f t="shared" si="1403"/>
        <v>-</v>
      </c>
      <c r="L1265" s="1" t="str">
        <f t="shared" ref="L1265:O1265" si="1404">IFERROR(L1214/L1138,"-")</f>
        <v>-</v>
      </c>
      <c r="M1265" s="1" t="str">
        <f t="shared" si="1404"/>
        <v>-</v>
      </c>
      <c r="N1265" s="1" t="str">
        <f t="shared" si="1404"/>
        <v>-</v>
      </c>
      <c r="O1265" s="1" t="str">
        <f t="shared" si="1404"/>
        <v>-</v>
      </c>
      <c r="P1265" s="1" t="str">
        <f t="shared" ref="P1265:Q1269" si="1405">IFERROR(P1214/P1138,"-")</f>
        <v>-</v>
      </c>
      <c r="Q1265" s="1" t="str">
        <f t="shared" si="1405"/>
        <v>-</v>
      </c>
      <c r="S1265" s="3"/>
    </row>
    <row r="1266" spans="2:19" x14ac:dyDescent="0.5">
      <c r="B1266" s="5" t="str">
        <f t="shared" ref="B1266:B1314" si="1406">B1265</f>
        <v>SPS1</v>
      </c>
      <c r="C1266" s="5" t="str">
        <f t="shared" ref="C1266:C1314" si="1407">C1265</f>
        <v>CH</v>
      </c>
      <c r="D1266" t="s">
        <v>1182</v>
      </c>
      <c r="E1266" t="str">
        <f t="shared" ref="E1266:E1314" si="1408">E1265</f>
        <v>km/MJ</v>
      </c>
      <c r="F1266" s="1">
        <f t="shared" si="1403"/>
        <v>1.8116719735064515</v>
      </c>
      <c r="G1266" s="1">
        <f t="shared" si="1403"/>
        <v>1.8116719735064502</v>
      </c>
      <c r="H1266" s="1">
        <f t="shared" si="1403"/>
        <v>1.811671973506451</v>
      </c>
      <c r="I1266" s="1">
        <f t="shared" si="1403"/>
        <v>1.8116719735064448</v>
      </c>
      <c r="J1266" s="1">
        <f t="shared" si="1403"/>
        <v>1.8358164485686366</v>
      </c>
      <c r="K1266" s="1">
        <f t="shared" si="1403"/>
        <v>1.9924668878468785</v>
      </c>
      <c r="L1266" s="1">
        <f t="shared" ref="L1266:O1266" si="1409">IFERROR(L1215/L1139,"-")</f>
        <v>2.0677797301236049</v>
      </c>
      <c r="M1266" s="1">
        <f t="shared" si="1409"/>
        <v>2.151955743627247</v>
      </c>
      <c r="N1266" s="1">
        <f t="shared" si="1409"/>
        <v>2.2173692344053042</v>
      </c>
      <c r="O1266" s="1">
        <f t="shared" si="1409"/>
        <v>2.3106503470030395</v>
      </c>
      <c r="P1266" s="1">
        <f t="shared" si="1405"/>
        <v>2.4005506734107929</v>
      </c>
      <c r="Q1266" s="1">
        <f t="shared" si="1405"/>
        <v>2.4388889884859544</v>
      </c>
      <c r="S1266" s="3"/>
    </row>
    <row r="1267" spans="2:19" x14ac:dyDescent="0.5">
      <c r="B1267" s="5" t="str">
        <f t="shared" si="1406"/>
        <v>SPS1</v>
      </c>
      <c r="C1267" s="5" t="str">
        <f t="shared" si="1407"/>
        <v>CH</v>
      </c>
      <c r="D1267" t="s">
        <v>1183</v>
      </c>
      <c r="E1267" t="str">
        <f t="shared" si="1408"/>
        <v>km/MJ</v>
      </c>
      <c r="F1267" s="1">
        <f t="shared" si="1403"/>
        <v>1.4637982671179701</v>
      </c>
      <c r="G1267" s="1">
        <f t="shared" si="1403"/>
        <v>1.4637982671179681</v>
      </c>
      <c r="H1267" s="1">
        <f t="shared" si="1403"/>
        <v>1.4637982671179699</v>
      </c>
      <c r="I1267" s="1">
        <f t="shared" si="1403"/>
        <v>1.4637982671179712</v>
      </c>
      <c r="J1267" s="1">
        <f t="shared" si="1403"/>
        <v>1.5144067497636418</v>
      </c>
      <c r="K1267" s="1">
        <f t="shared" si="1403"/>
        <v>1.5502669123065418</v>
      </c>
      <c r="L1267" s="1">
        <f t="shared" ref="L1267:O1267" si="1410">IFERROR(L1216/L1140,"-")</f>
        <v>1.6190707772324278</v>
      </c>
      <c r="M1267" s="1">
        <f t="shared" si="1410"/>
        <v>1.7359610978508033</v>
      </c>
      <c r="N1267" s="1">
        <f t="shared" si="1410"/>
        <v>1.8051573977501731</v>
      </c>
      <c r="O1267" s="1">
        <f t="shared" si="1410"/>
        <v>1.8983722206194686</v>
      </c>
      <c r="P1267" s="1">
        <f t="shared" si="1405"/>
        <v>1.9673069805337469</v>
      </c>
      <c r="Q1267" s="1">
        <f t="shared" si="1405"/>
        <v>2.0020171865354279</v>
      </c>
      <c r="S1267" s="3"/>
    </row>
    <row r="1268" spans="2:19" x14ac:dyDescent="0.5">
      <c r="B1268" s="5" t="str">
        <f t="shared" si="1406"/>
        <v>SPS1</v>
      </c>
      <c r="C1268" s="5" t="str">
        <f t="shared" si="1407"/>
        <v>CH</v>
      </c>
      <c r="D1268" t="s">
        <v>1184</v>
      </c>
      <c r="E1268" t="str">
        <f t="shared" si="1408"/>
        <v>km/MJ</v>
      </c>
      <c r="F1268" s="1">
        <f t="shared" si="1403"/>
        <v>1.3374527251492021</v>
      </c>
      <c r="G1268" s="1">
        <f t="shared" si="1403"/>
        <v>1.3374527251492005</v>
      </c>
      <c r="H1268" s="1">
        <f t="shared" si="1403"/>
        <v>1.3374527251492001</v>
      </c>
      <c r="I1268" s="1">
        <f t="shared" si="1403"/>
        <v>1.3374527251492008</v>
      </c>
      <c r="J1268" s="1">
        <f t="shared" si="1403"/>
        <v>1.3887589781274958</v>
      </c>
      <c r="K1268" s="1">
        <f t="shared" si="1403"/>
        <v>1.4305658454296768</v>
      </c>
      <c r="L1268" s="1">
        <f t="shared" ref="L1268:O1268" si="1411">IFERROR(L1217/L1141,"-")</f>
        <v>1.4846085960758051</v>
      </c>
      <c r="M1268" s="1">
        <f t="shared" si="1411"/>
        <v>1.5746176151238405</v>
      </c>
      <c r="N1268" s="1">
        <f t="shared" si="1411"/>
        <v>1.67341648428038</v>
      </c>
      <c r="O1268" s="1">
        <f t="shared" si="1411"/>
        <v>1.7657515890333075</v>
      </c>
      <c r="P1268" s="1">
        <f t="shared" si="1405"/>
        <v>1.810765388905146</v>
      </c>
      <c r="Q1268" s="1">
        <f t="shared" si="1405"/>
        <v>1.8349674976674686</v>
      </c>
      <c r="S1268" s="3"/>
    </row>
    <row r="1269" spans="2:19" x14ac:dyDescent="0.5">
      <c r="B1269" s="5" t="str">
        <f t="shared" si="1406"/>
        <v>SPS1</v>
      </c>
      <c r="C1269" s="5" t="str">
        <f t="shared" si="1407"/>
        <v>CH</v>
      </c>
      <c r="D1269" t="s">
        <v>1185</v>
      </c>
      <c r="E1269" t="str">
        <f t="shared" si="1408"/>
        <v>km/MJ</v>
      </c>
      <c r="F1269" s="1">
        <f t="shared" si="1403"/>
        <v>1.29497292354308</v>
      </c>
      <c r="G1269" s="1">
        <f t="shared" si="1403"/>
        <v>1.2949729235430798</v>
      </c>
      <c r="H1269" s="1">
        <f t="shared" si="1403"/>
        <v>1.2949729235430785</v>
      </c>
      <c r="I1269" s="1">
        <f t="shared" si="1403"/>
        <v>1.2949729235430791</v>
      </c>
      <c r="J1269" s="1">
        <f t="shared" si="1403"/>
        <v>1.3190995581359377</v>
      </c>
      <c r="K1269" s="1">
        <f t="shared" si="1403"/>
        <v>1.3325713721793397</v>
      </c>
      <c r="L1269" s="1">
        <f t="shared" ref="L1269:O1269" si="1412">IFERROR(L1218/L1142,"-")</f>
        <v>1.440092986368646</v>
      </c>
      <c r="M1269" s="1">
        <f t="shared" si="1412"/>
        <v>1.5291897907669736</v>
      </c>
      <c r="N1269" s="1">
        <f t="shared" si="1412"/>
        <v>1.5907415286464706</v>
      </c>
      <c r="O1269" s="1">
        <f t="shared" si="1412"/>
        <v>1.6591165884646779</v>
      </c>
      <c r="P1269" s="1">
        <f t="shared" si="1405"/>
        <v>1.6889165242549011</v>
      </c>
      <c r="Q1269" s="1">
        <f t="shared" si="1405"/>
        <v>1.7320682333389021</v>
      </c>
      <c r="S1269" s="3"/>
    </row>
    <row r="1270" spans="2:19" x14ac:dyDescent="0.5">
      <c r="B1270" s="5" t="str">
        <f t="shared" si="1406"/>
        <v>SPS1</v>
      </c>
      <c r="C1270" s="5" t="str">
        <f t="shared" si="1407"/>
        <v>CH</v>
      </c>
      <c r="D1270" t="s">
        <v>1186</v>
      </c>
      <c r="E1270" t="str">
        <f t="shared" si="1408"/>
        <v>km/MJ</v>
      </c>
      <c r="F1270" s="1">
        <f t="shared" ref="F1270:K1273" si="1413">IFERROR(F1219/SUM(F1143,F1176),"-")</f>
        <v>0.71058905850616194</v>
      </c>
      <c r="G1270" s="1">
        <f t="shared" si="1413"/>
        <v>0.76124432625074412</v>
      </c>
      <c r="H1270" s="1">
        <f t="shared" si="1413"/>
        <v>0.77282064706635245</v>
      </c>
      <c r="I1270" s="1">
        <f t="shared" si="1413"/>
        <v>0.81093474147161537</v>
      </c>
      <c r="J1270" s="1">
        <f t="shared" si="1413"/>
        <v>0.86347811239392624</v>
      </c>
      <c r="K1270" s="1">
        <f t="shared" si="1413"/>
        <v>0.94225106352905386</v>
      </c>
      <c r="L1270" s="1">
        <f t="shared" ref="L1270:O1270" si="1414">IFERROR(L1219/SUM(L1143,L1176),"-")</f>
        <v>1.0500617346754906</v>
      </c>
      <c r="M1270" s="1">
        <f t="shared" si="1414"/>
        <v>1.1750276203539423</v>
      </c>
      <c r="N1270" s="1">
        <f t="shared" si="1414"/>
        <v>1.2533388657233819</v>
      </c>
      <c r="O1270" s="1">
        <f t="shared" si="1414"/>
        <v>1.3523764930873827</v>
      </c>
      <c r="P1270" s="1">
        <f t="shared" ref="P1270:Q1273" si="1415">IFERROR(P1219/SUM(P1143,P1176),"-")</f>
        <v>1.3761385621402262</v>
      </c>
      <c r="Q1270" s="1">
        <f t="shared" si="1415"/>
        <v>1.4234979738067768</v>
      </c>
      <c r="S1270" s="3"/>
    </row>
    <row r="1271" spans="2:19" x14ac:dyDescent="0.5">
      <c r="B1271" s="5" t="str">
        <f t="shared" si="1406"/>
        <v>SPS1</v>
      </c>
      <c r="C1271" s="5" t="str">
        <f t="shared" si="1407"/>
        <v>CH</v>
      </c>
      <c r="D1271" t="s">
        <v>1187</v>
      </c>
      <c r="E1271" t="str">
        <f t="shared" si="1408"/>
        <v>km/MJ</v>
      </c>
      <c r="F1271" s="1">
        <f t="shared" si="1413"/>
        <v>0.59507213593017672</v>
      </c>
      <c r="G1271" s="1">
        <f t="shared" si="1413"/>
        <v>0.58942166656962947</v>
      </c>
      <c r="H1271" s="1">
        <f t="shared" si="1413"/>
        <v>0.59238284040753886</v>
      </c>
      <c r="I1271" s="1">
        <f t="shared" si="1413"/>
        <v>0.5964762939132805</v>
      </c>
      <c r="J1271" s="1">
        <f t="shared" si="1413"/>
        <v>0.71546601736631232</v>
      </c>
      <c r="K1271" s="1">
        <f t="shared" si="1413"/>
        <v>0.80799062478725248</v>
      </c>
      <c r="L1271" s="1">
        <f t="shared" ref="L1271:O1271" si="1416">IFERROR(L1220/SUM(L1144,L1177),"-")</f>
        <v>0.9172710309242823</v>
      </c>
      <c r="M1271" s="1">
        <f t="shared" si="1416"/>
        <v>1.049373250095345</v>
      </c>
      <c r="N1271" s="1">
        <f t="shared" si="1416"/>
        <v>1.1049816101582071</v>
      </c>
      <c r="O1271" s="1">
        <f t="shared" si="1416"/>
        <v>1.1820621572374532</v>
      </c>
      <c r="P1271" s="1">
        <f t="shared" si="1415"/>
        <v>1.1825963534754311</v>
      </c>
      <c r="Q1271" s="1">
        <f t="shared" si="1415"/>
        <v>1.1764506798864518</v>
      </c>
      <c r="S1271" s="3"/>
    </row>
    <row r="1272" spans="2:19" x14ac:dyDescent="0.5">
      <c r="B1272" s="5" t="str">
        <f t="shared" si="1406"/>
        <v>SPS1</v>
      </c>
      <c r="C1272" s="5" t="str">
        <f t="shared" si="1407"/>
        <v>CH</v>
      </c>
      <c r="D1272" t="s">
        <v>1188</v>
      </c>
      <c r="E1272" t="str">
        <f t="shared" si="1408"/>
        <v>km/MJ</v>
      </c>
      <c r="F1272" s="1">
        <f t="shared" si="1413"/>
        <v>0.54553562494582941</v>
      </c>
      <c r="G1272" s="1">
        <f t="shared" si="1413"/>
        <v>0.60404120833812613</v>
      </c>
      <c r="H1272" s="1">
        <f t="shared" si="1413"/>
        <v>0.6179364032658935</v>
      </c>
      <c r="I1272" s="1">
        <f t="shared" si="1413"/>
        <v>0.66532136896483907</v>
      </c>
      <c r="J1272" s="1">
        <f t="shared" si="1413"/>
        <v>0.74049322259112982</v>
      </c>
      <c r="K1272" s="1">
        <f t="shared" si="1413"/>
        <v>0.82313846527399426</v>
      </c>
      <c r="L1272" s="1">
        <f t="shared" ref="L1272:O1272" si="1417">IFERROR(L1221/SUM(L1145,L1178),"-")</f>
        <v>0.96882698233669484</v>
      </c>
      <c r="M1272" s="1">
        <f t="shared" si="1417"/>
        <v>1.1240343430514397</v>
      </c>
      <c r="N1272" s="1">
        <f t="shared" si="1417"/>
        <v>1.1931545789520774</v>
      </c>
      <c r="O1272" s="1">
        <f t="shared" si="1417"/>
        <v>1.2560181121967846</v>
      </c>
      <c r="P1272" s="1">
        <f t="shared" si="1415"/>
        <v>1.2552480003405317</v>
      </c>
      <c r="Q1272" s="1">
        <f t="shared" si="1415"/>
        <v>1.2597105616705608</v>
      </c>
      <c r="S1272" s="3"/>
    </row>
    <row r="1273" spans="2:19" x14ac:dyDescent="0.5">
      <c r="B1273" s="5" t="str">
        <f t="shared" si="1406"/>
        <v>SPS1</v>
      </c>
      <c r="C1273" s="5" t="str">
        <f t="shared" si="1407"/>
        <v>CH</v>
      </c>
      <c r="D1273" t="s">
        <v>1189</v>
      </c>
      <c r="E1273" t="str">
        <f t="shared" si="1408"/>
        <v>km/MJ</v>
      </c>
      <c r="F1273" s="1">
        <f t="shared" si="1413"/>
        <v>0.51975568473665956</v>
      </c>
      <c r="G1273" s="1">
        <f t="shared" si="1413"/>
        <v>0.52110325977245386</v>
      </c>
      <c r="H1273" s="1">
        <f t="shared" si="1413"/>
        <v>0.52298955507091938</v>
      </c>
      <c r="I1273" s="1">
        <f t="shared" si="1413"/>
        <v>0.52714391631454627</v>
      </c>
      <c r="J1273" s="1">
        <f t="shared" si="1413"/>
        <v>0.67242478186985233</v>
      </c>
      <c r="K1273" s="1">
        <f t="shared" si="1413"/>
        <v>0.75312862163553251</v>
      </c>
      <c r="L1273" s="1">
        <f t="shared" ref="L1273:O1273" si="1418">IFERROR(L1222/SUM(L1146,L1179),"-")</f>
        <v>0.86217993861927489</v>
      </c>
      <c r="M1273" s="1">
        <f t="shared" si="1418"/>
        <v>0.99186127707524896</v>
      </c>
      <c r="N1273" s="1">
        <f t="shared" si="1418"/>
        <v>1.0843428394548529</v>
      </c>
      <c r="O1273" s="1">
        <f t="shared" si="1418"/>
        <v>1.1377242039027791</v>
      </c>
      <c r="P1273" s="1">
        <f t="shared" si="1415"/>
        <v>1.1368328030278023</v>
      </c>
      <c r="Q1273" s="1">
        <f t="shared" si="1415"/>
        <v>1.1445713783976532</v>
      </c>
      <c r="S1273" s="3"/>
    </row>
    <row r="1274" spans="2:19" x14ac:dyDescent="0.5">
      <c r="B1274" s="5" t="str">
        <f t="shared" si="1406"/>
        <v>SPS1</v>
      </c>
      <c r="C1274" s="5" t="str">
        <f t="shared" si="1407"/>
        <v>CH</v>
      </c>
      <c r="D1274" t="s">
        <v>1190</v>
      </c>
      <c r="E1274" t="str">
        <f t="shared" si="1408"/>
        <v>km/MJ</v>
      </c>
      <c r="F1274" s="1">
        <f t="shared" ref="F1274:K1277" si="1419">IFERROR(F1223/SUM(F1147,F1199),"-")</f>
        <v>0.7284056958255688</v>
      </c>
      <c r="G1274" s="1">
        <f t="shared" si="1419"/>
        <v>0.77183691621905071</v>
      </c>
      <c r="H1274" s="1">
        <f t="shared" si="1419"/>
        <v>0.78545130139428299</v>
      </c>
      <c r="I1274" s="1">
        <f t="shared" si="1419"/>
        <v>0.82405479093464484</v>
      </c>
      <c r="J1274" s="1">
        <f t="shared" si="1419"/>
        <v>0.87894119707294605</v>
      </c>
      <c r="K1274" s="1">
        <f t="shared" si="1419"/>
        <v>0.96187117058262228</v>
      </c>
      <c r="L1274" s="1">
        <f t="shared" ref="L1274:O1274" si="1420">IFERROR(L1223/SUM(L1147,L1199),"-")</f>
        <v>1.0772105421021025</v>
      </c>
      <c r="M1274" s="1">
        <f t="shared" si="1420"/>
        <v>1.2329418674773525</v>
      </c>
      <c r="N1274" s="1">
        <f t="shared" si="1420"/>
        <v>1.2775073018226879</v>
      </c>
      <c r="O1274" s="1">
        <f t="shared" si="1420"/>
        <v>1.3308766231613141</v>
      </c>
      <c r="P1274" s="1">
        <f t="shared" ref="P1274:Q1277" si="1421">IFERROR(P1223/SUM(P1147,P1199),"-")</f>
        <v>1.2984457225447836</v>
      </c>
      <c r="Q1274" s="1">
        <f t="shared" si="1421"/>
        <v>1.2178399648469105</v>
      </c>
      <c r="S1274" s="3"/>
    </row>
    <row r="1275" spans="2:19" x14ac:dyDescent="0.5">
      <c r="B1275" s="5" t="str">
        <f t="shared" si="1406"/>
        <v>SPS1</v>
      </c>
      <c r="C1275" s="5" t="str">
        <f t="shared" si="1407"/>
        <v>CH</v>
      </c>
      <c r="D1275" t="s">
        <v>1191</v>
      </c>
      <c r="E1275" t="str">
        <f t="shared" si="1408"/>
        <v>km/MJ</v>
      </c>
      <c r="F1275" s="1">
        <f t="shared" si="1419"/>
        <v>0.58712422575290846</v>
      </c>
      <c r="G1275" s="1">
        <f t="shared" si="1419"/>
        <v>0.63969704081709267</v>
      </c>
      <c r="H1275" s="1">
        <f t="shared" si="1419"/>
        <v>0.64858021710168634</v>
      </c>
      <c r="I1275" s="1">
        <f t="shared" si="1419"/>
        <v>0.6742886616644721</v>
      </c>
      <c r="J1275" s="1">
        <f t="shared" si="1419"/>
        <v>0.73090783355110933</v>
      </c>
      <c r="K1275" s="1">
        <f t="shared" si="1419"/>
        <v>0.80491875314389694</v>
      </c>
      <c r="L1275" s="1">
        <f t="shared" ref="L1275:O1275" si="1422">IFERROR(L1224/SUM(L1148,L1200),"-")</f>
        <v>0.92832412870545877</v>
      </c>
      <c r="M1275" s="1">
        <f t="shared" si="1422"/>
        <v>1.0832154284113904</v>
      </c>
      <c r="N1275" s="1">
        <f t="shared" si="1422"/>
        <v>1.1244479346698288</v>
      </c>
      <c r="O1275" s="1">
        <f t="shared" si="1422"/>
        <v>1.1596365185233937</v>
      </c>
      <c r="P1275" s="1">
        <f t="shared" si="1421"/>
        <v>1.1044924876512316</v>
      </c>
      <c r="Q1275" s="1">
        <f t="shared" si="1421"/>
        <v>1.0350994390971062</v>
      </c>
      <c r="S1275" s="3"/>
    </row>
    <row r="1276" spans="2:19" x14ac:dyDescent="0.5">
      <c r="B1276" s="5" t="str">
        <f t="shared" si="1406"/>
        <v>SPS1</v>
      </c>
      <c r="C1276" s="5" t="str">
        <f t="shared" si="1407"/>
        <v>CH</v>
      </c>
      <c r="D1276" t="s">
        <v>1192</v>
      </c>
      <c r="E1276" t="str">
        <f t="shared" si="1408"/>
        <v>km/MJ</v>
      </c>
      <c r="F1276" s="1">
        <f t="shared" si="1419"/>
        <v>0.54929386451819251</v>
      </c>
      <c r="G1276" s="1">
        <f t="shared" si="1419"/>
        <v>0.55426444685850962</v>
      </c>
      <c r="H1276" s="1">
        <f t="shared" si="1419"/>
        <v>0.62626413675891446</v>
      </c>
      <c r="I1276" s="1">
        <f t="shared" si="1419"/>
        <v>0.67374013449136372</v>
      </c>
      <c r="J1276" s="1">
        <f t="shared" si="1419"/>
        <v>0.7274283000283196</v>
      </c>
      <c r="K1276" s="1">
        <f t="shared" si="1419"/>
        <v>0.78374947991587962</v>
      </c>
      <c r="L1276" s="1">
        <f t="shared" ref="L1276:O1276" si="1423">IFERROR(L1225/SUM(L1149,L1201),"-")</f>
        <v>0.962347890604764</v>
      </c>
      <c r="M1276" s="1">
        <f t="shared" si="1423"/>
        <v>1.1385721016155976</v>
      </c>
      <c r="N1276" s="1">
        <f t="shared" si="1423"/>
        <v>1.2036565686104219</v>
      </c>
      <c r="O1276" s="1">
        <f t="shared" si="1423"/>
        <v>1.2672661892596171</v>
      </c>
      <c r="P1276" s="1">
        <f t="shared" si="1421"/>
        <v>1.2599047139003319</v>
      </c>
      <c r="Q1276" s="1">
        <f t="shared" si="1421"/>
        <v>0.99326709858640827</v>
      </c>
      <c r="S1276" s="3"/>
    </row>
    <row r="1277" spans="2:19" x14ac:dyDescent="0.5">
      <c r="B1277" s="5" t="str">
        <f t="shared" si="1406"/>
        <v>SPS1</v>
      </c>
      <c r="C1277" s="5" t="str">
        <f t="shared" si="1407"/>
        <v>CH</v>
      </c>
      <c r="D1277" t="s">
        <v>1193</v>
      </c>
      <c r="E1277" t="str">
        <f t="shared" si="1408"/>
        <v>km/MJ</v>
      </c>
      <c r="F1277" s="1">
        <f t="shared" si="1419"/>
        <v>0.52693527306879451</v>
      </c>
      <c r="G1277" s="1">
        <f t="shared" si="1419"/>
        <v>0.53194488510387417</v>
      </c>
      <c r="H1277" s="1">
        <f t="shared" si="1419"/>
        <v>0.54661084161989038</v>
      </c>
      <c r="I1277" s="1">
        <f t="shared" si="1419"/>
        <v>0.55810038978417931</v>
      </c>
      <c r="J1277" s="1">
        <f t="shared" si="1419"/>
        <v>0.67079829175016947</v>
      </c>
      <c r="K1277" s="1">
        <f t="shared" si="1419"/>
        <v>0.74614820412846472</v>
      </c>
      <c r="L1277" s="1">
        <f t="shared" ref="L1277:O1277" si="1424">IFERROR(L1226/SUM(L1150,L1202),"-")</f>
        <v>0.8682748862014672</v>
      </c>
      <c r="M1277" s="1">
        <f t="shared" si="1424"/>
        <v>1.0401033900423096</v>
      </c>
      <c r="N1277" s="1">
        <f t="shared" si="1424"/>
        <v>1.0957915420503894</v>
      </c>
      <c r="O1277" s="1">
        <f t="shared" si="1424"/>
        <v>1.1511460389847936</v>
      </c>
      <c r="P1277" s="1">
        <f t="shared" si="1421"/>
        <v>1.151305371836268</v>
      </c>
      <c r="Q1277" s="1">
        <f t="shared" si="1421"/>
        <v>1.1518911553804263</v>
      </c>
      <c r="S1277" s="3"/>
    </row>
    <row r="1278" spans="2:19" x14ac:dyDescent="0.5">
      <c r="B1278" s="5" t="str">
        <f t="shared" si="1406"/>
        <v>SPS1</v>
      </c>
      <c r="C1278" s="5" t="str">
        <f t="shared" si="1407"/>
        <v>CH</v>
      </c>
      <c r="D1278" t="s">
        <v>1194</v>
      </c>
      <c r="E1278" t="str">
        <f t="shared" si="1408"/>
        <v>km/MJ</v>
      </c>
      <c r="F1278" s="1" t="str">
        <f>IFERROR(F1227/F1153,"-")</f>
        <v>-</v>
      </c>
      <c r="G1278" s="1">
        <f t="shared" ref="G1278:K1278" si="1425">IFERROR(G1227/G1153,"-")</f>
        <v>1.0965696656165194</v>
      </c>
      <c r="H1278" s="1">
        <f t="shared" si="1425"/>
        <v>1.0965696656165205</v>
      </c>
      <c r="I1278" s="1">
        <f t="shared" si="1425"/>
        <v>1.0965696656165203</v>
      </c>
      <c r="J1278" s="1">
        <f t="shared" si="1425"/>
        <v>1.1247224802664324</v>
      </c>
      <c r="K1278" s="1">
        <f t="shared" si="1425"/>
        <v>1.1961194132622308</v>
      </c>
      <c r="L1278" s="1">
        <f t="shared" ref="L1278:O1278" si="1426">IFERROR(L1227/L1153,"-")</f>
        <v>1.2465615288907774</v>
      </c>
      <c r="M1278" s="1">
        <f t="shared" si="1426"/>
        <v>1.3197773569032556</v>
      </c>
      <c r="N1278" s="1">
        <f t="shared" si="1426"/>
        <v>1.3991057598268966</v>
      </c>
      <c r="O1278" s="1">
        <f t="shared" si="1426"/>
        <v>1.495802163085467</v>
      </c>
      <c r="P1278" s="1">
        <f t="shared" ref="P1278:Q1281" si="1427">IFERROR(P1227/P1153,"-")</f>
        <v>1.5588199848935274</v>
      </c>
      <c r="Q1278" s="1">
        <f t="shared" si="1427"/>
        <v>1.5777288834242382</v>
      </c>
      <c r="S1278" s="3"/>
    </row>
    <row r="1279" spans="2:19" x14ac:dyDescent="0.5">
      <c r="B1279" s="5" t="str">
        <f t="shared" si="1406"/>
        <v>SPS1</v>
      </c>
      <c r="C1279" s="5" t="str">
        <f t="shared" si="1407"/>
        <v>CH</v>
      </c>
      <c r="D1279" t="s">
        <v>1195</v>
      </c>
      <c r="E1279" t="str">
        <f t="shared" si="1408"/>
        <v>km/MJ</v>
      </c>
      <c r="F1279" s="1">
        <f t="shared" ref="F1279:K1279" si="1428">IFERROR(F1228/F1154,"-")</f>
        <v>0.89149519806162181</v>
      </c>
      <c r="G1279" s="1">
        <f t="shared" si="1428"/>
        <v>0.89149519806162159</v>
      </c>
      <c r="H1279" s="1">
        <f t="shared" si="1428"/>
        <v>0.89149519806161992</v>
      </c>
      <c r="I1279" s="1">
        <f t="shared" si="1428"/>
        <v>0.89149519806162303</v>
      </c>
      <c r="J1279" s="1">
        <f t="shared" si="1428"/>
        <v>0.91223195461326678</v>
      </c>
      <c r="K1279" s="1">
        <f t="shared" si="1428"/>
        <v>0.96767030939986565</v>
      </c>
      <c r="L1279" s="1">
        <f t="shared" ref="L1279:O1279" si="1429">IFERROR(L1228/L1154,"-")</f>
        <v>1.0174680178396038</v>
      </c>
      <c r="M1279" s="1">
        <f t="shared" si="1429"/>
        <v>1.0796883151531296</v>
      </c>
      <c r="N1279" s="1">
        <f t="shared" si="1429"/>
        <v>1.1534128089662956</v>
      </c>
      <c r="O1279" s="1">
        <f t="shared" si="1429"/>
        <v>1.233304948657131</v>
      </c>
      <c r="P1279" s="1">
        <f t="shared" si="1427"/>
        <v>1.279069962729636</v>
      </c>
      <c r="Q1279" s="1">
        <f t="shared" si="1427"/>
        <v>1.3008122928940091</v>
      </c>
      <c r="S1279" s="3"/>
    </row>
    <row r="1280" spans="2:19" x14ac:dyDescent="0.5">
      <c r="B1280" s="5" t="str">
        <f t="shared" si="1406"/>
        <v>SPS1</v>
      </c>
      <c r="C1280" s="5" t="str">
        <f t="shared" si="1407"/>
        <v>CH</v>
      </c>
      <c r="D1280" t="s">
        <v>1196</v>
      </c>
      <c r="E1280" t="str">
        <f t="shared" si="1408"/>
        <v>km/MJ</v>
      </c>
      <c r="F1280" s="1">
        <f t="shared" ref="F1280:K1280" si="1430">IFERROR(F1229/F1155,"-")</f>
        <v>0.83000507256490696</v>
      </c>
      <c r="G1280" s="1">
        <f t="shared" si="1430"/>
        <v>0.83000507256490563</v>
      </c>
      <c r="H1280" s="1">
        <f t="shared" si="1430"/>
        <v>0.83000507256490619</v>
      </c>
      <c r="I1280" s="1">
        <f t="shared" si="1430"/>
        <v>0.83000507256490685</v>
      </c>
      <c r="J1280" s="1">
        <f t="shared" si="1430"/>
        <v>0.84503122702538036</v>
      </c>
      <c r="K1280" s="1">
        <f t="shared" si="1430"/>
        <v>0.90025231905597658</v>
      </c>
      <c r="L1280" s="1">
        <f t="shared" ref="L1280:O1280" si="1431">IFERROR(L1229/L1155,"-")</f>
        <v>0.94951282005571225</v>
      </c>
      <c r="M1280" s="1">
        <f t="shared" si="1431"/>
        <v>1.0087707501276892</v>
      </c>
      <c r="N1280" s="1">
        <f t="shared" si="1431"/>
        <v>1.0748089664463683</v>
      </c>
      <c r="O1280" s="1">
        <f t="shared" si="1431"/>
        <v>1.1519841672793063</v>
      </c>
      <c r="P1280" s="1">
        <f t="shared" si="1427"/>
        <v>1.1950350695859426</v>
      </c>
      <c r="Q1280" s="1">
        <f t="shared" si="1427"/>
        <v>1.2153637426286803</v>
      </c>
      <c r="S1280" s="3"/>
    </row>
    <row r="1281" spans="2:19" x14ac:dyDescent="0.5">
      <c r="B1281" s="5" t="str">
        <f t="shared" si="1406"/>
        <v>SPS1</v>
      </c>
      <c r="C1281" s="5" t="str">
        <f t="shared" si="1407"/>
        <v>CH</v>
      </c>
      <c r="D1281" t="s">
        <v>1197</v>
      </c>
      <c r="E1281" t="str">
        <f t="shared" si="1408"/>
        <v>km/MJ</v>
      </c>
      <c r="F1281" s="1" t="str">
        <f t="shared" ref="F1281:K1281" si="1432">IFERROR(F1230/F1156,"-")</f>
        <v>-</v>
      </c>
      <c r="G1281" s="1">
        <f t="shared" si="1432"/>
        <v>0.83675282096654136</v>
      </c>
      <c r="H1281" s="1">
        <f t="shared" si="1432"/>
        <v>0.83675282096654202</v>
      </c>
      <c r="I1281" s="1">
        <f t="shared" si="1432"/>
        <v>0.83675282096654069</v>
      </c>
      <c r="J1281" s="1">
        <f t="shared" si="1432"/>
        <v>0.85565891643363978</v>
      </c>
      <c r="K1281" s="1">
        <f t="shared" si="1432"/>
        <v>0.906178794651049</v>
      </c>
      <c r="L1281" s="1">
        <f t="shared" ref="L1281:O1281" si="1433">IFERROR(L1230/L1156,"-")</f>
        <v>0.94887060668434742</v>
      </c>
      <c r="M1281" s="1">
        <f t="shared" si="1433"/>
        <v>1.0032043512688182</v>
      </c>
      <c r="N1281" s="1">
        <f t="shared" si="1433"/>
        <v>1.0656845480473387</v>
      </c>
      <c r="O1281" s="1">
        <f t="shared" si="1433"/>
        <v>1.1349926172136988</v>
      </c>
      <c r="P1281" s="1">
        <f t="shared" si="1427"/>
        <v>1.1746203607962713</v>
      </c>
      <c r="Q1281" s="1">
        <f t="shared" si="1427"/>
        <v>1.1947365023294609</v>
      </c>
      <c r="S1281" s="3"/>
    </row>
    <row r="1282" spans="2:19" x14ac:dyDescent="0.5">
      <c r="B1282" s="5" t="str">
        <f t="shared" si="1406"/>
        <v>SPS1</v>
      </c>
      <c r="C1282" s="5" t="str">
        <f t="shared" si="1407"/>
        <v>CH</v>
      </c>
      <c r="D1282" t="s">
        <v>1232</v>
      </c>
      <c r="E1282" t="str">
        <f t="shared" si="1408"/>
        <v>km/MJ</v>
      </c>
      <c r="F1282" s="1">
        <f t="shared" ref="F1282:K1295" si="1434">IFERROR(F1231/F1162,"-")</f>
        <v>0.4937953469467829</v>
      </c>
      <c r="G1282" s="1">
        <f t="shared" si="1434"/>
        <v>0.5050322086025133</v>
      </c>
      <c r="H1282" s="1">
        <f t="shared" si="1434"/>
        <v>0.52188750108611015</v>
      </c>
      <c r="I1282" s="1">
        <f t="shared" si="1434"/>
        <v>0.54997965522543613</v>
      </c>
      <c r="J1282" s="1" t="str">
        <f t="shared" si="1434"/>
        <v>-</v>
      </c>
      <c r="K1282" s="1" t="str">
        <f t="shared" si="1434"/>
        <v>-</v>
      </c>
      <c r="L1282" s="1" t="str">
        <f>IFERROR(L1231/L1162,"-")</f>
        <v>-</v>
      </c>
      <c r="M1282" s="1" t="str">
        <f t="shared" ref="M1282:O1282" si="1435">IFERROR(M1231/M1162,"-")</f>
        <v>-</v>
      </c>
      <c r="N1282" s="1" t="str">
        <f t="shared" si="1435"/>
        <v>-</v>
      </c>
      <c r="O1282" s="1" t="str">
        <f t="shared" si="1435"/>
        <v>-</v>
      </c>
      <c r="P1282" s="1" t="str">
        <f t="shared" ref="P1282:Q1295" si="1436">IFERROR(P1231/P1162,"-")</f>
        <v>-</v>
      </c>
      <c r="Q1282" s="1" t="str">
        <f t="shared" si="1436"/>
        <v>-</v>
      </c>
      <c r="S1282" s="3"/>
    </row>
    <row r="1283" spans="2:19" x14ac:dyDescent="0.5">
      <c r="B1283" s="5" t="str">
        <f t="shared" si="1406"/>
        <v>SPS1</v>
      </c>
      <c r="C1283" s="5" t="str">
        <f t="shared" si="1407"/>
        <v>CH</v>
      </c>
      <c r="D1283" t="s">
        <v>1198</v>
      </c>
      <c r="E1283" t="str">
        <f t="shared" si="1408"/>
        <v>km/MJ</v>
      </c>
      <c r="F1283" s="1">
        <f t="shared" si="1434"/>
        <v>1.1341171502730265</v>
      </c>
      <c r="G1283" s="1">
        <f t="shared" si="1434"/>
        <v>1.1595501087012348</v>
      </c>
      <c r="H1283" s="1">
        <f t="shared" si="1434"/>
        <v>1.156496048775344</v>
      </c>
      <c r="I1283" s="1">
        <f t="shared" si="1434"/>
        <v>1.1988135912829467</v>
      </c>
      <c r="J1283" s="1">
        <f t="shared" si="1434"/>
        <v>0.92788461626975538</v>
      </c>
      <c r="K1283" s="1">
        <f>IFERROR(K1232/K1163,"-")</f>
        <v>0.9489231033154526</v>
      </c>
      <c r="L1283" s="1">
        <f>IFERROR(L1232/L1163,"-")</f>
        <v>0.95081471126486627</v>
      </c>
      <c r="M1283" s="1">
        <f t="shared" ref="M1283:O1283" si="1437">IFERROR(M1232/M1163,"-")</f>
        <v>0.96913253168352254</v>
      </c>
      <c r="N1283" s="1">
        <f t="shared" si="1437"/>
        <v>0.99212292094324983</v>
      </c>
      <c r="O1283" s="1">
        <f t="shared" si="1437"/>
        <v>1.1779907903700901</v>
      </c>
      <c r="P1283" s="1">
        <f t="shared" si="1436"/>
        <v>1.1783743878248918</v>
      </c>
      <c r="Q1283" s="1">
        <f t="shared" si="1436"/>
        <v>1.1784125654582234</v>
      </c>
      <c r="S1283" s="3"/>
    </row>
    <row r="1284" spans="2:19" x14ac:dyDescent="0.5">
      <c r="B1284" s="5" t="str">
        <f t="shared" si="1406"/>
        <v>SPS1</v>
      </c>
      <c r="C1284" s="5" t="str">
        <f t="shared" si="1407"/>
        <v>CH</v>
      </c>
      <c r="D1284" t="s">
        <v>1199</v>
      </c>
      <c r="E1284" t="str">
        <f t="shared" si="1408"/>
        <v>km/MJ</v>
      </c>
      <c r="F1284" s="1">
        <f t="shared" si="1434"/>
        <v>1.5999389974849076</v>
      </c>
      <c r="G1284" s="1">
        <f t="shared" si="1434"/>
        <v>1.8962282859177857</v>
      </c>
      <c r="H1284" s="1">
        <f t="shared" si="1434"/>
        <v>1.8758716236479458</v>
      </c>
      <c r="I1284" s="1">
        <f t="shared" si="1434"/>
        <v>1.9232219148516083</v>
      </c>
      <c r="J1284" s="1">
        <f t="shared" si="1434"/>
        <v>0.84363674726531734</v>
      </c>
      <c r="K1284" s="1">
        <f t="shared" si="1434"/>
        <v>0.77594887374542953</v>
      </c>
      <c r="L1284" s="1">
        <f t="shared" ref="L1284:O1284" si="1438">IFERROR(L1233/L1164,"-")</f>
        <v>0.76825099062522484</v>
      </c>
      <c r="M1284" s="1">
        <f t="shared" si="1438"/>
        <v>0.83805416231542351</v>
      </c>
      <c r="N1284" s="1">
        <f t="shared" si="1438"/>
        <v>0.88771857657480935</v>
      </c>
      <c r="O1284" s="1">
        <f t="shared" si="1438"/>
        <v>0.95370723060176887</v>
      </c>
      <c r="P1284" s="1">
        <f t="shared" si="1436"/>
        <v>0.97756251246778314</v>
      </c>
      <c r="Q1284" s="1">
        <f t="shared" si="1436"/>
        <v>0.98562649947646719</v>
      </c>
      <c r="S1284" s="3"/>
    </row>
    <row r="1285" spans="2:19" x14ac:dyDescent="0.5">
      <c r="B1285" s="5" t="str">
        <f t="shared" si="1406"/>
        <v>SPS1</v>
      </c>
      <c r="C1285" s="5" t="str">
        <f t="shared" si="1407"/>
        <v>CH</v>
      </c>
      <c r="D1285" t="s">
        <v>1200</v>
      </c>
      <c r="E1285" t="str">
        <f t="shared" si="1408"/>
        <v>km/MJ</v>
      </c>
      <c r="F1285" s="1">
        <f t="shared" si="1434"/>
        <v>1.9702192811389074</v>
      </c>
      <c r="G1285" s="1">
        <f t="shared" si="1434"/>
        <v>2.4902144772648218</v>
      </c>
      <c r="H1285" s="1">
        <f t="shared" si="1434"/>
        <v>2.4872989074781806</v>
      </c>
      <c r="I1285" s="1">
        <f t="shared" si="1434"/>
        <v>2.5050304408922974</v>
      </c>
      <c r="J1285" s="1">
        <f t="shared" si="1434"/>
        <v>2.542958646293167</v>
      </c>
      <c r="K1285" s="1">
        <f t="shared" si="1434"/>
        <v>0.72148440388910495</v>
      </c>
      <c r="L1285" s="1">
        <f t="shared" ref="L1285:O1285" si="1439">IFERROR(L1234/L1165,"-")</f>
        <v>0.73196810751837971</v>
      </c>
      <c r="M1285" s="1">
        <f t="shared" si="1439"/>
        <v>0.77365324612506514</v>
      </c>
      <c r="N1285" s="1">
        <f t="shared" si="1439"/>
        <v>0.80908233921954553</v>
      </c>
      <c r="O1285" s="1">
        <f t="shared" si="1439"/>
        <v>0.84960385882806455</v>
      </c>
      <c r="P1285" s="1">
        <f t="shared" si="1436"/>
        <v>0.8752369080479353</v>
      </c>
      <c r="Q1285" s="1">
        <f t="shared" si="1436"/>
        <v>0.88880989321720105</v>
      </c>
      <c r="S1285" s="3"/>
    </row>
    <row r="1286" spans="2:19" x14ac:dyDescent="0.5">
      <c r="B1286" s="5" t="str">
        <f t="shared" si="1406"/>
        <v>SPS1</v>
      </c>
      <c r="C1286" s="5" t="str">
        <f t="shared" si="1407"/>
        <v>CH</v>
      </c>
      <c r="D1286" t="s">
        <v>1201</v>
      </c>
      <c r="E1286" t="str">
        <f t="shared" si="1408"/>
        <v>km/MJ</v>
      </c>
      <c r="F1286" s="1">
        <f t="shared" si="1434"/>
        <v>1.1451424199540261</v>
      </c>
      <c r="G1286" s="1">
        <f t="shared" si="1434"/>
        <v>1.3268516267002235</v>
      </c>
      <c r="H1286" s="1">
        <f t="shared" si="1434"/>
        <v>1.3232091436328852</v>
      </c>
      <c r="I1286" s="1">
        <f t="shared" si="1434"/>
        <v>1.3360453048440395</v>
      </c>
      <c r="J1286" s="1">
        <f t="shared" si="1434"/>
        <v>1.5138821224946308</v>
      </c>
      <c r="K1286" s="1">
        <f t="shared" si="1434"/>
        <v>0.70592569387492954</v>
      </c>
      <c r="L1286" s="1">
        <f t="shared" ref="L1286:O1286" si="1440">IFERROR(L1235/L1166,"-")</f>
        <v>0.72447753207559185</v>
      </c>
      <c r="M1286" s="1">
        <f t="shared" si="1440"/>
        <v>0.78263378343391699</v>
      </c>
      <c r="N1286" s="1">
        <f t="shared" si="1440"/>
        <v>0.79360963034478094</v>
      </c>
      <c r="O1286" s="1">
        <f t="shared" si="1440"/>
        <v>0.79663614192794796</v>
      </c>
      <c r="P1286" s="1">
        <f t="shared" si="1436"/>
        <v>0.8117056264891801</v>
      </c>
      <c r="Q1286" s="1">
        <f t="shared" si="1436"/>
        <v>0.86053328078433822</v>
      </c>
      <c r="S1286" s="3"/>
    </row>
    <row r="1287" spans="2:19" x14ac:dyDescent="0.5">
      <c r="B1287" s="5" t="str">
        <f t="shared" si="1406"/>
        <v>SPS1</v>
      </c>
      <c r="C1287" s="5" t="str">
        <f t="shared" si="1407"/>
        <v>CH</v>
      </c>
      <c r="D1287" t="s">
        <v>1202</v>
      </c>
      <c r="E1287" t="str">
        <f t="shared" si="1408"/>
        <v>km/MJ</v>
      </c>
      <c r="F1287" s="1">
        <f t="shared" si="1434"/>
        <v>0.28603940550919488</v>
      </c>
      <c r="G1287" s="1">
        <f t="shared" si="1434"/>
        <v>0.29254854993039753</v>
      </c>
      <c r="H1287" s="1">
        <f t="shared" si="1434"/>
        <v>0.30231226656220095</v>
      </c>
      <c r="I1287" s="1">
        <f t="shared" si="1434"/>
        <v>0.31858512761520641</v>
      </c>
      <c r="J1287" s="1" t="str">
        <f t="shared" si="1434"/>
        <v>-</v>
      </c>
      <c r="K1287" s="1" t="str">
        <f t="shared" si="1434"/>
        <v>-</v>
      </c>
      <c r="L1287" s="1" t="str">
        <f t="shared" ref="L1287:O1287" si="1441">IFERROR(L1236/L1167,"-")</f>
        <v>-</v>
      </c>
      <c r="M1287" s="1" t="str">
        <f t="shared" si="1441"/>
        <v>-</v>
      </c>
      <c r="N1287" s="1" t="str">
        <f t="shared" si="1441"/>
        <v>-</v>
      </c>
      <c r="O1287" s="1" t="str">
        <f t="shared" si="1441"/>
        <v>-</v>
      </c>
      <c r="P1287" s="1" t="str">
        <f t="shared" si="1436"/>
        <v>-</v>
      </c>
      <c r="Q1287" s="1" t="str">
        <f t="shared" si="1436"/>
        <v>-</v>
      </c>
      <c r="S1287" s="3"/>
    </row>
    <row r="1288" spans="2:19" x14ac:dyDescent="0.5">
      <c r="B1288" s="5" t="str">
        <f t="shared" si="1406"/>
        <v>SPS1</v>
      </c>
      <c r="C1288" s="5" t="str">
        <f t="shared" si="1407"/>
        <v>CH</v>
      </c>
      <c r="D1288" t="s">
        <v>1203</v>
      </c>
      <c r="E1288" t="str">
        <f t="shared" si="1408"/>
        <v>km/MJ</v>
      </c>
      <c r="F1288" s="1">
        <f t="shared" si="1434"/>
        <v>0.68262877224841623</v>
      </c>
      <c r="G1288" s="1">
        <f t="shared" si="1434"/>
        <v>0.67608809795601876</v>
      </c>
      <c r="H1288" s="1">
        <f t="shared" si="1434"/>
        <v>0.67667434703744211</v>
      </c>
      <c r="I1288" s="1">
        <f t="shared" si="1434"/>
        <v>0.68370386712718778</v>
      </c>
      <c r="J1288" s="1">
        <f t="shared" si="1434"/>
        <v>0.61093184059102701</v>
      </c>
      <c r="K1288" s="1">
        <f t="shared" si="1434"/>
        <v>0.63252677240319588</v>
      </c>
      <c r="L1288" s="1">
        <f t="shared" ref="L1288:O1288" si="1442">IFERROR(L1237/L1168,"-")</f>
        <v>0.66891874314430189</v>
      </c>
      <c r="M1288" s="1">
        <f t="shared" si="1442"/>
        <v>0.71237811857201983</v>
      </c>
      <c r="N1288" s="1">
        <f t="shared" si="1442"/>
        <v>0.77573116476796045</v>
      </c>
      <c r="O1288" s="1">
        <f t="shared" si="1442"/>
        <v>0.86122556151640162</v>
      </c>
      <c r="P1288" s="1">
        <f t="shared" si="1436"/>
        <v>0.89885609734180805</v>
      </c>
      <c r="Q1288" s="1">
        <f t="shared" si="1436"/>
        <v>0.91486329238813302</v>
      </c>
      <c r="S1288" s="3"/>
    </row>
    <row r="1289" spans="2:19" x14ac:dyDescent="0.5">
      <c r="B1289" s="5" t="str">
        <f t="shared" si="1406"/>
        <v>SPS1</v>
      </c>
      <c r="C1289" s="5" t="str">
        <f t="shared" si="1407"/>
        <v>CH</v>
      </c>
      <c r="D1289" t="s">
        <v>1204</v>
      </c>
      <c r="E1289" t="str">
        <f t="shared" si="1408"/>
        <v>km/MJ</v>
      </c>
      <c r="F1289" s="1">
        <f t="shared" si="1434"/>
        <v>0.60626992739394014</v>
      </c>
      <c r="G1289" s="1">
        <f t="shared" si="1434"/>
        <v>0.60445860817557118</v>
      </c>
      <c r="H1289" s="1">
        <f t="shared" si="1434"/>
        <v>0.60435607375276834</v>
      </c>
      <c r="I1289" s="1">
        <f t="shared" si="1434"/>
        <v>0.60901809616227998</v>
      </c>
      <c r="J1289" s="1">
        <f t="shared" si="1434"/>
        <v>0.59821060296569328</v>
      </c>
      <c r="K1289" s="1">
        <f t="shared" si="1434"/>
        <v>0.51243319291060507</v>
      </c>
      <c r="L1289" s="1">
        <f t="shared" ref="L1289:O1289" si="1443">IFERROR(L1238/L1169,"-")</f>
        <v>0.53000252085545474</v>
      </c>
      <c r="M1289" s="1">
        <f t="shared" si="1443"/>
        <v>0.57236063398381332</v>
      </c>
      <c r="N1289" s="1">
        <f t="shared" si="1443"/>
        <v>0.62380180079422431</v>
      </c>
      <c r="O1289" s="1">
        <f t="shared" si="1443"/>
        <v>0.69444414423564615</v>
      </c>
      <c r="P1289" s="1">
        <f t="shared" si="1436"/>
        <v>0.72451541260365959</v>
      </c>
      <c r="Q1289" s="1">
        <f t="shared" si="1436"/>
        <v>0.73698166051905434</v>
      </c>
      <c r="S1289" s="3"/>
    </row>
    <row r="1290" spans="2:19" x14ac:dyDescent="0.5">
      <c r="B1290" s="5" t="str">
        <f t="shared" si="1406"/>
        <v>SPS1</v>
      </c>
      <c r="C1290" s="5" t="str">
        <f t="shared" si="1407"/>
        <v>CH</v>
      </c>
      <c r="D1290" t="s">
        <v>1205</v>
      </c>
      <c r="E1290" t="str">
        <f t="shared" si="1408"/>
        <v>km/MJ</v>
      </c>
      <c r="F1290" s="1">
        <f t="shared" si="1434"/>
        <v>0.51667111516069086</v>
      </c>
      <c r="G1290" s="1">
        <f t="shared" si="1434"/>
        <v>0.51602695251546271</v>
      </c>
      <c r="H1290" s="1">
        <f t="shared" si="1434"/>
        <v>0.50751175503254464</v>
      </c>
      <c r="I1290" s="1">
        <f t="shared" si="1434"/>
        <v>0.50964279845653748</v>
      </c>
      <c r="J1290" s="1">
        <f t="shared" si="1434"/>
        <v>0.48094088064346846</v>
      </c>
      <c r="K1290" s="1">
        <f t="shared" si="1434"/>
        <v>0.47187091352786859</v>
      </c>
      <c r="L1290" s="1">
        <f t="shared" ref="L1290:O1290" si="1444">IFERROR(L1239/L1170,"-")</f>
        <v>0.47049683529171338</v>
      </c>
      <c r="M1290" s="1">
        <f t="shared" si="1444"/>
        <v>0.51454001672276228</v>
      </c>
      <c r="N1290" s="1">
        <f t="shared" si="1444"/>
        <v>0.55872622843779163</v>
      </c>
      <c r="O1290" s="1">
        <f t="shared" si="1444"/>
        <v>0.64428726489755206</v>
      </c>
      <c r="P1290" s="1">
        <f t="shared" si="1436"/>
        <v>0.67319168558523812</v>
      </c>
      <c r="Q1290" s="1">
        <f t="shared" si="1436"/>
        <v>0.68569028449022706</v>
      </c>
      <c r="S1290" s="3"/>
    </row>
    <row r="1291" spans="2:19" x14ac:dyDescent="0.5">
      <c r="B1291" s="5" t="str">
        <f t="shared" si="1406"/>
        <v>SPS1</v>
      </c>
      <c r="C1291" s="5" t="str">
        <f t="shared" si="1407"/>
        <v>CH</v>
      </c>
      <c r="D1291" t="s">
        <v>1206</v>
      </c>
      <c r="E1291" t="str">
        <f t="shared" si="1408"/>
        <v>km/MJ</v>
      </c>
      <c r="F1291" s="1">
        <f t="shared" si="1434"/>
        <v>0.44022672463593393</v>
      </c>
      <c r="G1291" s="1">
        <f t="shared" si="1434"/>
        <v>0.43329721083693368</v>
      </c>
      <c r="H1291" s="1">
        <f t="shared" si="1434"/>
        <v>0.4340350060034423</v>
      </c>
      <c r="I1291" s="1">
        <f t="shared" si="1434"/>
        <v>0.43654186349722574</v>
      </c>
      <c r="J1291" s="1">
        <f t="shared" si="1434"/>
        <v>0.45355478277892664</v>
      </c>
      <c r="K1291" s="1">
        <f t="shared" si="1434"/>
        <v>0.47926216687011342</v>
      </c>
      <c r="L1291" s="1">
        <f t="shared" ref="L1291:O1291" si="1445">IFERROR(L1240/L1171,"-")</f>
        <v>0.51842995157275185</v>
      </c>
      <c r="M1291" s="1">
        <f t="shared" si="1445"/>
        <v>0.56228679345499666</v>
      </c>
      <c r="N1291" s="1">
        <f t="shared" si="1445"/>
        <v>0.59880557562645798</v>
      </c>
      <c r="O1291" s="1">
        <f t="shared" si="1445"/>
        <v>0.64131850101928489</v>
      </c>
      <c r="P1291" s="1">
        <f t="shared" si="1436"/>
        <v>0.6675761960426162</v>
      </c>
      <c r="Q1291" s="1">
        <f t="shared" si="1436"/>
        <v>0.68363010025041349</v>
      </c>
      <c r="S1291" s="3"/>
    </row>
    <row r="1292" spans="2:19" x14ac:dyDescent="0.5">
      <c r="B1292" s="5" t="str">
        <f t="shared" si="1406"/>
        <v>SPS1</v>
      </c>
      <c r="C1292" s="5" t="str">
        <f t="shared" si="1407"/>
        <v>CH</v>
      </c>
      <c r="D1292" t="s">
        <v>1207</v>
      </c>
      <c r="E1292" t="str">
        <f t="shared" si="1408"/>
        <v>km/MJ</v>
      </c>
      <c r="F1292" s="1" t="str">
        <f t="shared" si="1434"/>
        <v>-</v>
      </c>
      <c r="G1292" s="1">
        <f t="shared" si="1434"/>
        <v>0.51837627625535232</v>
      </c>
      <c r="H1292" s="1">
        <f t="shared" si="1434"/>
        <v>0.55247863203482106</v>
      </c>
      <c r="I1292" s="1">
        <f t="shared" si="1434"/>
        <v>0.55578049603863366</v>
      </c>
      <c r="J1292" s="1">
        <f t="shared" si="1434"/>
        <v>0.55673725602814594</v>
      </c>
      <c r="K1292" s="1">
        <f t="shared" si="1434"/>
        <v>0.5699132474287909</v>
      </c>
      <c r="L1292" s="1">
        <f t="shared" ref="L1292:O1292" si="1446">IFERROR(L1241/L1172,"-")</f>
        <v>0.74537192001366637</v>
      </c>
      <c r="M1292" s="1">
        <f t="shared" si="1446"/>
        <v>0.82556854048078665</v>
      </c>
      <c r="N1292" s="1">
        <f t="shared" si="1446"/>
        <v>0.89042554377557626</v>
      </c>
      <c r="O1292" s="1">
        <f t="shared" si="1446"/>
        <v>0.92436022671743445</v>
      </c>
      <c r="P1292" s="1">
        <f t="shared" si="1436"/>
        <v>0.92436022671743456</v>
      </c>
      <c r="Q1292" s="1">
        <f t="shared" si="1436"/>
        <v>0.92436022671743556</v>
      </c>
      <c r="S1292" s="3"/>
    </row>
    <row r="1293" spans="2:19" x14ac:dyDescent="0.5">
      <c r="B1293" s="5" t="str">
        <f t="shared" si="1406"/>
        <v>SPS1</v>
      </c>
      <c r="C1293" s="5" t="str">
        <f t="shared" si="1407"/>
        <v>CH</v>
      </c>
      <c r="D1293" t="s">
        <v>1208</v>
      </c>
      <c r="E1293" t="str">
        <f t="shared" si="1408"/>
        <v>km/MJ</v>
      </c>
      <c r="F1293" s="1" t="str">
        <f t="shared" si="1434"/>
        <v>-</v>
      </c>
      <c r="G1293" s="1">
        <f t="shared" si="1434"/>
        <v>0.41733711223535025</v>
      </c>
      <c r="H1293" s="1">
        <f t="shared" si="1434"/>
        <v>0.44413603054988471</v>
      </c>
      <c r="I1293" s="1">
        <f t="shared" si="1434"/>
        <v>0.46314443244040043</v>
      </c>
      <c r="J1293" s="1">
        <f t="shared" si="1434"/>
        <v>0.48118416812974713</v>
      </c>
      <c r="K1293" s="1">
        <f t="shared" si="1434"/>
        <v>0.5344885676830371</v>
      </c>
      <c r="L1293" s="1">
        <f t="shared" ref="L1293:O1293" si="1447">IFERROR(L1242/L1173,"-")</f>
        <v>0.6148793033459462</v>
      </c>
      <c r="M1293" s="1">
        <f t="shared" si="1447"/>
        <v>0.69048877213713289</v>
      </c>
      <c r="N1293" s="1">
        <f t="shared" si="1447"/>
        <v>0.74307118685727058</v>
      </c>
      <c r="O1293" s="1">
        <f t="shared" si="1447"/>
        <v>0.77062034366749987</v>
      </c>
      <c r="P1293" s="1">
        <f t="shared" si="1436"/>
        <v>0.77062034366749899</v>
      </c>
      <c r="Q1293" s="1">
        <f t="shared" si="1436"/>
        <v>0.77062034366750032</v>
      </c>
      <c r="S1293" s="3"/>
    </row>
    <row r="1294" spans="2:19" x14ac:dyDescent="0.5">
      <c r="B1294" s="5" t="str">
        <f t="shared" si="1406"/>
        <v>SPS1</v>
      </c>
      <c r="C1294" s="5" t="str">
        <f t="shared" si="1407"/>
        <v>CH</v>
      </c>
      <c r="D1294" t="s">
        <v>1209</v>
      </c>
      <c r="E1294" t="str">
        <f t="shared" si="1408"/>
        <v>km/MJ</v>
      </c>
      <c r="F1294" s="1" t="str">
        <f t="shared" si="1434"/>
        <v>-</v>
      </c>
      <c r="G1294" s="1">
        <f t="shared" si="1434"/>
        <v>0.38796990995538705</v>
      </c>
      <c r="H1294" s="1">
        <f t="shared" si="1434"/>
        <v>0.41076745326011233</v>
      </c>
      <c r="I1294" s="1">
        <f t="shared" si="1434"/>
        <v>0.42991376256611435</v>
      </c>
      <c r="J1294" s="1">
        <f t="shared" si="1434"/>
        <v>0.45249712996007213</v>
      </c>
      <c r="K1294" s="1">
        <f t="shared" si="1434"/>
        <v>0.51173470873324156</v>
      </c>
      <c r="L1294" s="1">
        <f t="shared" ref="L1294:O1294" si="1448">IFERROR(L1243/L1174,"-")</f>
        <v>0.58325268726856416</v>
      </c>
      <c r="M1294" s="1">
        <f t="shared" si="1448"/>
        <v>0.65592475076069845</v>
      </c>
      <c r="N1294" s="1">
        <f t="shared" si="1448"/>
        <v>0.69878621454060819</v>
      </c>
      <c r="O1294" s="1">
        <f t="shared" si="1448"/>
        <v>0.72048533095765233</v>
      </c>
      <c r="P1294" s="1">
        <f t="shared" si="1436"/>
        <v>0.72048533095765155</v>
      </c>
      <c r="Q1294" s="1">
        <f t="shared" si="1436"/>
        <v>0.72048533095765199</v>
      </c>
      <c r="S1294" s="3"/>
    </row>
    <row r="1295" spans="2:19" x14ac:dyDescent="0.5">
      <c r="B1295" s="5" t="str">
        <f t="shared" si="1406"/>
        <v>SPS1</v>
      </c>
      <c r="C1295" s="5" t="str">
        <f t="shared" si="1407"/>
        <v>CH</v>
      </c>
      <c r="D1295" t="s">
        <v>1210</v>
      </c>
      <c r="E1295" t="str">
        <f t="shared" si="1408"/>
        <v>km/MJ</v>
      </c>
      <c r="F1295" s="1" t="str">
        <f t="shared" si="1434"/>
        <v>-</v>
      </c>
      <c r="G1295" s="1">
        <f t="shared" si="1434"/>
        <v>0.39332458747711385</v>
      </c>
      <c r="H1295" s="1">
        <f t="shared" si="1434"/>
        <v>0.41993077996534567</v>
      </c>
      <c r="I1295" s="1">
        <f t="shared" si="1434"/>
        <v>0.45459262149847868</v>
      </c>
      <c r="J1295" s="1">
        <f t="shared" si="1434"/>
        <v>0.47596870658965623</v>
      </c>
      <c r="K1295" s="1">
        <f t="shared" si="1434"/>
        <v>0.52591481978640497</v>
      </c>
      <c r="L1295" s="1">
        <f t="shared" ref="L1295:O1295" si="1449">IFERROR(L1244/L1175,"-")</f>
        <v>0.60051485708129704</v>
      </c>
      <c r="M1295" s="1">
        <f t="shared" si="1449"/>
        <v>0.64441528552852545</v>
      </c>
      <c r="N1295" s="1">
        <f t="shared" si="1449"/>
        <v>0.68729525946713876</v>
      </c>
      <c r="O1295" s="1">
        <f t="shared" si="1449"/>
        <v>0.71284972011184633</v>
      </c>
      <c r="P1295" s="1">
        <f t="shared" si="1436"/>
        <v>0.71284972011184689</v>
      </c>
      <c r="Q1295" s="1">
        <f t="shared" si="1436"/>
        <v>0.71284972011184722</v>
      </c>
      <c r="S1295" s="3"/>
    </row>
    <row r="1296" spans="2:19" x14ac:dyDescent="0.5">
      <c r="B1296" s="5" t="str">
        <f t="shared" si="1406"/>
        <v>SPS1</v>
      </c>
      <c r="C1296" s="5" t="str">
        <f t="shared" si="1407"/>
        <v>CH</v>
      </c>
      <c r="D1296" t="s">
        <v>1234</v>
      </c>
      <c r="E1296" t="str">
        <f t="shared" si="1408"/>
        <v>km/MJ</v>
      </c>
      <c r="F1296" s="1" t="str">
        <f t="shared" ref="F1296:K1309" si="1450">IFERROR(F1245/F1185,"-")</f>
        <v>-</v>
      </c>
      <c r="G1296" s="1" t="str">
        <f t="shared" si="1450"/>
        <v>-</v>
      </c>
      <c r="H1296" s="1" t="str">
        <f t="shared" si="1450"/>
        <v>-</v>
      </c>
      <c r="I1296" s="1" t="str">
        <f t="shared" si="1450"/>
        <v>-</v>
      </c>
      <c r="J1296" s="1" t="str">
        <f t="shared" si="1450"/>
        <v>-</v>
      </c>
      <c r="K1296" s="1" t="str">
        <f t="shared" si="1450"/>
        <v>-</v>
      </c>
      <c r="L1296" s="1" t="str">
        <f t="shared" ref="L1296:O1296" si="1451">IFERROR(L1245/L1185,"-")</f>
        <v>-</v>
      </c>
      <c r="M1296" s="1" t="str">
        <f t="shared" si="1451"/>
        <v>-</v>
      </c>
      <c r="N1296" s="1" t="str">
        <f t="shared" si="1451"/>
        <v>-</v>
      </c>
      <c r="O1296" s="1" t="str">
        <f t="shared" si="1451"/>
        <v>-</v>
      </c>
      <c r="P1296" s="1" t="str">
        <f t="shared" ref="P1296:Q1314" si="1452">IFERROR(P1245/P1185,"-")</f>
        <v>-</v>
      </c>
      <c r="Q1296" s="1" t="str">
        <f t="shared" si="1452"/>
        <v>-</v>
      </c>
      <c r="S1296" s="3"/>
    </row>
    <row r="1297" spans="2:19" x14ac:dyDescent="0.5">
      <c r="B1297" s="5" t="str">
        <f t="shared" si="1406"/>
        <v>SPS1</v>
      </c>
      <c r="C1297" s="5" t="str">
        <f t="shared" si="1407"/>
        <v>CH</v>
      </c>
      <c r="D1297" t="s">
        <v>1211</v>
      </c>
      <c r="E1297" t="str">
        <f t="shared" si="1408"/>
        <v>km/MJ</v>
      </c>
      <c r="F1297" s="1">
        <f t="shared" si="1450"/>
        <v>0.41824117647058789</v>
      </c>
      <c r="G1297" s="1">
        <f t="shared" si="1450"/>
        <v>1.6975577484899478</v>
      </c>
      <c r="H1297" s="1">
        <f t="shared" si="1450"/>
        <v>1.6958661279714282</v>
      </c>
      <c r="I1297" s="1">
        <f t="shared" si="1450"/>
        <v>1.6930135859900868</v>
      </c>
      <c r="J1297" s="1">
        <f t="shared" si="1450"/>
        <v>0.95348541136628395</v>
      </c>
      <c r="K1297" s="1">
        <f t="shared" si="1450"/>
        <v>0.9341464328149065</v>
      </c>
      <c r="L1297" s="1">
        <f t="shared" ref="L1297:O1297" si="1453">IFERROR(L1246/L1186,"-")</f>
        <v>0.96798530305923658</v>
      </c>
      <c r="M1297" s="1">
        <f t="shared" si="1453"/>
        <v>1.005617979292684</v>
      </c>
      <c r="N1297" s="1">
        <f t="shared" si="1453"/>
        <v>1.0703488321662009</v>
      </c>
      <c r="O1297" s="1">
        <f t="shared" si="1453"/>
        <v>1.1779527140098434</v>
      </c>
      <c r="P1297" s="1">
        <f t="shared" si="1452"/>
        <v>1.1619948437873955</v>
      </c>
      <c r="Q1297" s="1">
        <f t="shared" si="1452"/>
        <v>1.1780912672385484</v>
      </c>
      <c r="S1297" s="3"/>
    </row>
    <row r="1298" spans="2:19" x14ac:dyDescent="0.5">
      <c r="B1298" s="5" t="str">
        <f t="shared" si="1406"/>
        <v>SPS1</v>
      </c>
      <c r="C1298" s="5" t="str">
        <f t="shared" si="1407"/>
        <v>CH</v>
      </c>
      <c r="D1298" t="s">
        <v>1212</v>
      </c>
      <c r="E1298" t="str">
        <f t="shared" si="1408"/>
        <v>km/MJ</v>
      </c>
      <c r="F1298" s="1">
        <f t="shared" si="1450"/>
        <v>1.1732512923830409</v>
      </c>
      <c r="G1298" s="1">
        <f t="shared" si="1450"/>
        <v>2.6805727220978395</v>
      </c>
      <c r="H1298" s="1">
        <f t="shared" si="1450"/>
        <v>2.4490482680000634</v>
      </c>
      <c r="I1298" s="1">
        <f t="shared" si="1450"/>
        <v>2.4331835323230009</v>
      </c>
      <c r="J1298" s="1">
        <f t="shared" si="1450"/>
        <v>2.2803084393114612</v>
      </c>
      <c r="K1298" s="1">
        <f t="shared" si="1450"/>
        <v>1.6348433876409818</v>
      </c>
      <c r="L1298" s="1">
        <f t="shared" ref="L1298:O1298" si="1454">IFERROR(L1247/L1187,"-")</f>
        <v>0.81457821988829282</v>
      </c>
      <c r="M1298" s="1">
        <f t="shared" si="1454"/>
        <v>0.84710438864192084</v>
      </c>
      <c r="N1298" s="1">
        <f t="shared" si="1454"/>
        <v>0.87313438024615997</v>
      </c>
      <c r="O1298" s="1">
        <f t="shared" si="1454"/>
        <v>0.96337551467159066</v>
      </c>
      <c r="P1298" s="1">
        <f t="shared" si="1452"/>
        <v>0.98510833996118607</v>
      </c>
      <c r="Q1298" s="1">
        <f t="shared" si="1452"/>
        <v>0.98522328450015939</v>
      </c>
      <c r="S1298" s="3"/>
    </row>
    <row r="1299" spans="2:19" x14ac:dyDescent="0.5">
      <c r="B1299" s="5" t="str">
        <f t="shared" si="1406"/>
        <v>SPS1</v>
      </c>
      <c r="C1299" s="5" t="str">
        <f t="shared" si="1407"/>
        <v>CH</v>
      </c>
      <c r="D1299" t="s">
        <v>1213</v>
      </c>
      <c r="E1299" t="str">
        <f t="shared" si="1408"/>
        <v>km/MJ</v>
      </c>
      <c r="F1299" s="1">
        <f t="shared" si="1450"/>
        <v>0.89859619058198326</v>
      </c>
      <c r="G1299" s="1">
        <f t="shared" si="1450"/>
        <v>1.1958703361983027</v>
      </c>
      <c r="H1299" s="1">
        <f t="shared" si="1450"/>
        <v>1.1916799515648795</v>
      </c>
      <c r="I1299" s="1">
        <f t="shared" si="1450"/>
        <v>1.2603169323339465</v>
      </c>
      <c r="J1299" s="1">
        <f t="shared" si="1450"/>
        <v>1.3922142816619636</v>
      </c>
      <c r="K1299" s="1">
        <f t="shared" si="1450"/>
        <v>0.71680548675083622</v>
      </c>
      <c r="L1299" s="1">
        <f t="shared" ref="L1299:O1299" si="1455">IFERROR(L1248/L1188,"-")</f>
        <v>0.73548120750248991</v>
      </c>
      <c r="M1299" s="1">
        <f t="shared" si="1455"/>
        <v>0.7749218836063565</v>
      </c>
      <c r="N1299" s="1">
        <f t="shared" si="1455"/>
        <v>0.80863783493242458</v>
      </c>
      <c r="O1299" s="1">
        <f t="shared" si="1455"/>
        <v>0.85441983240379726</v>
      </c>
      <c r="P1299" s="1">
        <f t="shared" si="1452"/>
        <v>0.87899888294259254</v>
      </c>
      <c r="Q1299" s="1">
        <f t="shared" si="1452"/>
        <v>0.88841028212408346</v>
      </c>
      <c r="S1299" s="3"/>
    </row>
    <row r="1300" spans="2:19" x14ac:dyDescent="0.5">
      <c r="B1300" s="5" t="str">
        <f t="shared" si="1406"/>
        <v>SPS1</v>
      </c>
      <c r="C1300" s="5" t="str">
        <f t="shared" si="1407"/>
        <v>CH</v>
      </c>
      <c r="D1300" t="s">
        <v>1214</v>
      </c>
      <c r="E1300" t="str">
        <f t="shared" si="1408"/>
        <v>km/MJ</v>
      </c>
      <c r="F1300" s="1">
        <f t="shared" si="1450"/>
        <v>1.3456208301326746</v>
      </c>
      <c r="G1300" s="1">
        <f t="shared" si="1450"/>
        <v>1.5785517454121718</v>
      </c>
      <c r="H1300" s="1">
        <f t="shared" si="1450"/>
        <v>1.5867861819040447</v>
      </c>
      <c r="I1300" s="1">
        <f t="shared" si="1450"/>
        <v>1.618540615986634</v>
      </c>
      <c r="J1300" s="1">
        <f t="shared" si="1450"/>
        <v>1.4985585106164043</v>
      </c>
      <c r="K1300" s="1">
        <f t="shared" si="1450"/>
        <v>0.70489827075610334</v>
      </c>
      <c r="L1300" s="1">
        <f t="shared" ref="L1300:O1300" si="1456">IFERROR(L1249/L1189,"-")</f>
        <v>0.74661118090340595</v>
      </c>
      <c r="M1300" s="1">
        <f t="shared" si="1456"/>
        <v>0.77933790392293556</v>
      </c>
      <c r="N1300" s="1">
        <f t="shared" si="1456"/>
        <v>0.78372265781758899</v>
      </c>
      <c r="O1300" s="1">
        <f t="shared" si="1456"/>
        <v>0.78737993345633506</v>
      </c>
      <c r="P1300" s="1">
        <f t="shared" si="1452"/>
        <v>0.79951043217898377</v>
      </c>
      <c r="Q1300" s="1">
        <f t="shared" si="1452"/>
        <v>0.86016064017115756</v>
      </c>
      <c r="S1300" s="3"/>
    </row>
    <row r="1301" spans="2:19" x14ac:dyDescent="0.5">
      <c r="B1301" s="5" t="str">
        <f t="shared" si="1406"/>
        <v>SPS1</v>
      </c>
      <c r="C1301" s="5" t="str">
        <f t="shared" si="1407"/>
        <v>CH</v>
      </c>
      <c r="D1301" t="s">
        <v>1215</v>
      </c>
      <c r="E1301" t="str">
        <f t="shared" si="1408"/>
        <v>km/MJ</v>
      </c>
      <c r="F1301" s="1">
        <f t="shared" si="1450"/>
        <v>0.33901850024086033</v>
      </c>
      <c r="G1301" s="1">
        <f t="shared" si="1450"/>
        <v>0.35391427166601075</v>
      </c>
      <c r="H1301" s="1">
        <f t="shared" si="1450"/>
        <v>0.37625792880373843</v>
      </c>
      <c r="I1301" s="1">
        <f t="shared" si="1450"/>
        <v>0.41349735736661491</v>
      </c>
      <c r="J1301" s="1" t="str">
        <f t="shared" si="1450"/>
        <v>-</v>
      </c>
      <c r="K1301" s="1" t="str">
        <f t="shared" si="1450"/>
        <v>-</v>
      </c>
      <c r="L1301" s="1" t="str">
        <f t="shared" ref="L1301:O1301" si="1457">IFERROR(L1250/L1190,"-")</f>
        <v>-</v>
      </c>
      <c r="M1301" s="1" t="str">
        <f t="shared" si="1457"/>
        <v>-</v>
      </c>
      <c r="N1301" s="1" t="str">
        <f t="shared" si="1457"/>
        <v>-</v>
      </c>
      <c r="O1301" s="1" t="str">
        <f t="shared" si="1457"/>
        <v>-</v>
      </c>
      <c r="P1301" s="1" t="str">
        <f t="shared" si="1452"/>
        <v>-</v>
      </c>
      <c r="Q1301" s="1" t="str">
        <f t="shared" si="1452"/>
        <v>-</v>
      </c>
      <c r="S1301" s="3"/>
    </row>
    <row r="1302" spans="2:19" x14ac:dyDescent="0.5">
      <c r="B1302" s="5" t="str">
        <f t="shared" si="1406"/>
        <v>SPS1</v>
      </c>
      <c r="C1302" s="5" t="str">
        <f t="shared" si="1407"/>
        <v>CH</v>
      </c>
      <c r="D1302" t="s">
        <v>1216</v>
      </c>
      <c r="E1302" t="str">
        <f t="shared" si="1408"/>
        <v>km/MJ</v>
      </c>
      <c r="F1302" s="1">
        <f t="shared" si="1450"/>
        <v>0.75035615346196227</v>
      </c>
      <c r="G1302" s="1">
        <f t="shared" si="1450"/>
        <v>0.77433381028015669</v>
      </c>
      <c r="H1302" s="1">
        <f t="shared" si="1450"/>
        <v>0.77955406806202421</v>
      </c>
      <c r="I1302" s="1">
        <f t="shared" si="1450"/>
        <v>0.76708575852367866</v>
      </c>
      <c r="J1302" s="1">
        <f t="shared" si="1450"/>
        <v>0.68003167206764648</v>
      </c>
      <c r="K1302" s="1">
        <f t="shared" si="1450"/>
        <v>0.69082233371274193</v>
      </c>
      <c r="L1302" s="1">
        <f t="shared" ref="L1302:O1302" si="1458">IFERROR(L1251/L1191,"-")</f>
        <v>0.69186845029300736</v>
      </c>
      <c r="M1302" s="1">
        <f t="shared" si="1458"/>
        <v>0.69406601904159904</v>
      </c>
      <c r="N1302" s="1">
        <f t="shared" si="1458"/>
        <v>0.70463013247764106</v>
      </c>
      <c r="O1302" s="1">
        <f t="shared" si="1458"/>
        <v>0.81493312278236141</v>
      </c>
      <c r="P1302" s="1">
        <f t="shared" si="1452"/>
        <v>0.8570849940229901</v>
      </c>
      <c r="Q1302" s="1">
        <f t="shared" si="1452"/>
        <v>0.88860234569962515</v>
      </c>
      <c r="S1302" s="3"/>
    </row>
    <row r="1303" spans="2:19" x14ac:dyDescent="0.5">
      <c r="B1303" s="5" t="str">
        <f t="shared" si="1406"/>
        <v>SPS1</v>
      </c>
      <c r="C1303" s="5" t="str">
        <f t="shared" si="1407"/>
        <v>CH</v>
      </c>
      <c r="D1303" t="s">
        <v>1217</v>
      </c>
      <c r="E1303" t="str">
        <f t="shared" si="1408"/>
        <v>km/MJ</v>
      </c>
      <c r="F1303" s="1">
        <f t="shared" si="1450"/>
        <v>0.69655617143305915</v>
      </c>
      <c r="G1303" s="1">
        <f t="shared" si="1450"/>
        <v>0.70376051373182813</v>
      </c>
      <c r="H1303" s="1">
        <f t="shared" si="1450"/>
        <v>0.70288162215904948</v>
      </c>
      <c r="I1303" s="1">
        <f t="shared" si="1450"/>
        <v>0.75654321093159982</v>
      </c>
      <c r="J1303" s="1">
        <f t="shared" si="1450"/>
        <v>0.80146988495928417</v>
      </c>
      <c r="K1303" s="1">
        <f t="shared" si="1450"/>
        <v>0.53837873695541349</v>
      </c>
      <c r="L1303" s="1">
        <f t="shared" ref="L1303:O1303" si="1459">IFERROR(L1252/L1192,"-")</f>
        <v>0.55206986028991223</v>
      </c>
      <c r="M1303" s="1">
        <f t="shared" si="1459"/>
        <v>0.59024871572842041</v>
      </c>
      <c r="N1303" s="1">
        <f t="shared" si="1459"/>
        <v>0.62274793447393861</v>
      </c>
      <c r="O1303" s="1">
        <f t="shared" si="1459"/>
        <v>0.65597055910070368</v>
      </c>
      <c r="P1303" s="1">
        <f t="shared" si="1452"/>
        <v>0.69016824299546375</v>
      </c>
      <c r="Q1303" s="1">
        <f t="shared" si="1452"/>
        <v>0.71532136114805545</v>
      </c>
      <c r="S1303" s="3"/>
    </row>
    <row r="1304" spans="2:19" x14ac:dyDescent="0.5">
      <c r="B1304" s="5" t="str">
        <f t="shared" si="1406"/>
        <v>SPS1</v>
      </c>
      <c r="C1304" s="5" t="str">
        <f t="shared" si="1407"/>
        <v>CH</v>
      </c>
      <c r="D1304" t="s">
        <v>1218</v>
      </c>
      <c r="E1304" t="str">
        <f t="shared" si="1408"/>
        <v>km/MJ</v>
      </c>
      <c r="F1304" s="1">
        <f t="shared" si="1450"/>
        <v>0.52795517713159634</v>
      </c>
      <c r="G1304" s="1">
        <f t="shared" si="1450"/>
        <v>0.53242404523138465</v>
      </c>
      <c r="H1304" s="1">
        <f t="shared" si="1450"/>
        <v>0.53195917591654718</v>
      </c>
      <c r="I1304" s="1">
        <f t="shared" si="1450"/>
        <v>0.54120758611355546</v>
      </c>
      <c r="J1304" s="1">
        <f t="shared" si="1450"/>
        <v>0.58981004692318495</v>
      </c>
      <c r="K1304" s="1">
        <f t="shared" si="1450"/>
        <v>0.49800069935815194</v>
      </c>
      <c r="L1304" s="1">
        <f t="shared" ref="L1304:O1304" si="1460">IFERROR(L1253/L1193,"-")</f>
        <v>0.51741941219090914</v>
      </c>
      <c r="M1304" s="1">
        <f t="shared" si="1460"/>
        <v>0.55849398244585124</v>
      </c>
      <c r="N1304" s="1">
        <f t="shared" si="1460"/>
        <v>0.58280148622566108</v>
      </c>
      <c r="O1304" s="1">
        <f t="shared" si="1460"/>
        <v>0.60676581267333018</v>
      </c>
      <c r="P1304" s="1">
        <f t="shared" si="1452"/>
        <v>0.63929445297937171</v>
      </c>
      <c r="Q1304" s="1">
        <f t="shared" si="1452"/>
        <v>0.66559693689600785</v>
      </c>
      <c r="S1304" s="3"/>
    </row>
    <row r="1305" spans="2:19" x14ac:dyDescent="0.5">
      <c r="B1305" s="5" t="str">
        <f t="shared" si="1406"/>
        <v>SPS1</v>
      </c>
      <c r="C1305" s="5" t="str">
        <f t="shared" si="1407"/>
        <v>CH</v>
      </c>
      <c r="D1305" t="s">
        <v>1219</v>
      </c>
      <c r="E1305" t="str">
        <f t="shared" si="1408"/>
        <v>km/MJ</v>
      </c>
      <c r="F1305" s="1">
        <f t="shared" si="1450"/>
        <v>0.46609833332989947</v>
      </c>
      <c r="G1305" s="1">
        <f t="shared" si="1450"/>
        <v>0.45574387794734628</v>
      </c>
      <c r="H1305" s="1">
        <f t="shared" si="1450"/>
        <v>0.45675615724106777</v>
      </c>
      <c r="I1305" s="1">
        <f t="shared" si="1450"/>
        <v>0.46358357178035159</v>
      </c>
      <c r="J1305" s="1">
        <f t="shared" si="1450"/>
        <v>0.39113051946282495</v>
      </c>
      <c r="K1305" s="1">
        <f t="shared" si="1450"/>
        <v>0.47048483365443583</v>
      </c>
      <c r="L1305" s="1">
        <f t="shared" ref="L1305:O1305" si="1461">IFERROR(L1254/L1194,"-")</f>
        <v>0.48953887084948799</v>
      </c>
      <c r="M1305" s="1">
        <f t="shared" si="1461"/>
        <v>0.52547591371648072</v>
      </c>
      <c r="N1305" s="1">
        <f t="shared" si="1461"/>
        <v>0.54704543947307616</v>
      </c>
      <c r="O1305" s="1">
        <f t="shared" si="1461"/>
        <v>0.56739356414830411</v>
      </c>
      <c r="P1305" s="1">
        <f t="shared" si="1452"/>
        <v>0.59597263931863886</v>
      </c>
      <c r="Q1305" s="1">
        <f t="shared" si="1452"/>
        <v>0.62137575245371335</v>
      </c>
      <c r="S1305" s="3"/>
    </row>
    <row r="1306" spans="2:19" x14ac:dyDescent="0.5">
      <c r="B1306" s="5" t="str">
        <f t="shared" si="1406"/>
        <v>SPS1</v>
      </c>
      <c r="C1306" s="5" t="str">
        <f t="shared" si="1407"/>
        <v>CH</v>
      </c>
      <c r="D1306" t="s">
        <v>1220</v>
      </c>
      <c r="E1306" t="str">
        <f t="shared" si="1408"/>
        <v>km/MJ</v>
      </c>
      <c r="F1306" s="1" t="str">
        <f t="shared" si="1450"/>
        <v>-</v>
      </c>
      <c r="G1306" s="1">
        <f t="shared" si="1450"/>
        <v>0.56203544748554635</v>
      </c>
      <c r="H1306" s="1">
        <f t="shared" si="1450"/>
        <v>0.59243711824971379</v>
      </c>
      <c r="I1306" s="1">
        <f t="shared" si="1450"/>
        <v>0.62573863948091579</v>
      </c>
      <c r="J1306" s="1">
        <f t="shared" si="1450"/>
        <v>0.63762534505003721</v>
      </c>
      <c r="K1306" s="1">
        <f t="shared" si="1450"/>
        <v>0.66971731276107638</v>
      </c>
      <c r="L1306" s="1">
        <f t="shared" ref="L1306:O1306" si="1462">IFERROR(L1255/L1195,"-")</f>
        <v>0.73419248423167816</v>
      </c>
      <c r="M1306" s="1">
        <f t="shared" si="1462"/>
        <v>0.76829099285071722</v>
      </c>
      <c r="N1306" s="1">
        <f t="shared" si="1462"/>
        <v>0.7774280358965947</v>
      </c>
      <c r="O1306" s="1">
        <f t="shared" si="1462"/>
        <v>0.92147122183258701</v>
      </c>
      <c r="P1306" s="1">
        <f t="shared" si="1452"/>
        <v>0.92147122183258812</v>
      </c>
      <c r="Q1306" s="1">
        <f t="shared" si="1452"/>
        <v>0.92147122183259011</v>
      </c>
      <c r="S1306" s="3"/>
    </row>
    <row r="1307" spans="2:19" x14ac:dyDescent="0.5">
      <c r="B1307" s="5" t="str">
        <f t="shared" si="1406"/>
        <v>SPS1</v>
      </c>
      <c r="C1307" s="5" t="str">
        <f t="shared" si="1407"/>
        <v>CH</v>
      </c>
      <c r="D1307" t="s">
        <v>1221</v>
      </c>
      <c r="E1307" t="str">
        <f t="shared" si="1408"/>
        <v>km/MJ</v>
      </c>
      <c r="F1307" s="1" t="str">
        <f t="shared" si="1450"/>
        <v>-</v>
      </c>
      <c r="G1307" s="1">
        <f t="shared" si="1450"/>
        <v>0.45210145766281479</v>
      </c>
      <c r="H1307" s="1">
        <f t="shared" si="1450"/>
        <v>0.47512088488440224</v>
      </c>
      <c r="I1307" s="1">
        <f t="shared" si="1450"/>
        <v>0.50067038432381572</v>
      </c>
      <c r="J1307" s="1">
        <f t="shared" si="1450"/>
        <v>0.55584848295167455</v>
      </c>
      <c r="K1307" s="1">
        <f t="shared" si="1450"/>
        <v>0.5836450915365704</v>
      </c>
      <c r="L1307" s="1">
        <f t="shared" ref="L1307:O1307" si="1463">IFERROR(L1256/L1196,"-")</f>
        <v>0.60849505416509619</v>
      </c>
      <c r="M1307" s="1">
        <f t="shared" si="1463"/>
        <v>0.6799510423728311</v>
      </c>
      <c r="N1307" s="1">
        <f t="shared" si="1463"/>
        <v>0.73409011395737489</v>
      </c>
      <c r="O1307" s="1">
        <f t="shared" si="1463"/>
        <v>0.76779013442836874</v>
      </c>
      <c r="P1307" s="1">
        <f t="shared" si="1452"/>
        <v>0.76779013442836863</v>
      </c>
      <c r="Q1307" s="1">
        <f t="shared" si="1452"/>
        <v>0.76779013442836885</v>
      </c>
      <c r="S1307" s="3"/>
    </row>
    <row r="1308" spans="2:19" x14ac:dyDescent="0.5">
      <c r="B1308" s="5" t="str">
        <f t="shared" si="1406"/>
        <v>SPS1</v>
      </c>
      <c r="C1308" s="5" t="str">
        <f t="shared" si="1407"/>
        <v>CH</v>
      </c>
      <c r="D1308" t="s">
        <v>1222</v>
      </c>
      <c r="E1308" t="str">
        <f t="shared" si="1408"/>
        <v>km/MJ</v>
      </c>
      <c r="F1308" s="1" t="str">
        <f t="shared" si="1450"/>
        <v>-</v>
      </c>
      <c r="G1308" s="1">
        <f t="shared" si="1450"/>
        <v>0.42028149632876888</v>
      </c>
      <c r="H1308" s="1">
        <f t="shared" si="1450"/>
        <v>0.43964275858798174</v>
      </c>
      <c r="I1308" s="1">
        <f t="shared" si="1450"/>
        <v>0.4639252087144658</v>
      </c>
      <c r="J1308" s="1">
        <f t="shared" si="1450"/>
        <v>0.53281625677649602</v>
      </c>
      <c r="K1308" s="1">
        <f t="shared" si="1450"/>
        <v>0.58442750265029197</v>
      </c>
      <c r="L1308" s="1">
        <f t="shared" ref="L1308:O1308" si="1464">IFERROR(L1257/L1197,"-")</f>
        <v>0.62348414792633133</v>
      </c>
      <c r="M1308" s="1">
        <f t="shared" si="1464"/>
        <v>0.652913024832669</v>
      </c>
      <c r="N1308" s="1">
        <f t="shared" si="1464"/>
        <v>0.69457188570175854</v>
      </c>
      <c r="O1308" s="1">
        <f t="shared" si="1464"/>
        <v>0.71787111222859401</v>
      </c>
      <c r="P1308" s="1">
        <f t="shared" si="1452"/>
        <v>0.71787111222859479</v>
      </c>
      <c r="Q1308" s="1">
        <f t="shared" si="1452"/>
        <v>0.71787111222859445</v>
      </c>
      <c r="S1308" s="3"/>
    </row>
    <row r="1309" spans="2:19" x14ac:dyDescent="0.5">
      <c r="B1309" s="5" t="str">
        <f t="shared" si="1406"/>
        <v>SPS1</v>
      </c>
      <c r="C1309" s="5" t="str">
        <f t="shared" si="1407"/>
        <v>CH</v>
      </c>
      <c r="D1309" t="s">
        <v>1223</v>
      </c>
      <c r="E1309" t="str">
        <f t="shared" si="1408"/>
        <v>km/MJ</v>
      </c>
      <c r="F1309" s="1" t="str">
        <f t="shared" si="1450"/>
        <v>-</v>
      </c>
      <c r="G1309" s="1">
        <f t="shared" si="1450"/>
        <v>0.39943403925494858</v>
      </c>
      <c r="H1309" s="1">
        <f t="shared" si="1450"/>
        <v>0.41477435269494123</v>
      </c>
      <c r="I1309" s="1">
        <f t="shared" si="1450"/>
        <v>0.43410525962966412</v>
      </c>
      <c r="J1309" s="1">
        <f t="shared" si="1450"/>
        <v>0.47782255138167129</v>
      </c>
      <c r="K1309" s="1">
        <f t="shared" si="1450"/>
        <v>0.53373511374199789</v>
      </c>
      <c r="L1309" s="1">
        <f t="shared" ref="L1309:O1309" si="1465">IFERROR(L1258/L1198,"-")</f>
        <v>0.57592365060313444</v>
      </c>
      <c r="M1309" s="1">
        <f t="shared" si="1465"/>
        <v>0.63563918681365317</v>
      </c>
      <c r="N1309" s="1">
        <f t="shared" si="1465"/>
        <v>0.66110504995880826</v>
      </c>
      <c r="O1309" s="1">
        <f t="shared" si="1465"/>
        <v>0.67280993410842949</v>
      </c>
      <c r="P1309" s="1">
        <f t="shared" si="1452"/>
        <v>0.67280993410843248</v>
      </c>
      <c r="Q1309" s="1">
        <f t="shared" si="1452"/>
        <v>0.67280993410843115</v>
      </c>
      <c r="S1309" s="3"/>
    </row>
    <row r="1310" spans="2:19" x14ac:dyDescent="0.5">
      <c r="B1310" s="5" t="str">
        <f t="shared" si="1406"/>
        <v>SPS1</v>
      </c>
      <c r="C1310" s="5" t="str">
        <f t="shared" si="1407"/>
        <v>CH</v>
      </c>
      <c r="D1310" t="s">
        <v>1224</v>
      </c>
      <c r="E1310" t="str">
        <f t="shared" si="1408"/>
        <v>km/MJ</v>
      </c>
      <c r="F1310" s="1" t="str">
        <f>IFERROR(F1259/F1208,"-")</f>
        <v>-</v>
      </c>
      <c r="G1310" s="1">
        <f t="shared" ref="G1310:K1314" si="1466">IFERROR(G1259/G1199,"-")</f>
        <v>0</v>
      </c>
      <c r="H1310" s="1">
        <f t="shared" si="1466"/>
        <v>0</v>
      </c>
      <c r="I1310" s="1">
        <f t="shared" si="1466"/>
        <v>0</v>
      </c>
      <c r="J1310" s="1">
        <f t="shared" si="1466"/>
        <v>0</v>
      </c>
      <c r="K1310" s="1">
        <f t="shared" si="1466"/>
        <v>0</v>
      </c>
      <c r="L1310" s="1">
        <f t="shared" ref="L1310:O1310" si="1467">IFERROR(L1259/L1199,"-")</f>
        <v>0</v>
      </c>
      <c r="M1310" s="1">
        <f t="shared" si="1467"/>
        <v>0</v>
      </c>
      <c r="N1310" s="1">
        <f t="shared" si="1467"/>
        <v>0</v>
      </c>
      <c r="O1310" s="1">
        <f t="shared" si="1467"/>
        <v>0</v>
      </c>
      <c r="P1310" s="1">
        <f t="shared" si="1452"/>
        <v>0</v>
      </c>
      <c r="Q1310" s="1">
        <f t="shared" si="1452"/>
        <v>0</v>
      </c>
      <c r="S1310" s="3"/>
    </row>
    <row r="1311" spans="2:19" x14ac:dyDescent="0.5">
      <c r="B1311" s="5" t="str">
        <f t="shared" si="1406"/>
        <v>SPS1</v>
      </c>
      <c r="C1311" s="5" t="str">
        <f t="shared" si="1407"/>
        <v>CH</v>
      </c>
      <c r="D1311" t="s">
        <v>1225</v>
      </c>
      <c r="E1311" t="str">
        <f t="shared" si="1408"/>
        <v>km/MJ</v>
      </c>
      <c r="F1311" s="1">
        <f>IFERROR(F1260/F1209,"-")</f>
        <v>0.61545793161565121</v>
      </c>
      <c r="G1311" s="1">
        <f t="shared" si="1466"/>
        <v>1.8120052642210358</v>
      </c>
      <c r="H1311" s="1">
        <f t="shared" si="1466"/>
        <v>0.38111851692119136</v>
      </c>
      <c r="I1311" s="1">
        <f t="shared" si="1466"/>
        <v>2.1386331859526615E-2</v>
      </c>
      <c r="J1311" s="1">
        <f t="shared" si="1466"/>
        <v>5.1379095950360313E-3</v>
      </c>
      <c r="K1311" s="1">
        <f t="shared" si="1466"/>
        <v>3.4442628372970212E-3</v>
      </c>
      <c r="L1311" s="1">
        <f t="shared" ref="L1311:O1311" si="1468">IFERROR(L1260/L1200,"-")</f>
        <v>4.2491548830380548E-3</v>
      </c>
      <c r="M1311" s="1">
        <f t="shared" si="1468"/>
        <v>5.8155879160483627E-3</v>
      </c>
      <c r="N1311" s="1">
        <f t="shared" si="1468"/>
        <v>8.5130186319865297E-3</v>
      </c>
      <c r="O1311" s="1">
        <f t="shared" si="1468"/>
        <v>1.7343452188323207E-2</v>
      </c>
      <c r="P1311" s="1">
        <f t="shared" si="1452"/>
        <v>6.1413342813974918E-2</v>
      </c>
      <c r="Q1311" s="1">
        <f t="shared" si="1452"/>
        <v>0.13418967617893313</v>
      </c>
      <c r="S1311" s="3"/>
    </row>
    <row r="1312" spans="2:19" x14ac:dyDescent="0.5">
      <c r="B1312" s="5" t="str">
        <f t="shared" si="1406"/>
        <v>SPS1</v>
      </c>
      <c r="C1312" s="5" t="str">
        <f t="shared" si="1407"/>
        <v>CH</v>
      </c>
      <c r="D1312" t="s">
        <v>1226</v>
      </c>
      <c r="E1312" t="str">
        <f t="shared" si="1408"/>
        <v>km/MJ</v>
      </c>
      <c r="F1312" s="1">
        <f>IFERROR(F1261/F1210,"-")</f>
        <v>0.66314598839787475</v>
      </c>
      <c r="G1312" s="1">
        <f t="shared" si="1466"/>
        <v>2.6136270509349573E-2</v>
      </c>
      <c r="H1312" s="1">
        <f t="shared" si="1466"/>
        <v>1.3009197281171564E-2</v>
      </c>
      <c r="I1312" s="1">
        <f t="shared" si="1466"/>
        <v>1.0148895643111065E-5</v>
      </c>
      <c r="J1312" s="1">
        <f t="shared" si="1466"/>
        <v>6.8671413186249536E-6</v>
      </c>
      <c r="K1312" s="1">
        <f t="shared" si="1466"/>
        <v>1.1561605342952622E-5</v>
      </c>
      <c r="L1312" s="1">
        <f t="shared" ref="L1312:O1312" si="1469">IFERROR(L1261/L1201,"-")</f>
        <v>2.3602269328034865E-5</v>
      </c>
      <c r="M1312" s="1">
        <f t="shared" si="1469"/>
        <v>3.5553914112663443E-5</v>
      </c>
      <c r="N1312" s="1">
        <f t="shared" si="1469"/>
        <v>6.044529972290327E-5</v>
      </c>
      <c r="O1312" s="1">
        <f t="shared" si="1469"/>
        <v>1.335135717363863E-4</v>
      </c>
      <c r="P1312" s="1">
        <f t="shared" si="1452"/>
        <v>9.904624978640795E-4</v>
      </c>
      <c r="Q1312" s="1">
        <f t="shared" si="1452"/>
        <v>0.19794033990869175</v>
      </c>
      <c r="S1312" s="3"/>
    </row>
    <row r="1313" spans="2:19" x14ac:dyDescent="0.5">
      <c r="B1313" s="5" t="str">
        <f t="shared" si="1406"/>
        <v>SPS1</v>
      </c>
      <c r="C1313" s="5" t="str">
        <f t="shared" si="1407"/>
        <v>CH</v>
      </c>
      <c r="D1313" t="s">
        <v>1227</v>
      </c>
      <c r="E1313" t="str">
        <f t="shared" si="1408"/>
        <v>km/MJ</v>
      </c>
      <c r="F1313" s="1">
        <f>IFERROR(F1262/F1211,"-")</f>
        <v>0.4680775348136294</v>
      </c>
      <c r="G1313" s="1">
        <f t="shared" si="1466"/>
        <v>8.6017198956013924E-2</v>
      </c>
      <c r="H1313" s="1">
        <f t="shared" si="1466"/>
        <v>0.10359632932016201</v>
      </c>
      <c r="I1313" s="1">
        <f t="shared" si="1466"/>
        <v>1.1828658735501459E-2</v>
      </c>
      <c r="J1313" s="1">
        <f t="shared" si="1466"/>
        <v>5.1610694111174993E-5</v>
      </c>
      <c r="K1313" s="1">
        <f t="shared" si="1466"/>
        <v>2.2301813452908496E-5</v>
      </c>
      <c r="L1313" s="1">
        <f t="shared" ref="L1313:O1313" si="1470">IFERROR(L1262/L1202,"-")</f>
        <v>2.6456209140213017E-5</v>
      </c>
      <c r="M1313" s="1">
        <f t="shared" si="1470"/>
        <v>4.6684690353139165E-5</v>
      </c>
      <c r="N1313" s="1">
        <f t="shared" si="1470"/>
        <v>4.7704715939448584E-5</v>
      </c>
      <c r="O1313" s="1">
        <f t="shared" si="1470"/>
        <v>4.077984980655764E-5</v>
      </c>
      <c r="P1313" s="1">
        <f t="shared" si="1452"/>
        <v>3.1319518698263482E-5</v>
      </c>
      <c r="Q1313" s="1">
        <f t="shared" si="1452"/>
        <v>3.2501036891802187E-5</v>
      </c>
      <c r="S1313" s="3"/>
    </row>
    <row r="1314" spans="2:19" x14ac:dyDescent="0.5">
      <c r="B1314" s="5" t="str">
        <f t="shared" si="1406"/>
        <v>SPS1</v>
      </c>
      <c r="C1314" s="5" t="str">
        <f t="shared" si="1407"/>
        <v>CH</v>
      </c>
      <c r="D1314" t="s">
        <v>1228</v>
      </c>
      <c r="E1314" t="str">
        <f t="shared" si="1408"/>
        <v>km/MJ</v>
      </c>
      <c r="F1314" s="1">
        <f>IFERROR(F1263/F1212,"-")</f>
        <v>0.6826928551124325</v>
      </c>
      <c r="G1314" s="1">
        <f t="shared" si="1466"/>
        <v>0.37540557620117254</v>
      </c>
      <c r="H1314" s="1">
        <f t="shared" si="1466"/>
        <v>0.31350650391464241</v>
      </c>
      <c r="I1314" s="1">
        <f t="shared" si="1466"/>
        <v>4.551123607366412E-2</v>
      </c>
      <c r="J1314" s="1">
        <f t="shared" si="1466"/>
        <v>0.12752200387842158</v>
      </c>
      <c r="K1314" s="1">
        <f t="shared" si="1466"/>
        <v>0.16034813156722713</v>
      </c>
      <c r="L1314" s="1">
        <f t="shared" ref="L1314:O1314" si="1471">IFERROR(L1263/L1203,"-")</f>
        <v>0.16786023974988856</v>
      </c>
      <c r="M1314" s="1">
        <f t="shared" si="1471"/>
        <v>0.18395708234131108</v>
      </c>
      <c r="N1314" s="1">
        <f t="shared" si="1471"/>
        <v>0.20293960059690758</v>
      </c>
      <c r="O1314" s="1">
        <f t="shared" si="1471"/>
        <v>0.20723619210363478</v>
      </c>
      <c r="P1314" s="1">
        <f t="shared" si="1452"/>
        <v>0.20333668580785244</v>
      </c>
      <c r="Q1314" s="1">
        <f t="shared" si="1452"/>
        <v>0.20324169404580411</v>
      </c>
      <c r="S1314" s="3"/>
    </row>
    <row r="1315" spans="2:19" x14ac:dyDescent="0.5">
      <c r="B1315" s="9" t="str">
        <f t="shared" ref="B1315" si="1472">B1314</f>
        <v>SPS1</v>
      </c>
      <c r="C1315" s="9" t="str">
        <f t="shared" ref="C1315" si="1473">C1314</f>
        <v>CH</v>
      </c>
      <c r="D1315" s="2" t="s">
        <v>1304</v>
      </c>
      <c r="E1315" s="2" t="s">
        <v>8</v>
      </c>
      <c r="F1315" s="3">
        <f>F1316+F1322+F1327+F1341</f>
        <v>0.7665770488739263</v>
      </c>
      <c r="G1315" s="3">
        <f t="shared" ref="G1315:K1315" si="1474">G1316+G1322+G1327+G1341</f>
        <v>1.3468282078611282</v>
      </c>
      <c r="H1315" s="3">
        <f t="shared" si="1474"/>
        <v>2.2044833678897051</v>
      </c>
      <c r="I1315" s="3">
        <f t="shared" si="1474"/>
        <v>1.6828287321631072</v>
      </c>
      <c r="J1315" s="3">
        <f t="shared" si="1474"/>
        <v>1.7093409873591616</v>
      </c>
      <c r="K1315" s="3">
        <f t="shared" si="1474"/>
        <v>1.7801811013703266</v>
      </c>
      <c r="L1315" s="3">
        <f t="shared" ref="L1315:O1315" si="1475">L1316+L1322+L1327+L1341</f>
        <v>1.8164959542182546</v>
      </c>
      <c r="M1315" s="3">
        <f t="shared" si="1475"/>
        <v>1.8431769847846464</v>
      </c>
      <c r="N1315" s="3">
        <f t="shared" si="1475"/>
        <v>1.9077942174392519</v>
      </c>
      <c r="O1315" s="3">
        <f t="shared" si="1475"/>
        <v>1.9928305916697451</v>
      </c>
      <c r="P1315" s="3">
        <f>P1316+P1322+P1327+P1341</f>
        <v>1.9714843816977459</v>
      </c>
      <c r="Q1315" s="3">
        <f>Q1316+Q1322+Q1327+Q1341</f>
        <v>1.9750335955492335</v>
      </c>
      <c r="S1315" s="3"/>
    </row>
    <row r="1316" spans="2:19" x14ac:dyDescent="0.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5.1830367204962671E-3</v>
      </c>
      <c r="G1316" s="1">
        <f t="shared" ref="G1316:K1316" si="1476">SUM(G1317:G1321)</f>
        <v>6.2981412171770673E-3</v>
      </c>
      <c r="H1316" s="1">
        <f t="shared" si="1476"/>
        <v>8.6634863550315664E-3</v>
      </c>
      <c r="I1316" s="1">
        <f t="shared" si="1476"/>
        <v>0.85265230334666409</v>
      </c>
      <c r="J1316" s="1">
        <f t="shared" si="1476"/>
        <v>0.82314709960745147</v>
      </c>
      <c r="K1316" s="1">
        <f t="shared" si="1476"/>
        <v>0.7776300506922974</v>
      </c>
      <c r="L1316" s="1">
        <f t="shared" ref="L1316:O1316" si="1477">SUM(L1317:L1321)</f>
        <v>0.73239160234357414</v>
      </c>
      <c r="M1316" s="1">
        <f t="shared" si="1477"/>
        <v>0.6635854210928338</v>
      </c>
      <c r="N1316" s="1">
        <f t="shared" si="1477"/>
        <v>0.63987260734906126</v>
      </c>
      <c r="O1316" s="1">
        <f t="shared" si="1477"/>
        <v>0.62652872320020625</v>
      </c>
      <c r="P1316" s="1">
        <f>SUM(P1317:P1321)</f>
        <v>0.70385305954086541</v>
      </c>
      <c r="Q1316" s="1">
        <f>SUM(Q1317:Q1321)</f>
        <v>0.77329779255759701</v>
      </c>
      <c r="S1316" s="3"/>
    </row>
    <row r="1317" spans="2:19" x14ac:dyDescent="0.5">
      <c r="B1317" s="5" t="str">
        <f t="shared" ref="B1317:B1350" si="1478">B1316</f>
        <v>SPS1</v>
      </c>
      <c r="C1317" s="5" t="str">
        <f t="shared" ref="C1317:C1350" si="1479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3.7784888151781905E-4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4.759243755299141E-4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4.6749858231236467E-4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SUMPRODUCT(("T_B_u-BeVELCEXT"=[1]OUT_TransportEnergyCons!$A$3:$A$1000)*1,("Var_Fin"=[1]OUT_TransportEnergyCons!$B$3:$B$1000)*1,ISNUMBER(SEARCH("ELC",[1]OUT_TransportEnergyCons!$C$3:$C$1000))*1,[1]OUT_TransportEnergyCons!H$3:H$1000)</f>
        <v>0</v>
      </c>
      <c r="K1317" s="1" cm="1">
        <f t="array" ref="K1317">SUMPRODUCT(("T_B_u-BeVELCEXT"=[1]OUT_TransportEnergyCons!$A$3:$A$1000)*1,("Var_Fin"=[1]OUT_TransportEnergyCons!$B$3:$B$1000)*1,ISNUMBER(SEARCH("ELC",[1]OUT_TransportEnergyCons!$C$3:$C$1000))*1,[1]OUT_TransportEnergyCons!I$3:I$1000)</f>
        <v>0</v>
      </c>
      <c r="L1317" s="1" cm="1">
        <f t="array" ref="L1317">SUMPRODUCT(("T_B_u-BeVELCEXT"=[1]OUT_TransportEnergyCons!$A$3:$A$1000)*1,("Var_Fin"=[1]OUT_TransportEnergyCons!$B$3:$B$1000)*1,ISNUMBER(SEARCH("ELC",[1]OUT_TransportEnergyCons!$C$3:$C$1000))*1,[1]OUT_TransportEnergyCons!J$3:J$1000)</f>
        <v>0</v>
      </c>
      <c r="M1317" s="1" cm="1">
        <f t="array" ref="M1317">SUMPRODUCT(("T_B_u-BeVELCEXT"=[1]OUT_TransportEnergyCons!$A$3:$A$1000)*1,("Var_Fin"=[1]OUT_TransportEnergyCons!$B$3:$B$1000)*1,ISNUMBER(SEARCH("ELC",[1]OUT_TransportEnergyCons!$C$3:$C$1000))*1,[1]OUT_TransportEnergyCons!K$3:K$1000)</f>
        <v>0</v>
      </c>
      <c r="N1317" s="1" cm="1">
        <f t="array" ref="N1317">SUMPRODUCT(("T_B_u-BeVELCEXT"=[1]OUT_TransportEnergyCons!$A$3:$A$1000)*1,("Var_Fin"=[1]OUT_TransportEnergyCons!$B$3:$B$1000)*1,ISNUMBER(SEARCH("ELC",[1]OUT_TransportEnergyCons!$C$3:$C$1000))*1,[1]OUT_TransportEnergyCons!L$3:L$1000)</f>
        <v>0</v>
      </c>
      <c r="O1317" s="1" cm="1">
        <f t="array" ref="O1317">SUMPRODUCT(("T_B_u-BeVELCEXT"=[1]OUT_TransportEnergyCons!$A$3:$A$1000)*1,("Var_Fin"=[1]OUT_TransportEnergyCons!$B$3:$B$1000)*1,ISNUMBER(SEARCH("ELC",[1]OUT_TransportEnergyCons!$C$3:$C$1000))*1,[1]OUT_TransportEnergyCons!M$3:M$1000)</f>
        <v>0</v>
      </c>
      <c r="P1317" s="1" cm="1">
        <f t="array" ref="P1317">SUMPRODUCT(("T_B_u-BeVELCEXT"=[1]OUT_TransportEnergyCons!$A$3:$A$1000)*1,("Var_Fin"=[1]OUT_TransportEnergyCons!$B$3:$B$1000)*1,ISNUMBER(SEARCH("ELC",[1]OUT_TransportEnergyCons!$C$3:$C$1000))*1,[1]OUT_TransportEnergyCons!N$3:N$1000)</f>
        <v>0</v>
      </c>
      <c r="Q1317" s="1" cm="1">
        <f t="array" ref="Q1317">SUMPRODUCT(("T_B_u-BeVELCEXT"=[1]OUT_TransportEnergyCons!$A$3:$A$1000)*1,("Var_Fin"=[1]OUT_TransportEnergyCons!$B$3:$B$1000)*1,ISNUMBER(SEARCH("ELC",[1]OUT_TransportEnergyCons!$C$3:$C$1000))*1,[1]OUT_TransportEnergyCons!O$3:O$1000)</f>
        <v>0</v>
      </c>
      <c r="S1317" s="3"/>
    </row>
    <row r="1318" spans="2:19" x14ac:dyDescent="0.5">
      <c r="B1318" s="5" t="str">
        <f t="shared" si="1478"/>
        <v>SPS1</v>
      </c>
      <c r="C1318" s="5" t="str">
        <f t="shared" si="1479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4.7995166263384963E-7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7.1915730850741232E-4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1.5731419540677216E-3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0.24659033806442171</v>
      </c>
      <c r="J1318" s="1" cm="1">
        <f t="array" ref="J1318">SUMPRODUCT(("T_B_u-BEVELC-S1"=[1]OUT_TransportEnergyCons!$A$3:$A$1000)*1,("Var_Fin"=[1]OUT_TransportEnergyCons!$B$3:$B$1000)*1,ISNUMBER(SEARCH("ELC",[1]OUT_TransportEnergyCons!$C$3:$C$1000))*1,[1]OUT_TransportEnergyCons!H$3:H$1000)</f>
        <v>0.24422697495435602</v>
      </c>
      <c r="K1318" s="1" cm="1">
        <f t="array" ref="K1318">SUMPRODUCT(("T_B_u-BEVELC-S1"=[1]OUT_TransportEnergyCons!$A$3:$A$1000)*1,("Var_Fin"=[1]OUT_TransportEnergyCons!$B$3:$B$1000)*1,ISNUMBER(SEARCH("ELC",[1]OUT_TransportEnergyCons!$C$3:$C$1000))*1,[1]OUT_TransportEnergyCons!I$3:I$1000)</f>
        <v>0.25388597931343265</v>
      </c>
      <c r="L1318" s="1" cm="1">
        <f t="array" ref="L1318">SUMPRODUCT(("T_B_u-BEVELC-S1"=[1]OUT_TransportEnergyCons!$A$3:$A$1000)*1,("Var_Fin"=[1]OUT_TransportEnergyCons!$B$3:$B$1000)*1,ISNUMBER(SEARCH("ELC",[1]OUT_TransportEnergyCons!$C$3:$C$1000))*1,[1]OUT_TransportEnergyCons!J$3:J$1000)</f>
        <v>0.24894865354555851</v>
      </c>
      <c r="M1318" s="1" cm="1">
        <f t="array" ref="M1318">SUMPRODUCT(("T_B_u-BEVELC-S1"=[1]OUT_TransportEnergyCons!$A$3:$A$1000)*1,("Var_Fin"=[1]OUT_TransportEnergyCons!$B$3:$B$1000)*1,ISNUMBER(SEARCH("ELC",[1]OUT_TransportEnergyCons!$C$3:$C$1000))*1,[1]OUT_TransportEnergyCons!K$3:K$1000)</f>
        <v>0.23949042265176931</v>
      </c>
      <c r="N1318" s="1" cm="1">
        <f t="array" ref="N1318">SUMPRODUCT(("T_B_u-BEVELC-S1"=[1]OUT_TransportEnergyCons!$A$3:$A$1000)*1,("Var_Fin"=[1]OUT_TransportEnergyCons!$B$3:$B$1000)*1,ISNUMBER(SEARCH("ELC",[1]OUT_TransportEnergyCons!$C$3:$C$1000))*1,[1]OUT_TransportEnergyCons!L$3:L$1000)</f>
        <v>0.24181827945787668</v>
      </c>
      <c r="O1318" s="1" cm="1">
        <f t="array" ref="O1318">SUMPRODUCT(("T_B_u-BEVELC-S1"=[1]OUT_TransportEnergyCons!$A$3:$A$1000)*1,("Var_Fin"=[1]OUT_TransportEnergyCons!$B$3:$B$1000)*1,ISNUMBER(SEARCH("ELC",[1]OUT_TransportEnergyCons!$C$3:$C$1000))*1,[1]OUT_TransportEnergyCons!M$3:M$1000)</f>
        <v>0.23844545926032931</v>
      </c>
      <c r="P1318" s="1" cm="1">
        <f t="array" ref="P1318">SUMPRODUCT(("T_B_u-BEVELC-S1"=[1]OUT_TransportEnergyCons!$A$3:$A$1000)*1,("Var_Fin"=[1]OUT_TransportEnergyCons!$B$3:$B$1000)*1,ISNUMBER(SEARCH("ELC",[1]OUT_TransportEnergyCons!$C$3:$C$1000))*1,[1]OUT_TransportEnergyCons!N$3:N$1000)</f>
        <v>0.16036907379547644</v>
      </c>
      <c r="Q1318" s="1" cm="1">
        <f t="array" ref="Q1318">SUMPRODUCT(("T_B_u-BEVELC-S1"=[1]OUT_TransportEnergyCons!$A$3:$A$1000)*1,("Var_Fin"=[1]OUT_TransportEnergyCons!$B$3:$B$1000)*1,ISNUMBER(SEARCH("ELC",[1]OUT_TransportEnergyCons!$C$3:$C$1000))*1,[1]OUT_TransportEnergyCons!O$3:O$1000)</f>
        <v>0.12732448317835479</v>
      </c>
      <c r="S1318" s="3"/>
    </row>
    <row r="1319" spans="2:19" x14ac:dyDescent="0.5">
      <c r="B1319" s="5" t="str">
        <f t="shared" si="1478"/>
        <v>SPS1</v>
      </c>
      <c r="C1319" s="5" t="str">
        <f t="shared" si="1479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1.0525300342997487E-3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1.677119112618537E-3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2.5826025212509016E-3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0.12274467262882142</v>
      </c>
      <c r="J1319" s="1" cm="1">
        <f t="array" ref="J1319">SUMPRODUCT(("T_B_u-BEVELC-S2"=[1]OUT_TransportEnergyCons!$A$3:$A$1000)*1,("Var_Fin"=[1]OUT_TransportEnergyCons!$B$3:$B$1000)*1,ISNUMBER(SEARCH("ELC",[1]OUT_TransportEnergyCons!$C$3:$C$1000))*1,[1]OUT_TransportEnergyCons!H$3:H$1000)</f>
        <v>0.1220769398501293</v>
      </c>
      <c r="K1319" s="1" cm="1">
        <f t="array" ref="K1319">SUMPRODUCT(("T_B_u-BEVELC-S2"=[1]OUT_TransportEnergyCons!$A$3:$A$1000)*1,("Var_Fin"=[1]OUT_TransportEnergyCons!$B$3:$B$1000)*1,ISNUMBER(SEARCH("ELC",[1]OUT_TransportEnergyCons!$C$3:$C$1000))*1,[1]OUT_TransportEnergyCons!I$3:I$1000)</f>
        <v>0.12574907858652326</v>
      </c>
      <c r="L1319" s="1" cm="1">
        <f t="array" ref="L1319">SUMPRODUCT(("T_B_u-BEVELC-S2"=[1]OUT_TransportEnergyCons!$A$3:$A$1000)*1,("Var_Fin"=[1]OUT_TransportEnergyCons!$B$3:$B$1000)*1,ISNUMBER(SEARCH("ELC",[1]OUT_TransportEnergyCons!$C$3:$C$1000))*1,[1]OUT_TransportEnergyCons!J$3:J$1000)</f>
        <v>0.12465947981913175</v>
      </c>
      <c r="M1319" s="1" cm="1">
        <f t="array" ref="M1319">SUMPRODUCT(("T_B_u-BEVELC-S2"=[1]OUT_TransportEnergyCons!$A$3:$A$1000)*1,("Var_Fin"=[1]OUT_TransportEnergyCons!$B$3:$B$1000)*1,ISNUMBER(SEARCH("ELC",[1]OUT_TransportEnergyCons!$C$3:$C$1000))*1,[1]OUT_TransportEnergyCons!K$3:K$1000)</f>
        <v>0.11974206471665486</v>
      </c>
      <c r="N1319" s="1" cm="1">
        <f t="array" ref="N1319">SUMPRODUCT(("T_B_u-BEVELC-S2"=[1]OUT_TransportEnergyCons!$A$3:$A$1000)*1,("Var_Fin"=[1]OUT_TransportEnergyCons!$B$3:$B$1000)*1,ISNUMBER(SEARCH("ELC",[1]OUT_TransportEnergyCons!$C$3:$C$1000))*1,[1]OUT_TransportEnergyCons!L$3:L$1000)</f>
        <v>0.12081205080431744</v>
      </c>
      <c r="O1319" s="1" cm="1">
        <f t="array" ref="O1319">SUMPRODUCT(("T_B_u-BEVELC-S2"=[1]OUT_TransportEnergyCons!$A$3:$A$1000)*1,("Var_Fin"=[1]OUT_TransportEnergyCons!$B$3:$B$1000)*1,ISNUMBER(SEARCH("ELC",[1]OUT_TransportEnergyCons!$C$3:$C$1000))*1,[1]OUT_TransportEnergyCons!M$3:M$1000)</f>
        <v>0.12232714811064621</v>
      </c>
      <c r="P1319" s="1" cm="1">
        <f t="array" ref="P1319">SUMPRODUCT(("T_B_u-BEVELC-S2"=[1]OUT_TransportEnergyCons!$A$3:$A$1000)*1,("Var_Fin"=[1]OUT_TransportEnergyCons!$B$3:$B$1000)*1,ISNUMBER(SEARCH("ELC",[1]OUT_TransportEnergyCons!$C$3:$C$1000))*1,[1]OUT_TransportEnergyCons!N$3:N$1000)</f>
        <v>0.12528182844574032</v>
      </c>
      <c r="Q1319" s="1" cm="1">
        <f t="array" ref="Q1319">SUMPRODUCT(("T_B_u-BEVELC-S2"=[1]OUT_TransportEnergyCons!$A$3:$A$1000)*1,("Var_Fin"=[1]OUT_TransportEnergyCons!$B$3:$B$1000)*1,ISNUMBER(SEARCH("ELC",[1]OUT_TransportEnergyCons!$C$3:$C$1000))*1,[1]OUT_TransportEnergyCons!O$3:O$1000)</f>
        <v>0.12542853223025668</v>
      </c>
      <c r="S1319" s="3"/>
    </row>
    <row r="1320" spans="2:19" x14ac:dyDescent="0.5">
      <c r="B1320" s="5" t="str">
        <f t="shared" si="1478"/>
        <v>SPS1</v>
      </c>
      <c r="C1320" s="5" t="str">
        <f t="shared" si="1479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3.4763350682031104E-3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3.2238036737468846E-3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3.6903595455262633E-3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0.48322440385108112</v>
      </c>
      <c r="J1320" s="1" cm="1">
        <f t="array" ref="J1320">SUMPRODUCT(("T_B_u-BEVELC-S3"=[1]OUT_TransportEnergyCons!$A$3:$A$1000)*1,("Var_Fin"=[1]OUT_TransportEnergyCons!$B$3:$B$1000)*1,ISNUMBER(SEARCH("ELC",[1]OUT_TransportEnergyCons!$C$3:$C$1000))*1,[1]OUT_TransportEnergyCons!H$3:H$1000)</f>
        <v>0.45672746932338892</v>
      </c>
      <c r="K1320" s="1" cm="1">
        <f t="array" ref="K1320">SUMPRODUCT(("T_B_u-BEVELC-S3"=[1]OUT_TransportEnergyCons!$A$3:$A$1000)*1,("Var_Fin"=[1]OUT_TransportEnergyCons!$B$3:$B$1000)*1,ISNUMBER(SEARCH("ELC",[1]OUT_TransportEnergyCons!$C$3:$C$1000))*1,[1]OUT_TransportEnergyCons!I$3:I$1000)</f>
        <v>0.39783254045753863</v>
      </c>
      <c r="L1320" s="1" cm="1">
        <f t="array" ref="L1320">SUMPRODUCT(("T_B_u-BEVELC-S3"=[1]OUT_TransportEnergyCons!$A$3:$A$1000)*1,("Var_Fin"=[1]OUT_TransportEnergyCons!$B$3:$B$1000)*1,ISNUMBER(SEARCH("ELC",[1]OUT_TransportEnergyCons!$C$3:$C$1000))*1,[1]OUT_TransportEnergyCons!J$3:J$1000)</f>
        <v>0.35861784394792356</v>
      </c>
      <c r="M1320" s="1" cm="1">
        <f t="array" ref="M1320">SUMPRODUCT(("T_B_u-BEVELC-S3"=[1]OUT_TransportEnergyCons!$A$3:$A$1000)*1,("Var_Fin"=[1]OUT_TransportEnergyCons!$B$3:$B$1000)*1,ISNUMBER(SEARCH("ELC",[1]OUT_TransportEnergyCons!$C$3:$C$1000))*1,[1]OUT_TransportEnergyCons!K$3:K$1000)</f>
        <v>0.30406190942670974</v>
      </c>
      <c r="N1320" s="1" cm="1">
        <f t="array" ref="N1320">SUMPRODUCT(("T_B_u-BEVELC-S3"=[1]OUT_TransportEnergyCons!$A$3:$A$1000)*1,("Var_Fin"=[1]OUT_TransportEnergyCons!$B$3:$B$1000)*1,ISNUMBER(SEARCH("ELC",[1]OUT_TransportEnergyCons!$C$3:$C$1000))*1,[1]OUT_TransportEnergyCons!L$3:L$1000)</f>
        <v>0.27703559351597634</v>
      </c>
      <c r="O1320" s="1" cm="1">
        <f t="array" ref="O1320">SUMPRODUCT(("T_B_u-BEVELC-S3"=[1]OUT_TransportEnergyCons!$A$3:$A$1000)*1,("Var_Fin"=[1]OUT_TransportEnergyCons!$B$3:$B$1000)*1,ISNUMBER(SEARCH("ELC",[1]OUT_TransportEnergyCons!$C$3:$C$1000))*1,[1]OUT_TransportEnergyCons!M$3:M$1000)</f>
        <v>0.26550304241542549</v>
      </c>
      <c r="P1320" s="1" cm="1">
        <f t="array" ref="P1320">SUMPRODUCT(("T_B_u-BEVELC-S3"=[1]OUT_TransportEnergyCons!$A$3:$A$1000)*1,("Var_Fin"=[1]OUT_TransportEnergyCons!$B$3:$B$1000)*1,ISNUMBER(SEARCH("ELC",[1]OUT_TransportEnergyCons!$C$3:$C$1000))*1,[1]OUT_TransportEnergyCons!N$3:N$1000)</f>
        <v>0.41792733877979993</v>
      </c>
      <c r="Q1320" s="1" cm="1">
        <f t="array" ref="Q1320">SUMPRODUCT(("T_B_u-BEVELC-S3"=[1]OUT_TransportEnergyCons!$A$3:$A$1000)*1,("Var_Fin"=[1]OUT_TransportEnergyCons!$B$3:$B$1000)*1,ISNUMBER(SEARCH("ELC",[1]OUT_TransportEnergyCons!$C$3:$C$1000))*1,[1]OUT_TransportEnergyCons!O$3:O$1000)</f>
        <v>0.52010308923888449</v>
      </c>
      <c r="S1320" s="3"/>
    </row>
    <row r="1321" spans="2:19" x14ac:dyDescent="0.5">
      <c r="B1321" s="5" t="str">
        <f t="shared" si="1478"/>
        <v>SPS1</v>
      </c>
      <c r="C1321" s="5" t="str">
        <f t="shared" si="1479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2.7584278481295534E-4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2.0213674677431933E-4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3.4988375187431487E-4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9.2888802339843662E-5</v>
      </c>
      <c r="J1321" s="1" cm="1">
        <f t="array" ref="J1321">SUMPRODUCT(("T_B_u-BEVELC-S4"=[1]OUT_TransportEnergyCons!$A$3:$A$1000)*1,("Var_Fin"=[1]OUT_TransportEnergyCons!$B$3:$B$1000)*1,ISNUMBER(SEARCH("ELC",[1]OUT_TransportEnergyCons!$C$3:$C$1000))*1,[1]OUT_TransportEnergyCons!H$3:H$1000)</f>
        <v>1.1571547957719062E-4</v>
      </c>
      <c r="K1321" s="1" cm="1">
        <f t="array" ref="K1321">SUMPRODUCT(("T_B_u-BEVELC-S4"=[1]OUT_TransportEnergyCons!$A$3:$A$1000)*1,("Var_Fin"=[1]OUT_TransportEnergyCons!$B$3:$B$1000)*1,ISNUMBER(SEARCH("ELC",[1]OUT_TransportEnergyCons!$C$3:$C$1000))*1,[1]OUT_TransportEnergyCons!I$3:I$1000)</f>
        <v>1.6245233480287317E-4</v>
      </c>
      <c r="L1321" s="1" cm="1">
        <f t="array" ref="L1321">SUMPRODUCT(("T_B_u-BEVELC-S4"=[1]OUT_TransportEnergyCons!$A$3:$A$1000)*1,("Var_Fin"=[1]OUT_TransportEnergyCons!$B$3:$B$1000)*1,ISNUMBER(SEARCH("ELC",[1]OUT_TransportEnergyCons!$C$3:$C$1000))*1,[1]OUT_TransportEnergyCons!J$3:J$1000)</f>
        <v>1.656250309602991E-4</v>
      </c>
      <c r="M1321" s="1" cm="1">
        <f t="array" ref="M1321">SUMPRODUCT(("T_B_u-BEVELC-S4"=[1]OUT_TransportEnergyCons!$A$3:$A$1000)*1,("Var_Fin"=[1]OUT_TransportEnergyCons!$B$3:$B$1000)*1,ISNUMBER(SEARCH("ELC",[1]OUT_TransportEnergyCons!$C$3:$C$1000))*1,[1]OUT_TransportEnergyCons!K$3:K$1000)</f>
        <v>2.9102429769989243E-4</v>
      </c>
      <c r="N1321" s="1" cm="1">
        <f t="array" ref="N1321">SUMPRODUCT(("T_B_u-BEVELC-S4"=[1]OUT_TransportEnergyCons!$A$3:$A$1000)*1,("Var_Fin"=[1]OUT_TransportEnergyCons!$B$3:$B$1000)*1,ISNUMBER(SEARCH("ELC",[1]OUT_TransportEnergyCons!$C$3:$C$1000))*1,[1]OUT_TransportEnergyCons!L$3:L$1000)</f>
        <v>2.0668357089081437E-4</v>
      </c>
      <c r="O1321" s="1" cm="1">
        <f t="array" ref="O1321">SUMPRODUCT(("T_B_u-BEVELC-S4"=[1]OUT_TransportEnergyCons!$A$3:$A$1000)*1,("Var_Fin"=[1]OUT_TransportEnergyCons!$B$3:$B$1000)*1,ISNUMBER(SEARCH("ELC",[1]OUT_TransportEnergyCons!$C$3:$C$1000))*1,[1]OUT_TransportEnergyCons!M$3:M$1000)</f>
        <v>2.5307341380521805E-4</v>
      </c>
      <c r="P1321" s="1" cm="1">
        <f t="array" ref="P1321">SUMPRODUCT(("T_B_u-BEVELC-S4"=[1]OUT_TransportEnergyCons!$A$3:$A$1000)*1,("Var_Fin"=[1]OUT_TransportEnergyCons!$B$3:$B$1000)*1,ISNUMBER(SEARCH("ELC",[1]OUT_TransportEnergyCons!$C$3:$C$1000))*1,[1]OUT_TransportEnergyCons!N$3:N$1000)</f>
        <v>2.7481851984863346E-4</v>
      </c>
      <c r="Q1321" s="1" cm="1">
        <f t="array" ref="Q1321">SUMPRODUCT(("T_B_u-BEVELC-S4"=[1]OUT_TransportEnergyCons!$A$3:$A$1000)*1,("Var_Fin"=[1]OUT_TransportEnergyCons!$B$3:$B$1000)*1,ISNUMBER(SEARCH("ELC",[1]OUT_TransportEnergyCons!$C$3:$C$1000))*1,[1]OUT_TransportEnergyCons!O$3:O$1000)</f>
        <v>4.4168791010101074E-4</v>
      </c>
      <c r="S1321" s="3"/>
    </row>
    <row r="1322" spans="2:19" x14ac:dyDescent="0.5">
      <c r="B1322" s="5" t="str">
        <f t="shared" si="1478"/>
        <v>SPS1</v>
      </c>
      <c r="C1322" s="5" t="str">
        <f t="shared" si="1479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80">SUM(G1323:G1326)</f>
        <v>0</v>
      </c>
      <c r="H1322" s="1">
        <f t="shared" si="1480"/>
        <v>0</v>
      </c>
      <c r="I1322" s="1">
        <f t="shared" si="1480"/>
        <v>3.0031398167448478E-6</v>
      </c>
      <c r="J1322" s="1">
        <f t="shared" si="1480"/>
        <v>3.3932447229941362E-7</v>
      </c>
      <c r="K1322" s="1">
        <f t="shared" si="1480"/>
        <v>0</v>
      </c>
      <c r="L1322" s="1">
        <f t="shared" ref="L1322:O1322" si="1481">SUM(L1323:L1326)</f>
        <v>0</v>
      </c>
      <c r="M1322" s="1">
        <f t="shared" si="1481"/>
        <v>0</v>
      </c>
      <c r="N1322" s="1">
        <f t="shared" si="1481"/>
        <v>0</v>
      </c>
      <c r="O1322" s="1">
        <f t="shared" si="1481"/>
        <v>0</v>
      </c>
      <c r="P1322" s="1">
        <f>SUM(P1323:P1326)</f>
        <v>0</v>
      </c>
      <c r="Q1322" s="1">
        <f>SUM(Q1323:Q1326)</f>
        <v>1.4114180850612709E-7</v>
      </c>
      <c r="S1322" s="3"/>
    </row>
    <row r="1323" spans="2:19" x14ac:dyDescent="0.5">
      <c r="B1323" s="5" t="str">
        <f t="shared" si="1478"/>
        <v>SPS1</v>
      </c>
      <c r="C1323" s="5" t="str">
        <f t="shared" si="1479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3.0031398167448478E-6</v>
      </c>
      <c r="J1323" s="1" cm="1">
        <f t="array" ref="J1323">SUMPRODUCT(("T_B_u-FCLH2O-S1"=[1]OUT_TransportEnergyCons!$A$3:$A$1000)*1,("Var_Fin"=[1]OUT_TransportEnergyCons!$B$3:$B$1000)*1,ISNUMBER(SEARCH("H2",[1]OUT_TransportEnergyCons!$C$3:$C$1000))*1,[1]OUT_TransportEnergyCons!H$3:H$1000)</f>
        <v>3.3932447229941362E-7</v>
      </c>
      <c r="K1323" s="1" cm="1">
        <f t="array" ref="K1323">SUMPRODUCT(("T_B_u-FCLH2O-S1"=[1]OUT_TransportEnergyCons!$A$3:$A$1000)*1,("Var_Fin"=[1]OUT_TransportEnergyCons!$B$3:$B$1000)*1,ISNUMBER(SEARCH("H2",[1]OUT_TransportEnergyCons!$C$3:$C$1000))*1,[1]OUT_TransportEnergyCons!I$3:I$1000)</f>
        <v>0</v>
      </c>
      <c r="L1323" s="1" cm="1">
        <f t="array" ref="L1323">SUMPRODUCT(("T_B_u-FCLH2O-S1"=[1]OUT_TransportEnergyCons!$A$3:$A$1000)*1,("Var_Fin"=[1]OUT_TransportEnergyCons!$B$3:$B$1000)*1,ISNUMBER(SEARCH("H2",[1]OUT_TransportEnergyCons!$C$3:$C$1000))*1,[1]OUT_TransportEnergyCons!J$3:J$1000)</f>
        <v>0</v>
      </c>
      <c r="M1323" s="1" cm="1">
        <f t="array" ref="M1323">SUMPRODUCT(("T_B_u-FCLH2O-S1"=[1]OUT_TransportEnergyCons!$A$3:$A$1000)*1,("Var_Fin"=[1]OUT_TransportEnergyCons!$B$3:$B$1000)*1,ISNUMBER(SEARCH("H2",[1]OUT_TransportEnergyCons!$C$3:$C$1000))*1,[1]OUT_TransportEnergyCons!K$3:K$1000)</f>
        <v>0</v>
      </c>
      <c r="N1323" s="1" cm="1">
        <f t="array" ref="N1323">SUMPRODUCT(("T_B_u-FCLH2O-S1"=[1]OUT_TransportEnergyCons!$A$3:$A$1000)*1,("Var_Fin"=[1]OUT_TransportEnergyCons!$B$3:$B$1000)*1,ISNUMBER(SEARCH("H2",[1]OUT_TransportEnergyCons!$C$3:$C$1000))*1,[1]OUT_TransportEnergyCons!L$3:L$1000)</f>
        <v>0</v>
      </c>
      <c r="O1323" s="1" cm="1">
        <f t="array" ref="O1323">SUMPRODUCT(("T_B_u-FCLH2O-S1"=[1]OUT_TransportEnergyCons!$A$3:$A$1000)*1,("Var_Fin"=[1]OUT_TransportEnergyCons!$B$3:$B$1000)*1,ISNUMBER(SEARCH("H2",[1]OUT_TransportEnergyCons!$C$3:$C$1000))*1,[1]OUT_TransportEnergyCons!M$3:M$1000)</f>
        <v>0</v>
      </c>
      <c r="P1323" s="1" cm="1">
        <f t="array" ref="P1323">SUMPRODUCT(("T_B_u-FCLH2O-S1"=[1]OUT_TransportEnergyCons!$A$3:$A$1000)*1,("Var_Fin"=[1]OUT_TransportEnergyCons!$B$3:$B$1000)*1,ISNUMBER(SEARCH("H2",[1]OUT_TransportEnergyCons!$C$3:$C$1000))*1,[1]OUT_TransportEnergyCons!N$3:N$1000)</f>
        <v>0</v>
      </c>
      <c r="Q1323" s="1" cm="1">
        <f t="array" ref="Q1323">SUMPRODUCT(("T_B_u-FCLH2O-S1"=[1]OUT_TransportEnergyCons!$A$3:$A$1000)*1,("Var_Fin"=[1]OUT_TransportEnergyCons!$B$3:$B$1000)*1,ISNUMBER(SEARCH("H2",[1]OUT_TransportEnergyCons!$C$3:$C$1000))*1,[1]OUT_TransportEnergyCons!O$3:O$1000)</f>
        <v>1.4114180850612709E-7</v>
      </c>
      <c r="S1323" s="3"/>
    </row>
    <row r="1324" spans="2:19" x14ac:dyDescent="0.5">
      <c r="B1324" s="5" t="str">
        <f t="shared" si="1478"/>
        <v>SPS1</v>
      </c>
      <c r="C1324" s="5" t="str">
        <f t="shared" si="1479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SUMPRODUCT(("T_B_u-FCLH2O-S2"=[1]OUT_TransportEnergyCons!$A$3:$A$1000)*1,("Var_Fin"=[1]OUT_TransportEnergyCons!$B$3:$B$1000)*1,ISNUMBER(SEARCH("H2",[1]OUT_TransportEnergyCons!$C$3:$C$1000))*1,[1]OUT_TransportEnergyCons!H$3:H$1000)</f>
        <v>0</v>
      </c>
      <c r="K1324" s="1" cm="1">
        <f t="array" ref="K1324">SUMPRODUCT(("T_B_u-FCLH2O-S2"=[1]OUT_TransportEnergyCons!$A$3:$A$1000)*1,("Var_Fin"=[1]OUT_TransportEnergyCons!$B$3:$B$1000)*1,ISNUMBER(SEARCH("H2",[1]OUT_TransportEnergyCons!$C$3:$C$1000))*1,[1]OUT_TransportEnergyCons!I$3:I$1000)</f>
        <v>0</v>
      </c>
      <c r="L1324" s="1" cm="1">
        <f t="array" ref="L1324">SUMPRODUCT(("T_B_u-FCLH2O-S2"=[1]OUT_TransportEnergyCons!$A$3:$A$1000)*1,("Var_Fin"=[1]OUT_TransportEnergyCons!$B$3:$B$1000)*1,ISNUMBER(SEARCH("H2",[1]OUT_TransportEnergyCons!$C$3:$C$1000))*1,[1]OUT_TransportEnergyCons!J$3:J$1000)</f>
        <v>0</v>
      </c>
      <c r="M1324" s="1" cm="1">
        <f t="array" ref="M1324">SUMPRODUCT(("T_B_u-FCLH2O-S2"=[1]OUT_TransportEnergyCons!$A$3:$A$1000)*1,("Var_Fin"=[1]OUT_TransportEnergyCons!$B$3:$B$1000)*1,ISNUMBER(SEARCH("H2",[1]OUT_TransportEnergyCons!$C$3:$C$1000))*1,[1]OUT_TransportEnergyCons!K$3:K$1000)</f>
        <v>0</v>
      </c>
      <c r="N1324" s="1" cm="1">
        <f t="array" ref="N1324">SUMPRODUCT(("T_B_u-FCLH2O-S2"=[1]OUT_TransportEnergyCons!$A$3:$A$1000)*1,("Var_Fin"=[1]OUT_TransportEnergyCons!$B$3:$B$1000)*1,ISNUMBER(SEARCH("H2",[1]OUT_TransportEnergyCons!$C$3:$C$1000))*1,[1]OUT_TransportEnergyCons!L$3:L$1000)</f>
        <v>0</v>
      </c>
      <c r="O1324" s="1" cm="1">
        <f t="array" ref="O1324">SUMPRODUCT(("T_B_u-FCLH2O-S2"=[1]OUT_TransportEnergyCons!$A$3:$A$1000)*1,("Var_Fin"=[1]OUT_TransportEnergyCons!$B$3:$B$1000)*1,ISNUMBER(SEARCH("H2",[1]OUT_TransportEnergyCons!$C$3:$C$1000))*1,[1]OUT_TransportEnergyCons!M$3:M$1000)</f>
        <v>0</v>
      </c>
      <c r="P1324" s="1" cm="1">
        <f t="array" ref="P1324">SUMPRODUCT(("T_B_u-FCLH2O-S2"=[1]OUT_TransportEnergyCons!$A$3:$A$1000)*1,("Var_Fin"=[1]OUT_TransportEnergyCons!$B$3:$B$1000)*1,ISNUMBER(SEARCH("H2",[1]OUT_TransportEnergyCons!$C$3:$C$1000))*1,[1]OUT_TransportEnergyCons!N$3:N$1000)</f>
        <v>0</v>
      </c>
      <c r="Q1324" s="1" cm="1">
        <f t="array" ref="Q1324">SUMPRODUCT(("T_B_u-FCLH2O-S2"=[1]OUT_TransportEnergyCons!$A$3:$A$1000)*1,("Var_Fin"=[1]OUT_TransportEnergyCons!$B$3:$B$1000)*1,ISNUMBER(SEARCH("H2",[1]OUT_TransportEnergyCons!$C$3:$C$1000))*1,[1]OUT_TransportEnergyCons!O$3:O$1000)</f>
        <v>0</v>
      </c>
      <c r="S1324" s="3"/>
    </row>
    <row r="1325" spans="2:19" x14ac:dyDescent="0.5">
      <c r="B1325" s="5" t="str">
        <f t="shared" si="1478"/>
        <v>SPS1</v>
      </c>
      <c r="C1325" s="5" t="str">
        <f t="shared" si="1479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SUMPRODUCT(("T_B_u-FCLH2O-S3"=[1]OUT_TransportEnergyCons!$A$3:$A$1000)*1,("Var_Fin"=[1]OUT_TransportEnergyCons!$B$3:$B$1000)*1,ISNUMBER(SEARCH("H2",[1]OUT_TransportEnergyCons!$C$3:$C$1000))*1,[1]OUT_TransportEnergyCons!H$3:H$1000)</f>
        <v>0</v>
      </c>
      <c r="K1325" s="1" cm="1">
        <f t="array" ref="K1325">SUMPRODUCT(("T_B_u-FCLH2O-S3"=[1]OUT_TransportEnergyCons!$A$3:$A$1000)*1,("Var_Fin"=[1]OUT_TransportEnergyCons!$B$3:$B$1000)*1,ISNUMBER(SEARCH("H2",[1]OUT_TransportEnergyCons!$C$3:$C$1000))*1,[1]OUT_TransportEnergyCons!I$3:I$1000)</f>
        <v>0</v>
      </c>
      <c r="L1325" s="1" cm="1">
        <f t="array" ref="L1325">SUMPRODUCT(("T_B_u-FCLH2O-S3"=[1]OUT_TransportEnergyCons!$A$3:$A$1000)*1,("Var_Fin"=[1]OUT_TransportEnergyCons!$B$3:$B$1000)*1,ISNUMBER(SEARCH("H2",[1]OUT_TransportEnergyCons!$C$3:$C$1000))*1,[1]OUT_TransportEnergyCons!J$3:J$1000)</f>
        <v>0</v>
      </c>
      <c r="M1325" s="1" cm="1">
        <f t="array" ref="M1325">SUMPRODUCT(("T_B_u-FCLH2O-S3"=[1]OUT_TransportEnergyCons!$A$3:$A$1000)*1,("Var_Fin"=[1]OUT_TransportEnergyCons!$B$3:$B$1000)*1,ISNUMBER(SEARCH("H2",[1]OUT_TransportEnergyCons!$C$3:$C$1000))*1,[1]OUT_TransportEnergyCons!K$3:K$1000)</f>
        <v>0</v>
      </c>
      <c r="N1325" s="1" cm="1">
        <f t="array" ref="N1325">SUMPRODUCT(("T_B_u-FCLH2O-S3"=[1]OUT_TransportEnergyCons!$A$3:$A$1000)*1,("Var_Fin"=[1]OUT_TransportEnergyCons!$B$3:$B$1000)*1,ISNUMBER(SEARCH("H2",[1]OUT_TransportEnergyCons!$C$3:$C$1000))*1,[1]OUT_TransportEnergyCons!L$3:L$1000)</f>
        <v>0</v>
      </c>
      <c r="O1325" s="1" cm="1">
        <f t="array" ref="O1325">SUMPRODUCT(("T_B_u-FCLH2O-S3"=[1]OUT_TransportEnergyCons!$A$3:$A$1000)*1,("Var_Fin"=[1]OUT_TransportEnergyCons!$B$3:$B$1000)*1,ISNUMBER(SEARCH("H2",[1]OUT_TransportEnergyCons!$C$3:$C$1000))*1,[1]OUT_TransportEnergyCons!M$3:M$1000)</f>
        <v>0</v>
      </c>
      <c r="P1325" s="1" cm="1">
        <f t="array" ref="P1325">SUMPRODUCT(("T_B_u-FCLH2O-S3"=[1]OUT_TransportEnergyCons!$A$3:$A$1000)*1,("Var_Fin"=[1]OUT_TransportEnergyCons!$B$3:$B$1000)*1,ISNUMBER(SEARCH("H2",[1]OUT_TransportEnergyCons!$C$3:$C$1000))*1,[1]OUT_TransportEnergyCons!N$3:N$1000)</f>
        <v>0</v>
      </c>
      <c r="Q1325" s="1" cm="1">
        <f t="array" ref="Q1325">SUMPRODUCT(("T_B_u-FCLH2O-S3"=[1]OUT_TransportEnergyCons!$A$3:$A$1000)*1,("Var_Fin"=[1]OUT_TransportEnergyCons!$B$3:$B$1000)*1,ISNUMBER(SEARCH("H2",[1]OUT_TransportEnergyCons!$C$3:$C$1000))*1,[1]OUT_TransportEnergyCons!O$3:O$1000)</f>
        <v>0</v>
      </c>
      <c r="S1325" s="3"/>
    </row>
    <row r="1326" spans="2:19" x14ac:dyDescent="0.5">
      <c r="B1326" s="5" t="str">
        <f t="shared" si="1478"/>
        <v>SPS1</v>
      </c>
      <c r="C1326" s="5" t="str">
        <f t="shared" si="1479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SUMPRODUCT(("T_B_u-FCLH2O-S4"=[1]OUT_TransportEnergyCons!$A$3:$A$1000)*1,("Var_Fin"=[1]OUT_TransportEnergyCons!$B$3:$B$1000)*1,ISNUMBER(SEARCH("H2",[1]OUT_TransportEnergyCons!$C$3:$C$1000))*1,[1]OUT_TransportEnergyCons!H$3:H$1000)</f>
        <v>0</v>
      </c>
      <c r="K1326" s="1" cm="1">
        <f t="array" ref="K1326">SUMPRODUCT(("T_B_u-FCLH2O-S4"=[1]OUT_TransportEnergyCons!$A$3:$A$1000)*1,("Var_Fin"=[1]OUT_TransportEnergyCons!$B$3:$B$1000)*1,ISNUMBER(SEARCH("H2",[1]OUT_TransportEnergyCons!$C$3:$C$1000))*1,[1]OUT_TransportEnergyCons!I$3:I$1000)</f>
        <v>0</v>
      </c>
      <c r="L1326" s="1" cm="1">
        <f t="array" ref="L1326">SUMPRODUCT(("T_B_u-FCLH2O-S4"=[1]OUT_TransportEnergyCons!$A$3:$A$1000)*1,("Var_Fin"=[1]OUT_TransportEnergyCons!$B$3:$B$1000)*1,ISNUMBER(SEARCH("H2",[1]OUT_TransportEnergyCons!$C$3:$C$1000))*1,[1]OUT_TransportEnergyCons!J$3:J$1000)</f>
        <v>0</v>
      </c>
      <c r="M1326" s="1" cm="1">
        <f t="array" ref="M1326">SUMPRODUCT(("T_B_u-FCLH2O-S4"=[1]OUT_TransportEnergyCons!$A$3:$A$1000)*1,("Var_Fin"=[1]OUT_TransportEnergyCons!$B$3:$B$1000)*1,ISNUMBER(SEARCH("H2",[1]OUT_TransportEnergyCons!$C$3:$C$1000))*1,[1]OUT_TransportEnergyCons!K$3:K$1000)</f>
        <v>0</v>
      </c>
      <c r="N1326" s="1" cm="1">
        <f t="array" ref="N1326">SUMPRODUCT(("T_B_u-FCLH2O-S4"=[1]OUT_TransportEnergyCons!$A$3:$A$1000)*1,("Var_Fin"=[1]OUT_TransportEnergyCons!$B$3:$B$1000)*1,ISNUMBER(SEARCH("H2",[1]OUT_TransportEnergyCons!$C$3:$C$1000))*1,[1]OUT_TransportEnergyCons!L$3:L$1000)</f>
        <v>0</v>
      </c>
      <c r="O1326" s="1" cm="1">
        <f t="array" ref="O1326">SUMPRODUCT(("T_B_u-FCLH2O-S4"=[1]OUT_TransportEnergyCons!$A$3:$A$1000)*1,("Var_Fin"=[1]OUT_TransportEnergyCons!$B$3:$B$1000)*1,ISNUMBER(SEARCH("H2",[1]OUT_TransportEnergyCons!$C$3:$C$1000))*1,[1]OUT_TransportEnergyCons!M$3:M$1000)</f>
        <v>0</v>
      </c>
      <c r="P1326" s="1" cm="1">
        <f t="array" ref="P1326">SUMPRODUCT(("T_B_u-FCLH2O-S4"=[1]OUT_TransportEnergyCons!$A$3:$A$1000)*1,("Var_Fin"=[1]OUT_TransportEnergyCons!$B$3:$B$1000)*1,ISNUMBER(SEARCH("H2",[1]OUT_TransportEnergyCons!$C$3:$C$1000))*1,[1]OUT_TransportEnergyCons!N$3:N$1000)</f>
        <v>0</v>
      </c>
      <c r="Q1326" s="1" cm="1">
        <f t="array" ref="Q1326">SUMPRODUCT(("T_B_u-FCLH2O-S4"=[1]OUT_TransportEnergyCons!$A$3:$A$1000)*1,("Var_Fin"=[1]OUT_TransportEnergyCons!$B$3:$B$1000)*1,ISNUMBER(SEARCH("H2",[1]OUT_TransportEnergyCons!$C$3:$C$1000))*1,[1]OUT_TransportEnergyCons!O$3:O$1000)</f>
        <v>0</v>
      </c>
      <c r="S1326" s="3"/>
    </row>
    <row r="1327" spans="2:19" x14ac:dyDescent="0.5">
      <c r="B1327" s="5" t="str">
        <f t="shared" si="1478"/>
        <v>SPS1</v>
      </c>
      <c r="C1327" s="5" t="str">
        <f t="shared" si="1479"/>
        <v>CH</v>
      </c>
      <c r="D1327" t="s">
        <v>1317</v>
      </c>
      <c r="E1327" t="s">
        <v>8</v>
      </c>
      <c r="F1327" s="1">
        <f>SUM(F1332:F1340)</f>
        <v>0.76107778298749784</v>
      </c>
      <c r="G1327" s="1">
        <f t="shared" ref="G1327:K1327" si="1482">SUM(G1332:G1340)</f>
        <v>1.3399954163725072</v>
      </c>
      <c r="H1327" s="1">
        <f t="shared" si="1482"/>
        <v>2.1772742606244946</v>
      </c>
      <c r="I1327" s="1">
        <f t="shared" si="1482"/>
        <v>0.83017342567662644</v>
      </c>
      <c r="J1327" s="1">
        <f t="shared" si="1482"/>
        <v>0.88619354842723774</v>
      </c>
      <c r="K1327" s="1">
        <f t="shared" si="1482"/>
        <v>1.0025505133105654</v>
      </c>
      <c r="L1327" s="1">
        <f t="shared" ref="L1327:O1327" si="1483">SUM(L1332:L1340)</f>
        <v>1.0841037843248802</v>
      </c>
      <c r="M1327" s="1">
        <f t="shared" si="1483"/>
        <v>1.179591039665244</v>
      </c>
      <c r="N1327" s="1">
        <f t="shared" si="1483"/>
        <v>1.2679208027356037</v>
      </c>
      <c r="O1327" s="1">
        <f t="shared" si="1483"/>
        <v>1.3663013389089098</v>
      </c>
      <c r="P1327" s="1">
        <f>SUM(P1332:P1340)</f>
        <v>1.2676310611760355</v>
      </c>
      <c r="Q1327" s="1">
        <f>SUM(Q1332:Q1340)</f>
        <v>1.2017341481651669</v>
      </c>
      <c r="S1327" s="3"/>
    </row>
    <row r="1328" spans="2:19" x14ac:dyDescent="0.5">
      <c r="B1328" s="5" t="str">
        <f t="shared" si="1478"/>
        <v>SPS1</v>
      </c>
      <c r="C1328" s="5" t="str">
        <f t="shared" si="1479"/>
        <v>CH</v>
      </c>
      <c r="D1328" t="s">
        <v>1318</v>
      </c>
      <c r="E1328" t="s">
        <v>8</v>
      </c>
      <c r="F1328" s="1">
        <f>IF(F1327-F1329&lt;0,0,F1327-F1329)</f>
        <v>0.7421899407624869</v>
      </c>
      <c r="G1328" s="1">
        <f t="shared" ref="G1328:K1328" si="1484">IF(G1327-G1329&lt;0,0,G1327-G1329)</f>
        <v>1.3049088971569094</v>
      </c>
      <c r="H1328" s="1">
        <f t="shared" si="1484"/>
        <v>2.0795951047195018</v>
      </c>
      <c r="I1328" s="1">
        <f t="shared" si="1484"/>
        <v>0.80339310766618743</v>
      </c>
      <c r="J1328" s="1">
        <f t="shared" si="1484"/>
        <v>0.85496301361367755</v>
      </c>
      <c r="K1328" s="1">
        <f t="shared" si="1484"/>
        <v>0.96340144528278393</v>
      </c>
      <c r="L1328" s="1">
        <f t="shared" ref="L1328:O1328" si="1485">IF(L1327-L1329&lt;0,0,L1327-L1329)</f>
        <v>1.0413110029041328</v>
      </c>
      <c r="M1328" s="1">
        <f t="shared" si="1485"/>
        <v>1.1323100997662272</v>
      </c>
      <c r="N1328" s="1">
        <f t="shared" si="1485"/>
        <v>1.2165855282805624</v>
      </c>
      <c r="O1328" s="1">
        <f t="shared" si="1485"/>
        <v>1.3017022732965653</v>
      </c>
      <c r="P1328" s="1">
        <f>IF(P1327-P1329&lt;0,0,P1327-P1329)</f>
        <v>1.1948963652953679</v>
      </c>
      <c r="Q1328" s="1">
        <f>IF(Q1327-Q1329&lt;0,0,Q1327-Q1329)</f>
        <v>1.1287451162889692</v>
      </c>
      <c r="S1328" s="3"/>
    </row>
    <row r="1329" spans="2:19" x14ac:dyDescent="0.5">
      <c r="B1329" s="5" t="str">
        <f t="shared" si="1478"/>
        <v>SPS1</v>
      </c>
      <c r="C1329" s="5" t="str">
        <f t="shared" si="1479"/>
        <v>CH</v>
      </c>
      <c r="D1329" t="s">
        <v>1319</v>
      </c>
      <c r="E1329" t="s">
        <v>8</v>
      </c>
      <c r="F1329" s="1">
        <f>SUM(F1330:F1331)</f>
        <v>1.8887842225010908E-2</v>
      </c>
      <c r="G1329" s="1">
        <f t="shared" ref="G1329" si="1486">SUM(G1330:G1331)</f>
        <v>3.5086519215597724E-2</v>
      </c>
      <c r="H1329" s="1">
        <f t="shared" ref="H1329" si="1487">SUM(H1330:H1331)</f>
        <v>9.7679155904992973E-2</v>
      </c>
      <c r="I1329" s="1">
        <f t="shared" ref="I1329" si="1488">SUM(I1330:I1331)</f>
        <v>2.6780318010439022E-2</v>
      </c>
      <c r="J1329" s="1">
        <f t="shared" ref="J1329" si="1489">SUM(J1330:J1331)</f>
        <v>3.1230534813560234E-2</v>
      </c>
      <c r="K1329" s="1">
        <f t="shared" ref="K1329" si="1490">SUM(K1330:K1331)</f>
        <v>3.9149068027781508E-2</v>
      </c>
      <c r="L1329" s="1">
        <f t="shared" ref="L1329:O1329" si="1491">SUM(L1330:L1331)</f>
        <v>4.2792781420747349E-2</v>
      </c>
      <c r="M1329" s="1">
        <f t="shared" si="1491"/>
        <v>4.7280939899016806E-2</v>
      </c>
      <c r="N1329" s="1">
        <f t="shared" si="1491"/>
        <v>5.1335274455041345E-2</v>
      </c>
      <c r="O1329" s="1">
        <f t="shared" si="1491"/>
        <v>6.4599065612344617E-2</v>
      </c>
      <c r="P1329" s="1">
        <f>SUM(P1330:P1331)</f>
        <v>7.2734695880667638E-2</v>
      </c>
      <c r="Q1329" s="1">
        <f>SUM(Q1330:Q1331)</f>
        <v>7.2989031876197638E-2</v>
      </c>
      <c r="S1329" s="3"/>
    </row>
    <row r="1330" spans="2:19" x14ac:dyDescent="0.5">
      <c r="B1330" s="5" t="str">
        <f t="shared" si="1478"/>
        <v>SPS1</v>
      </c>
      <c r="C1330" s="5" t="str">
        <f t="shared" si="1479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1.8887842225010908E-2</v>
      </c>
      <c r="G1330" s="1">
        <f>[1]Transport!C$26/SUM([1]Transport!C$22,[1]Transport!C$26)*G1327*(G$34+G$582)/(G$34+G$582+G$38)</f>
        <v>3.5086519215597724E-2</v>
      </c>
      <c r="H1330" s="1">
        <f>[1]Transport!D$26/SUM([1]Transport!D$22,[1]Transport!D$26)*H1327*(H$34+H$582)/(H$34+H$582+H$38)</f>
        <v>9.7679155904992973E-2</v>
      </c>
      <c r="I1330" s="1">
        <f>[1]Transport!E$26/SUM([1]Transport!E$22,[1]Transport!E$26)*I1327*(I$34+I$582)/(I$34+I$582+I$38)</f>
        <v>2.6780318010439022E-2</v>
      </c>
      <c r="J1330" s="1">
        <f>[1]Transport!F$26/SUM([1]Transport!F$22,[1]Transport!F$26)*J1327*(J$34+J$582)/(J$34+J$582+J$38)</f>
        <v>3.1230534813560234E-2</v>
      </c>
      <c r="K1330" s="1">
        <f>[1]Transport!G$26/SUM([1]Transport!G$22,[1]Transport!G$26)*K1327*(K$34+K$582)/(K$34+K$582+K$38)</f>
        <v>3.9149068027781508E-2</v>
      </c>
      <c r="L1330" s="1">
        <f>[1]Transport!H$26/SUM([1]Transport!H$22,[1]Transport!H$26)*L1327*(L$34+L$582)/(L$34+L$582+L$38)</f>
        <v>4.2792781420747349E-2</v>
      </c>
      <c r="M1330" s="1">
        <f>[1]Transport!I$26/SUM([1]Transport!I$22,[1]Transport!I$26)*M1327*(M$34+M$582)/(M$34+M$582+M$38)</f>
        <v>4.7280939899016806E-2</v>
      </c>
      <c r="N1330" s="1">
        <f>[1]Transport!J$26/SUM([1]Transport!J$22,[1]Transport!J$26)*N1327*(N$34+N$582)/(N$34+N$582+N$38)</f>
        <v>5.1335274455041345E-2</v>
      </c>
      <c r="O1330" s="1">
        <f>[1]Transport!K$26/SUM([1]Transport!K$22,[1]Transport!K$26)*O1327*(O$34+O$582)/(O$34+O$582+O$38)</f>
        <v>6.4599065612344617E-2</v>
      </c>
      <c r="P1330" s="1">
        <f>[1]Transport!L$26/SUM([1]Transport!L$22,[1]Transport!L$26)*P1327*(P$34+P$582)/(P$34+P$582+P$38)</f>
        <v>7.2734695880667638E-2</v>
      </c>
      <c r="Q1330" s="1">
        <f>[1]Transport!M$26/SUM([1]Transport!M$22,[1]Transport!M$26)*Q1327*(Q$34+Q$582)/(Q$34+Q$582+Q$38)</f>
        <v>7.2989031876197638E-2</v>
      </c>
      <c r="S1330" s="3"/>
    </row>
    <row r="1331" spans="2:19" x14ac:dyDescent="0.5">
      <c r="B1331" s="5" t="str">
        <f t="shared" si="1478"/>
        <v>SPS1</v>
      </c>
      <c r="C1331" s="5" t="str">
        <f t="shared" si="1479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(J$38+J$718)/([1]Transport!F$22+[1]Transport!F$26)*J1327</f>
        <v>0</v>
      </c>
      <c r="K1331" s="1">
        <f>(K$38+K$718)/([1]Transport!G$22+[1]Transport!G$26)*K1327</f>
        <v>0</v>
      </c>
      <c r="L1331" s="1">
        <f>(L$38+L$718)/([1]Transport!H$22+[1]Transport!H$26)*L1327</f>
        <v>0</v>
      </c>
      <c r="M1331" s="1">
        <f>(M$38+M$718)/([1]Transport!I$22+[1]Transport!I$26)*M1327</f>
        <v>0</v>
      </c>
      <c r="N1331" s="1">
        <f>(N$38+N$718)/([1]Transport!J$22+[1]Transport!J$26)*N1327</f>
        <v>0</v>
      </c>
      <c r="O1331" s="1">
        <f>(O$38+O$718)/([1]Transport!K$22+[1]Transport!K$26)*O1327</f>
        <v>0</v>
      </c>
      <c r="P1331" s="1">
        <f>(P$38+P$718)/([1]Transport!L$22+[1]Transport!L$26)*P1327</f>
        <v>0</v>
      </c>
      <c r="Q1331" s="1">
        <f>(Q$38+Q$718)/([1]Transport!M$22+[1]Transport!M$26)*Q1327</f>
        <v>0</v>
      </c>
      <c r="S1331" s="3"/>
    </row>
    <row r="1332" spans="2:19" x14ac:dyDescent="0.5">
      <c r="B1332" s="5" t="str">
        <f t="shared" si="1478"/>
        <v>SPS1</v>
      </c>
      <c r="C1332" s="5" t="str">
        <f t="shared" si="1479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3.7118458634362046E-3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4.1383368239262548E-3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3.3206801019188556E-4</v>
      </c>
      <c r="J1332" s="1" cm="1">
        <f t="array" ref="J1332">SUMPRODUCT(("T_B_u-HYBDSL-S1"=[1]OUT_TransportEnergyCons!$A$3:$A$1000)*1,("Var_Fin"=[1]OUT_TransportEnergyCons!$B$3:$B$1000)*1,ISNUMBER(SEARCH("DSL",[1]OUT_TransportEnergyCons!$C$3:$C$1000))*1,[1]OUT_TransportEnergyCons!H$3:H$1000)</f>
        <v>7.5701711518685205E-4</v>
      </c>
      <c r="K1332" s="1" cm="1">
        <f t="array" ref="K1332">SUMPRODUCT(("T_B_u-HYBDSL-S1"=[1]OUT_TransportEnergyCons!$A$3:$A$1000)*1,("Var_Fin"=[1]OUT_TransportEnergyCons!$B$3:$B$1000)*1,ISNUMBER(SEARCH("DSL",[1]OUT_TransportEnergyCons!$C$3:$C$1000))*1,[1]OUT_TransportEnergyCons!I$3:I$1000)</f>
        <v>1.0704111020209189E-3</v>
      </c>
      <c r="L1332" s="1" cm="1">
        <f t="array" ref="L1332">SUMPRODUCT(("T_B_u-HYBDSL-S1"=[1]OUT_TransportEnergyCons!$A$3:$A$1000)*1,("Var_Fin"=[1]OUT_TransportEnergyCons!$B$3:$B$1000)*1,ISNUMBER(SEARCH("DSL",[1]OUT_TransportEnergyCons!$C$3:$C$1000))*1,[1]OUT_TransportEnergyCons!J$3:J$1000)</f>
        <v>2.0623309850302785E-3</v>
      </c>
      <c r="M1332" s="1" cm="1">
        <f t="array" ref="M1332">SUMPRODUCT(("T_B_u-HYBDSL-S1"=[1]OUT_TransportEnergyCons!$A$3:$A$1000)*1,("Var_Fin"=[1]OUT_TransportEnergyCons!$B$3:$B$1000)*1,ISNUMBER(SEARCH("DSL",[1]OUT_TransportEnergyCons!$C$3:$C$1000))*1,[1]OUT_TransportEnergyCons!K$3:K$1000)</f>
        <v>4.8136490357011275E-3</v>
      </c>
      <c r="N1332" s="1" cm="1">
        <f t="array" ref="N1332">SUMPRODUCT(("T_B_u-HYBDSL-S1"=[1]OUT_TransportEnergyCons!$A$3:$A$1000)*1,("Var_Fin"=[1]OUT_TransportEnergyCons!$B$3:$B$1000)*1,ISNUMBER(SEARCH("DSL",[1]OUT_TransportEnergyCons!$C$3:$C$1000))*1,[1]OUT_TransportEnergyCons!L$3:L$1000)</f>
        <v>8.7091432382833626E-3</v>
      </c>
      <c r="O1332" s="1" cm="1">
        <f t="array" ref="O1332">SUMPRODUCT(("T_B_u-HYBDSL-S1"=[1]OUT_TransportEnergyCons!$A$3:$A$1000)*1,("Var_Fin"=[1]OUT_TransportEnergyCons!$B$3:$B$1000)*1,ISNUMBER(SEARCH("DSL",[1]OUT_TransportEnergyCons!$C$3:$C$1000))*1,[1]OUT_TransportEnergyCons!M$3:M$1000)</f>
        <v>2.8699099253440774E-2</v>
      </c>
      <c r="P1332" s="1" cm="1">
        <f t="array" ref="P1332">SUMPRODUCT(("T_B_u-HYBDSL-S1"=[1]OUT_TransportEnergyCons!$A$3:$A$1000)*1,("Var_Fin"=[1]OUT_TransportEnergyCons!$B$3:$B$1000)*1,ISNUMBER(SEARCH("DSL",[1]OUT_TransportEnergyCons!$C$3:$C$1000))*1,[1]OUT_TransportEnergyCons!N$3:N$1000)</f>
        <v>0.23538067414990818</v>
      </c>
      <c r="Q1332" s="1" cm="1">
        <f t="array" ref="Q1332">SUMPRODUCT(("T_B_u-HYBDSL-S1"=[1]OUT_TransportEnergyCons!$A$3:$A$1000)*1,("Var_Fin"=[1]OUT_TransportEnergyCons!$B$3:$B$1000)*1,ISNUMBER(SEARCH("DSL",[1]OUT_TransportEnergyCons!$C$3:$C$1000))*1,[1]OUT_TransportEnergyCons!O$3:O$1000)</f>
        <v>0.33616273063268404</v>
      </c>
      <c r="S1332" s="3"/>
    </row>
    <row r="1333" spans="2:19" x14ac:dyDescent="0.5">
      <c r="B1333" s="5" t="str">
        <f t="shared" si="1478"/>
        <v>SPS1</v>
      </c>
      <c r="C1333" s="5" t="str">
        <f t="shared" si="1479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4.7080195639084274E-4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7.5402322020235715E-4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5.7066472345694249E-4</v>
      </c>
      <c r="J1333" s="1" cm="1">
        <f t="array" ref="J1333">SUMPRODUCT(("T_B_u-HYBDSL-S2"=[1]OUT_TransportEnergyCons!$A$3:$A$1000)*1,("Var_Fin"=[1]OUT_TransportEnergyCons!$B$3:$B$1000)*1,ISNUMBER(SEARCH("DSL",[1]OUT_TransportEnergyCons!$C$3:$C$1000))*1,[1]OUT_TransportEnergyCons!H$3:H$1000)</f>
        <v>8.2643158766988051E-4</v>
      </c>
      <c r="K1333" s="1" cm="1">
        <f t="array" ref="K1333">SUMPRODUCT(("T_B_u-HYBDSL-S2"=[1]OUT_TransportEnergyCons!$A$3:$A$1000)*1,("Var_Fin"=[1]OUT_TransportEnergyCons!$B$3:$B$1000)*1,ISNUMBER(SEARCH("DSL",[1]OUT_TransportEnergyCons!$C$3:$C$1000))*1,[1]OUT_TransportEnergyCons!I$3:I$1000)</f>
        <v>1.0613454620249777E-3</v>
      </c>
      <c r="L1333" s="1" cm="1">
        <f t="array" ref="L1333">SUMPRODUCT(("T_B_u-HYBDSL-S2"=[1]OUT_TransportEnergyCons!$A$3:$A$1000)*1,("Var_Fin"=[1]OUT_TransportEnergyCons!$B$3:$B$1000)*1,ISNUMBER(SEARCH("DSL",[1]OUT_TransportEnergyCons!$C$3:$C$1000))*1,[1]OUT_TransportEnergyCons!J$3:J$1000)</f>
        <v>1.7308101736197622E-3</v>
      </c>
      <c r="M1333" s="1" cm="1">
        <f t="array" ref="M1333">SUMPRODUCT(("T_B_u-HYBDSL-S2"=[1]OUT_TransportEnergyCons!$A$3:$A$1000)*1,("Var_Fin"=[1]OUT_TransportEnergyCons!$B$3:$B$1000)*1,ISNUMBER(SEARCH("DSL",[1]OUT_TransportEnergyCons!$C$3:$C$1000))*1,[1]OUT_TransportEnergyCons!K$3:K$1000)</f>
        <v>2.7895105301089258E-3</v>
      </c>
      <c r="N1333" s="1" cm="1">
        <f t="array" ref="N1333">SUMPRODUCT(("T_B_u-HYBDSL-S2"=[1]OUT_TransportEnergyCons!$A$3:$A$1000)*1,("Var_Fin"=[1]OUT_TransportEnergyCons!$B$3:$B$1000)*1,ISNUMBER(SEARCH("DSL",[1]OUT_TransportEnergyCons!$C$3:$C$1000))*1,[1]OUT_TransportEnergyCons!L$3:L$1000)</f>
        <v>4.0743686619704577E-3</v>
      </c>
      <c r="O1333" s="1" cm="1">
        <f t="array" ref="O1333">SUMPRODUCT(("T_B_u-HYBDSL-S2"=[1]OUT_TransportEnergyCons!$A$3:$A$1000)*1,("Var_Fin"=[1]OUT_TransportEnergyCons!$B$3:$B$1000)*1,ISNUMBER(SEARCH("DSL",[1]OUT_TransportEnergyCons!$C$3:$C$1000))*1,[1]OUT_TransportEnergyCons!M$3:M$1000)</f>
        <v>6.3113502852716044E-3</v>
      </c>
      <c r="P1333" s="1" cm="1">
        <f t="array" ref="P1333">SUMPRODUCT(("T_B_u-HYBDSL-S2"=[1]OUT_TransportEnergyCons!$A$3:$A$1000)*1,("Var_Fin"=[1]OUT_TransportEnergyCons!$B$3:$B$1000)*1,ISNUMBER(SEARCH("DSL",[1]OUT_TransportEnergyCons!$C$3:$C$1000))*1,[1]OUT_TransportEnergyCons!N$3:N$1000)</f>
        <v>8.4115234748574907E-3</v>
      </c>
      <c r="Q1333" s="1" cm="1">
        <f t="array" ref="Q1333">SUMPRODUCT(("T_B_u-HYBDSL-S2"=[1]OUT_TransportEnergyCons!$A$3:$A$1000)*1,("Var_Fin"=[1]OUT_TransportEnergyCons!$B$3:$B$1000)*1,ISNUMBER(SEARCH("DSL",[1]OUT_TransportEnergyCons!$C$3:$C$1000))*1,[1]OUT_TransportEnergyCons!O$3:O$1000)</f>
        <v>1.8770434398479054E-2</v>
      </c>
      <c r="S1333" s="3"/>
    </row>
    <row r="1334" spans="2:19" x14ac:dyDescent="0.5">
      <c r="B1334" s="5" t="str">
        <f t="shared" si="1478"/>
        <v>SPS1</v>
      </c>
      <c r="C1334" s="5" t="str">
        <f t="shared" si="1479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4.6745493626753572E-2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0.58880136329234534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0.82918898077195113</v>
      </c>
      <c r="J1334" s="1" cm="1">
        <f t="array" ref="J1334">SUMPRODUCT(("T_B_u-HYBDSL-S3"=[1]OUT_TransportEnergyCons!$A$3:$A$1000)*1,("Var_Fin"=[1]OUT_TransportEnergyCons!$B$3:$B$1000)*1,ISNUMBER(SEARCH("DSL",[1]OUT_TransportEnergyCons!$C$3:$C$1000))*1,[1]OUT_TransportEnergyCons!H$3:H$1000)</f>
        <v>0.88456098710888831</v>
      </c>
      <c r="K1334" s="1" cm="1">
        <f t="array" ref="K1334">SUMPRODUCT(("T_B_u-HYBDSL-S3"=[1]OUT_TransportEnergyCons!$A$3:$A$1000)*1,("Var_Fin"=[1]OUT_TransportEnergyCons!$B$3:$B$1000)*1,ISNUMBER(SEARCH("DSL",[1]OUT_TransportEnergyCons!$C$3:$C$1000))*1,[1]OUT_TransportEnergyCons!I$3:I$1000)</f>
        <v>1.0003365161198947</v>
      </c>
      <c r="L1334" s="1" cm="1">
        <f t="array" ref="L1334">SUMPRODUCT(("T_B_u-HYBDSL-S3"=[1]OUT_TransportEnergyCons!$A$3:$A$1000)*1,("Var_Fin"=[1]OUT_TransportEnergyCons!$B$3:$B$1000)*1,ISNUMBER(SEARCH("DSL",[1]OUT_TransportEnergyCons!$C$3:$C$1000))*1,[1]OUT_TransportEnergyCons!J$3:J$1000)</f>
        <v>1.0802392614634242</v>
      </c>
      <c r="M1334" s="1" cm="1">
        <f t="array" ref="M1334">SUMPRODUCT(("T_B_u-HYBDSL-S3"=[1]OUT_TransportEnergyCons!$A$3:$A$1000)*1,("Var_Fin"=[1]OUT_TransportEnergyCons!$B$3:$B$1000)*1,ISNUMBER(SEARCH("DSL",[1]OUT_TransportEnergyCons!$C$3:$C$1000))*1,[1]OUT_TransportEnergyCons!K$3:K$1000)</f>
        <v>1.1718772926635568</v>
      </c>
      <c r="N1334" s="1" cm="1">
        <f t="array" ref="N1334">SUMPRODUCT(("T_B_u-HYBDSL-S3"=[1]OUT_TransportEnergyCons!$A$3:$A$1000)*1,("Var_Fin"=[1]OUT_TransportEnergyCons!$B$3:$B$1000)*1,ISNUMBER(SEARCH("DSL",[1]OUT_TransportEnergyCons!$C$3:$C$1000))*1,[1]OUT_TransportEnergyCons!L$3:L$1000)</f>
        <v>1.2550294811740195</v>
      </c>
      <c r="O1334" s="1" cm="1">
        <f t="array" ref="O1334">SUMPRODUCT(("T_B_u-HYBDSL-S3"=[1]OUT_TransportEnergyCons!$A$3:$A$1000)*1,("Var_Fin"=[1]OUT_TransportEnergyCons!$B$3:$B$1000)*1,ISNUMBER(SEARCH("DSL",[1]OUT_TransportEnergyCons!$C$3:$C$1000))*1,[1]OUT_TransportEnergyCons!M$3:M$1000)</f>
        <v>1.3311797187860006</v>
      </c>
      <c r="P1334" s="1" cm="1">
        <f t="array" ref="P1334">SUMPRODUCT(("T_B_u-HYBDSL-S3"=[1]OUT_TransportEnergyCons!$A$3:$A$1000)*1,("Var_Fin"=[1]OUT_TransportEnergyCons!$B$3:$B$1000)*1,ISNUMBER(SEARCH("DSL",[1]OUT_TransportEnergyCons!$C$3:$C$1000))*1,[1]OUT_TransportEnergyCons!N$3:N$1000)</f>
        <v>1.0236713498850027</v>
      </c>
      <c r="Q1334" s="1" cm="1">
        <f t="array" ref="Q1334">SUMPRODUCT(("T_B_u-HYBDSL-S3"=[1]OUT_TransportEnergyCons!$A$3:$A$1000)*1,("Var_Fin"=[1]OUT_TransportEnergyCons!$B$3:$B$1000)*1,ISNUMBER(SEARCH("DSL",[1]OUT_TransportEnergyCons!$C$3:$C$1000))*1,[1]OUT_TransportEnergyCons!O$3:O$1000)</f>
        <v>0.84657199746106704</v>
      </c>
      <c r="S1334" s="3"/>
    </row>
    <row r="1335" spans="2:19" x14ac:dyDescent="0.5">
      <c r="B1335" s="5" t="str">
        <f t="shared" si="1478"/>
        <v>SPS1</v>
      </c>
      <c r="C1335" s="5" t="str">
        <f t="shared" si="1479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2.4547330311485887E-5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4.9414390088028046E-5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3.6763920149212603E-5</v>
      </c>
      <c r="J1335" s="1" cm="1">
        <f t="array" ref="J1335">SUMPRODUCT(("T_B_u-HYBDSL-S4"=[1]OUT_TransportEnergyCons!$A$3:$A$1000)*1,("Var_Fin"=[1]OUT_TransportEnergyCons!$B$3:$B$1000)*1,ISNUMBER(SEARCH("DSL",[1]OUT_TransportEnergyCons!$C$3:$C$1000))*1,[1]OUT_TransportEnergyCons!H$3:H$1000)</f>
        <v>4.9112615492644427E-5</v>
      </c>
      <c r="K1335" s="1" cm="1">
        <f t="array" ref="K1335">SUMPRODUCT(("T_B_u-HYBDSL-S4"=[1]OUT_TransportEnergyCons!$A$3:$A$1000)*1,("Var_Fin"=[1]OUT_TransportEnergyCons!$B$3:$B$1000)*1,ISNUMBER(SEARCH("DSL",[1]OUT_TransportEnergyCons!$C$3:$C$1000))*1,[1]OUT_TransportEnergyCons!I$3:I$1000)</f>
        <v>8.2240626624776629E-5</v>
      </c>
      <c r="L1335" s="1" cm="1">
        <f t="array" ref="L1335">SUMPRODUCT(("T_B_u-HYBDSL-S4"=[1]OUT_TransportEnergyCons!$A$3:$A$1000)*1,("Var_Fin"=[1]OUT_TransportEnergyCons!$B$3:$B$1000)*1,ISNUMBER(SEARCH("DSL",[1]OUT_TransportEnergyCons!$C$3:$C$1000))*1,[1]OUT_TransportEnergyCons!J$3:J$1000)</f>
        <v>7.1381702805918917E-5</v>
      </c>
      <c r="M1335" s="1" cm="1">
        <f t="array" ref="M1335">SUMPRODUCT(("T_B_u-HYBDSL-S4"=[1]OUT_TransportEnergyCons!$A$3:$A$1000)*1,("Var_Fin"=[1]OUT_TransportEnergyCons!$B$3:$B$1000)*1,ISNUMBER(SEARCH("DSL",[1]OUT_TransportEnergyCons!$C$3:$C$1000))*1,[1]OUT_TransportEnergyCons!K$3:K$1000)</f>
        <v>1.105874358771756E-4</v>
      </c>
      <c r="N1335" s="1" cm="1">
        <f t="array" ref="N1335">SUMPRODUCT(("T_B_u-HYBDSL-S4"=[1]OUT_TransportEnergyCons!$A$3:$A$1000)*1,("Var_Fin"=[1]OUT_TransportEnergyCons!$B$3:$B$1000)*1,ISNUMBER(SEARCH("DSL",[1]OUT_TransportEnergyCons!$C$3:$C$1000))*1,[1]OUT_TransportEnergyCons!L$3:L$1000)</f>
        <v>1.078096613305148E-4</v>
      </c>
      <c r="O1335" s="1" cm="1">
        <f t="array" ref="O1335">SUMPRODUCT(("T_B_u-HYBDSL-S4"=[1]OUT_TransportEnergyCons!$A$3:$A$1000)*1,("Var_Fin"=[1]OUT_TransportEnergyCons!$B$3:$B$1000)*1,ISNUMBER(SEARCH("DSL",[1]OUT_TransportEnergyCons!$C$3:$C$1000))*1,[1]OUT_TransportEnergyCons!M$3:M$1000)</f>
        <v>1.1117058419671393E-4</v>
      </c>
      <c r="P1335" s="1" cm="1">
        <f t="array" ref="P1335">SUMPRODUCT(("T_B_u-HYBDSL-S4"=[1]OUT_TransportEnergyCons!$A$3:$A$1000)*1,("Var_Fin"=[1]OUT_TransportEnergyCons!$B$3:$B$1000)*1,ISNUMBER(SEARCH("DSL",[1]OUT_TransportEnergyCons!$C$3:$C$1000))*1,[1]OUT_TransportEnergyCons!N$3:N$1000)</f>
        <v>1.6751366626713553E-4</v>
      </c>
      <c r="Q1335" s="1" cm="1">
        <f t="array" ref="Q1335">SUMPRODUCT(("T_B_u-HYBDSL-S4"=[1]OUT_TransportEnergyCons!$A$3:$A$1000)*1,("Var_Fin"=[1]OUT_TransportEnergyCons!$B$3:$B$1000)*1,ISNUMBER(SEARCH("DSL",[1]OUT_TransportEnergyCons!$C$3:$C$1000))*1,[1]OUT_TransportEnergyCons!O$3:O$1000)</f>
        <v>2.2898567293667293E-4</v>
      </c>
      <c r="S1335" s="3"/>
    </row>
    <row r="1336" spans="2:19" x14ac:dyDescent="0.5">
      <c r="B1336" s="5" t="str">
        <f t="shared" si="1478"/>
        <v>SPS1</v>
      </c>
      <c r="C1336" s="5" t="str">
        <f t="shared" si="1479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1.7338767994487962E-2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1.7318296036106403E-2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1.7250173734698719E-2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SUMPRODUCT(("T_B_u-ICEDSLEXT"=[1]OUT_TransportEnergyCons!$A$3:$A$1000)*1,("Var_Fin"=[1]OUT_TransportEnergyCons!$B$3:$B$1000)*1,ISNUMBER(SEARCH("DSL",[1]OUT_TransportEnergyCons!$C$3:$C$1000))*1,[1]OUT_TransportEnergyCons!H$3:H$1000)</f>
        <v>0</v>
      </c>
      <c r="K1336" s="1" cm="1">
        <f t="array" ref="K1336">SUMPRODUCT(("T_B_u-ICEDSLEXT"=[1]OUT_TransportEnergyCons!$A$3:$A$1000)*1,("Var_Fin"=[1]OUT_TransportEnergyCons!$B$3:$B$1000)*1,ISNUMBER(SEARCH("DSL",[1]OUT_TransportEnergyCons!$C$3:$C$1000))*1,[1]OUT_TransportEnergyCons!I$3:I$1000)</f>
        <v>0</v>
      </c>
      <c r="L1336" s="1" cm="1">
        <f t="array" ref="L1336">SUMPRODUCT(("T_B_u-ICEDSLEXT"=[1]OUT_TransportEnergyCons!$A$3:$A$1000)*1,("Var_Fin"=[1]OUT_TransportEnergyCons!$B$3:$B$1000)*1,ISNUMBER(SEARCH("DSL",[1]OUT_TransportEnergyCons!$C$3:$C$1000))*1,[1]OUT_TransportEnergyCons!J$3:J$1000)</f>
        <v>0</v>
      </c>
      <c r="M1336" s="1" cm="1">
        <f t="array" ref="M1336">SUMPRODUCT(("T_B_u-ICEDSLEXT"=[1]OUT_TransportEnergyCons!$A$3:$A$1000)*1,("Var_Fin"=[1]OUT_TransportEnergyCons!$B$3:$B$1000)*1,ISNUMBER(SEARCH("DSL",[1]OUT_TransportEnergyCons!$C$3:$C$1000))*1,[1]OUT_TransportEnergyCons!K$3:K$1000)</f>
        <v>0</v>
      </c>
      <c r="N1336" s="1" cm="1">
        <f t="array" ref="N1336">SUMPRODUCT(("T_B_u-ICEDSLEXT"=[1]OUT_TransportEnergyCons!$A$3:$A$1000)*1,("Var_Fin"=[1]OUT_TransportEnergyCons!$B$3:$B$1000)*1,ISNUMBER(SEARCH("DSL",[1]OUT_TransportEnergyCons!$C$3:$C$1000))*1,[1]OUT_TransportEnergyCons!L$3:L$1000)</f>
        <v>0</v>
      </c>
      <c r="O1336" s="1" cm="1">
        <f t="array" ref="O1336">SUMPRODUCT(("T_B_u-ICEDSLEXT"=[1]OUT_TransportEnergyCons!$A$3:$A$1000)*1,("Var_Fin"=[1]OUT_TransportEnergyCons!$B$3:$B$1000)*1,ISNUMBER(SEARCH("DSL",[1]OUT_TransportEnergyCons!$C$3:$C$1000))*1,[1]OUT_TransportEnergyCons!M$3:M$1000)</f>
        <v>0</v>
      </c>
      <c r="P1336" s="1" cm="1">
        <f t="array" ref="P1336">SUMPRODUCT(("T_B_u-ICEDSLEXT"=[1]OUT_TransportEnergyCons!$A$3:$A$1000)*1,("Var_Fin"=[1]OUT_TransportEnergyCons!$B$3:$B$1000)*1,ISNUMBER(SEARCH("DSL",[1]OUT_TransportEnergyCons!$C$3:$C$1000))*1,[1]OUT_TransportEnergyCons!N$3:N$1000)</f>
        <v>0</v>
      </c>
      <c r="Q1336" s="1" cm="1">
        <f t="array" ref="Q1336">SUMPRODUCT(("T_B_u-ICEDSLEXT"=[1]OUT_TransportEnergyCons!$A$3:$A$1000)*1,("Var_Fin"=[1]OUT_TransportEnergyCons!$B$3:$B$1000)*1,ISNUMBER(SEARCH("DSL",[1]OUT_TransportEnergyCons!$C$3:$C$1000))*1,[1]OUT_TransportEnergyCons!O$3:O$1000)</f>
        <v>0</v>
      </c>
      <c r="S1336" s="3"/>
    </row>
    <row r="1337" spans="2:19" x14ac:dyDescent="0.5">
      <c r="B1337" s="5" t="str">
        <f t="shared" si="1478"/>
        <v>SPS1</v>
      </c>
      <c r="C1337" s="5" t="str">
        <f t="shared" si="1479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3.0494153609964583E-4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0.2634098808681804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0.46838738575192024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4.4948250877290219E-5</v>
      </c>
      <c r="J1337" s="1" cm="1">
        <f t="array" ref="J1337">SUMPRODUCT(("T_B_u-ICEDSL-S1"=[1]OUT_TransportEnergyCons!$A$3:$A$1000)*1,("Var_Fin"=[1]OUT_TransportEnergyCons!$B$3:$B$1000)*1,ISNUMBER(SEARCH("DSL",[1]OUT_TransportEnergyCons!$C$3:$C$1000))*1,[1]OUT_TransportEnergyCons!H$3:H$1000)</f>
        <v>0</v>
      </c>
      <c r="K1337" s="1" cm="1">
        <f t="array" ref="K1337">SUMPRODUCT(("T_B_u-ICEDSL-S1"=[1]OUT_TransportEnergyCons!$A$3:$A$1000)*1,("Var_Fin"=[1]OUT_TransportEnergyCons!$B$3:$B$1000)*1,ISNUMBER(SEARCH("DSL",[1]OUT_TransportEnergyCons!$C$3:$C$1000))*1,[1]OUT_TransportEnergyCons!I$3:I$1000)</f>
        <v>0</v>
      </c>
      <c r="L1337" s="1" cm="1">
        <f t="array" ref="L1337">SUMPRODUCT(("T_B_u-ICEDSL-S1"=[1]OUT_TransportEnergyCons!$A$3:$A$1000)*1,("Var_Fin"=[1]OUT_TransportEnergyCons!$B$3:$B$1000)*1,ISNUMBER(SEARCH("DSL",[1]OUT_TransportEnergyCons!$C$3:$C$1000))*1,[1]OUT_TransportEnergyCons!J$3:J$1000)</f>
        <v>0</v>
      </c>
      <c r="M1337" s="1" cm="1">
        <f t="array" ref="M1337">SUMPRODUCT(("T_B_u-ICEDSL-S1"=[1]OUT_TransportEnergyCons!$A$3:$A$1000)*1,("Var_Fin"=[1]OUT_TransportEnergyCons!$B$3:$B$1000)*1,ISNUMBER(SEARCH("DSL",[1]OUT_TransportEnergyCons!$C$3:$C$1000))*1,[1]OUT_TransportEnergyCons!K$3:K$1000)</f>
        <v>0</v>
      </c>
      <c r="N1337" s="1" cm="1">
        <f t="array" ref="N1337">SUMPRODUCT(("T_B_u-ICEDSL-S1"=[1]OUT_TransportEnergyCons!$A$3:$A$1000)*1,("Var_Fin"=[1]OUT_TransportEnergyCons!$B$3:$B$1000)*1,ISNUMBER(SEARCH("DSL",[1]OUT_TransportEnergyCons!$C$3:$C$1000))*1,[1]OUT_TransportEnergyCons!L$3:L$1000)</f>
        <v>0</v>
      </c>
      <c r="O1337" s="1" cm="1">
        <f t="array" ref="O1337">SUMPRODUCT(("T_B_u-ICEDSL-S1"=[1]OUT_TransportEnergyCons!$A$3:$A$1000)*1,("Var_Fin"=[1]OUT_TransportEnergyCons!$B$3:$B$1000)*1,ISNUMBER(SEARCH("DSL",[1]OUT_TransportEnergyCons!$C$3:$C$1000))*1,[1]OUT_TransportEnergyCons!M$3:M$1000)</f>
        <v>0</v>
      </c>
      <c r="P1337" s="1" cm="1">
        <f t="array" ref="P1337">SUMPRODUCT(("T_B_u-ICEDSL-S1"=[1]OUT_TransportEnergyCons!$A$3:$A$1000)*1,("Var_Fin"=[1]OUT_TransportEnergyCons!$B$3:$B$1000)*1,ISNUMBER(SEARCH("DSL",[1]OUT_TransportEnergyCons!$C$3:$C$1000))*1,[1]OUT_TransportEnergyCons!N$3:N$1000)</f>
        <v>0</v>
      </c>
      <c r="Q1337" s="1" cm="1">
        <f t="array" ref="Q1337">SUMPRODUCT(("T_B_u-ICEDSL-S1"=[1]OUT_TransportEnergyCons!$A$3:$A$1000)*1,("Var_Fin"=[1]OUT_TransportEnergyCons!$B$3:$B$1000)*1,ISNUMBER(SEARCH("DSL",[1]OUT_TransportEnergyCons!$C$3:$C$1000))*1,[1]OUT_TransportEnergyCons!O$3:O$1000)</f>
        <v>0</v>
      </c>
      <c r="S1337" s="3"/>
    </row>
    <row r="1338" spans="2:19" x14ac:dyDescent="0.5">
      <c r="B1338" s="5" t="str">
        <f t="shared" si="1478"/>
        <v>SPS1</v>
      </c>
      <c r="C1338" s="5" t="str">
        <f t="shared" si="1479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0.10940271716312526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0.13697782981390672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0.22574475755495457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SUMPRODUCT(("T_B_u-ICEDSL-S2"=[1]OUT_TransportEnergyCons!$A$3:$A$1000)*1,("Var_Fin"=[1]OUT_TransportEnergyCons!$B$3:$B$1000)*1,ISNUMBER(SEARCH("DSL",[1]OUT_TransportEnergyCons!$C$3:$C$1000))*1,[1]OUT_TransportEnergyCons!H$3:H$1000)</f>
        <v>0</v>
      </c>
      <c r="K1338" s="1" cm="1">
        <f t="array" ref="K1338">SUMPRODUCT(("T_B_u-ICEDSL-S2"=[1]OUT_TransportEnergyCons!$A$3:$A$1000)*1,("Var_Fin"=[1]OUT_TransportEnergyCons!$B$3:$B$1000)*1,ISNUMBER(SEARCH("DSL",[1]OUT_TransportEnergyCons!$C$3:$C$1000))*1,[1]OUT_TransportEnergyCons!I$3:I$1000)</f>
        <v>0</v>
      </c>
      <c r="L1338" s="1" cm="1">
        <f t="array" ref="L1338">SUMPRODUCT(("T_B_u-ICEDSL-S2"=[1]OUT_TransportEnergyCons!$A$3:$A$1000)*1,("Var_Fin"=[1]OUT_TransportEnergyCons!$B$3:$B$1000)*1,ISNUMBER(SEARCH("DSL",[1]OUT_TransportEnergyCons!$C$3:$C$1000))*1,[1]OUT_TransportEnergyCons!J$3:J$1000)</f>
        <v>0</v>
      </c>
      <c r="M1338" s="1" cm="1">
        <f t="array" ref="M1338">SUMPRODUCT(("T_B_u-ICEDSL-S2"=[1]OUT_TransportEnergyCons!$A$3:$A$1000)*1,("Var_Fin"=[1]OUT_TransportEnergyCons!$B$3:$B$1000)*1,ISNUMBER(SEARCH("DSL",[1]OUT_TransportEnergyCons!$C$3:$C$1000))*1,[1]OUT_TransportEnergyCons!K$3:K$1000)</f>
        <v>0</v>
      </c>
      <c r="N1338" s="1" cm="1">
        <f t="array" ref="N1338">SUMPRODUCT(("T_B_u-ICEDSL-S2"=[1]OUT_TransportEnergyCons!$A$3:$A$1000)*1,("Var_Fin"=[1]OUT_TransportEnergyCons!$B$3:$B$1000)*1,ISNUMBER(SEARCH("DSL",[1]OUT_TransportEnergyCons!$C$3:$C$1000))*1,[1]OUT_TransportEnergyCons!L$3:L$1000)</f>
        <v>0</v>
      </c>
      <c r="O1338" s="1" cm="1">
        <f t="array" ref="O1338">SUMPRODUCT(("T_B_u-ICEDSL-S2"=[1]OUT_TransportEnergyCons!$A$3:$A$1000)*1,("Var_Fin"=[1]OUT_TransportEnergyCons!$B$3:$B$1000)*1,ISNUMBER(SEARCH("DSL",[1]OUT_TransportEnergyCons!$C$3:$C$1000))*1,[1]OUT_TransportEnergyCons!M$3:M$1000)</f>
        <v>0</v>
      </c>
      <c r="P1338" s="1" cm="1">
        <f t="array" ref="P1338">SUMPRODUCT(("T_B_u-ICEDSL-S2"=[1]OUT_TransportEnergyCons!$A$3:$A$1000)*1,("Var_Fin"=[1]OUT_TransportEnergyCons!$B$3:$B$1000)*1,ISNUMBER(SEARCH("DSL",[1]OUT_TransportEnergyCons!$C$3:$C$1000))*1,[1]OUT_TransportEnergyCons!N$3:N$1000)</f>
        <v>0</v>
      </c>
      <c r="Q1338" s="1" cm="1">
        <f t="array" ref="Q1338">SUMPRODUCT(("T_B_u-ICEDSL-S2"=[1]OUT_TransportEnergyCons!$A$3:$A$1000)*1,("Var_Fin"=[1]OUT_TransportEnergyCons!$B$3:$B$1000)*1,ISNUMBER(SEARCH("DSL",[1]OUT_TransportEnergyCons!$C$3:$C$1000))*1,[1]OUT_TransportEnergyCons!O$3:O$1000)</f>
        <v>0</v>
      </c>
      <c r="S1338" s="3"/>
    </row>
    <row r="1339" spans="2:19" x14ac:dyDescent="0.5">
      <c r="B1339" s="5" t="str">
        <f t="shared" si="1478"/>
        <v>SPS1</v>
      </c>
      <c r="C1339" s="5" t="str">
        <f t="shared" si="1479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0.6300227018772282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0.87106677997028037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0.87175245858162054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SUMPRODUCT(("T_B_u-ICEDSL-S3"=[1]OUT_TransportEnergyCons!$A$3:$A$1000)*1,("Var_Fin"=[1]OUT_TransportEnergyCons!$B$3:$B$1000)*1,ISNUMBER(SEARCH("DSL",[1]OUT_TransportEnergyCons!$C$3:$C$1000))*1,[1]OUT_TransportEnergyCons!H$3:H$1000)</f>
        <v>0</v>
      </c>
      <c r="K1339" s="1" cm="1">
        <f t="array" ref="K1339">SUMPRODUCT(("T_B_u-ICEDSL-S3"=[1]OUT_TransportEnergyCons!$A$3:$A$1000)*1,("Var_Fin"=[1]OUT_TransportEnergyCons!$B$3:$B$1000)*1,ISNUMBER(SEARCH("DSL",[1]OUT_TransportEnergyCons!$C$3:$C$1000))*1,[1]OUT_TransportEnergyCons!I$3:I$1000)</f>
        <v>0</v>
      </c>
      <c r="L1339" s="1" cm="1">
        <f t="array" ref="L1339">SUMPRODUCT(("T_B_u-ICEDSL-S3"=[1]OUT_TransportEnergyCons!$A$3:$A$1000)*1,("Var_Fin"=[1]OUT_TransportEnergyCons!$B$3:$B$1000)*1,ISNUMBER(SEARCH("DSL",[1]OUT_TransportEnergyCons!$C$3:$C$1000))*1,[1]OUT_TransportEnergyCons!J$3:J$1000)</f>
        <v>0</v>
      </c>
      <c r="M1339" s="1" cm="1">
        <f t="array" ref="M1339">SUMPRODUCT(("T_B_u-ICEDSL-S3"=[1]OUT_TransportEnergyCons!$A$3:$A$1000)*1,("Var_Fin"=[1]OUT_TransportEnergyCons!$B$3:$B$1000)*1,ISNUMBER(SEARCH("DSL",[1]OUT_TransportEnergyCons!$C$3:$C$1000))*1,[1]OUT_TransportEnergyCons!K$3:K$1000)</f>
        <v>0</v>
      </c>
      <c r="N1339" s="1" cm="1">
        <f t="array" ref="N1339">SUMPRODUCT(("T_B_u-ICEDSL-S3"=[1]OUT_TransportEnergyCons!$A$3:$A$1000)*1,("Var_Fin"=[1]OUT_TransportEnergyCons!$B$3:$B$1000)*1,ISNUMBER(SEARCH("DSL",[1]OUT_TransportEnergyCons!$C$3:$C$1000))*1,[1]OUT_TransportEnergyCons!L$3:L$1000)</f>
        <v>0</v>
      </c>
      <c r="O1339" s="1" cm="1">
        <f t="array" ref="O1339">SUMPRODUCT(("T_B_u-ICEDSL-S3"=[1]OUT_TransportEnergyCons!$A$3:$A$1000)*1,("Var_Fin"=[1]OUT_TransportEnergyCons!$B$3:$B$1000)*1,ISNUMBER(SEARCH("DSL",[1]OUT_TransportEnergyCons!$C$3:$C$1000))*1,[1]OUT_TransportEnergyCons!M$3:M$1000)</f>
        <v>0</v>
      </c>
      <c r="P1339" s="1" cm="1">
        <f t="array" ref="P1339">SUMPRODUCT(("T_B_u-ICEDSL-S3"=[1]OUT_TransportEnergyCons!$A$3:$A$1000)*1,("Var_Fin"=[1]OUT_TransportEnergyCons!$B$3:$B$1000)*1,ISNUMBER(SEARCH("DSL",[1]OUT_TransportEnergyCons!$C$3:$C$1000))*1,[1]OUT_TransportEnergyCons!N$3:N$1000)</f>
        <v>0</v>
      </c>
      <c r="Q1339" s="1" cm="1">
        <f t="array" ref="Q1339">SUMPRODUCT(("T_B_u-ICEDSL-S3"=[1]OUT_TransportEnergyCons!$A$3:$A$1000)*1,("Var_Fin"=[1]OUT_TransportEnergyCons!$B$3:$B$1000)*1,ISNUMBER(SEARCH("DSL",[1]OUT_TransportEnergyCons!$C$3:$C$1000))*1,[1]OUT_TransportEnergyCons!O$3:O$1000)</f>
        <v>0</v>
      </c>
      <c r="S1339" s="3"/>
    </row>
    <row r="1340" spans="2:19" x14ac:dyDescent="0.5">
      <c r="B1340" s="5" t="str">
        <f t="shared" si="1478"/>
        <v>SPS1</v>
      </c>
      <c r="C1340" s="5" t="str">
        <f t="shared" si="1479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4.008654416556884E-3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2.6994090714109763E-4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3.9634727473871487E-4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SUMPRODUCT(("T_B_u-ICEDSL-S4"=[1]OUT_TransportEnergyCons!$A$3:$A$1000)*1,("Var_Fin"=[1]OUT_TransportEnergyCons!$B$3:$B$1000)*1,ISNUMBER(SEARCH("DSL",[1]OUT_TransportEnergyCons!$C$3:$C$1000))*1,[1]OUT_TransportEnergyCons!H$3:H$1000)</f>
        <v>0</v>
      </c>
      <c r="K1340" s="1" cm="1">
        <f t="array" ref="K1340">SUMPRODUCT(("T_B_u-ICEDSL-S4"=[1]OUT_TransportEnergyCons!$A$3:$A$1000)*1,("Var_Fin"=[1]OUT_TransportEnergyCons!$B$3:$B$1000)*1,ISNUMBER(SEARCH("DSL",[1]OUT_TransportEnergyCons!$C$3:$C$1000))*1,[1]OUT_TransportEnergyCons!I$3:I$1000)</f>
        <v>0</v>
      </c>
      <c r="L1340" s="1" cm="1">
        <f t="array" ref="L1340">SUMPRODUCT(("T_B_u-ICEDSL-S4"=[1]OUT_TransportEnergyCons!$A$3:$A$1000)*1,("Var_Fin"=[1]OUT_TransportEnergyCons!$B$3:$B$1000)*1,ISNUMBER(SEARCH("DSL",[1]OUT_TransportEnergyCons!$C$3:$C$1000))*1,[1]OUT_TransportEnergyCons!J$3:J$1000)</f>
        <v>0</v>
      </c>
      <c r="M1340" s="1" cm="1">
        <f t="array" ref="M1340">SUMPRODUCT(("T_B_u-ICEDSL-S4"=[1]OUT_TransportEnergyCons!$A$3:$A$1000)*1,("Var_Fin"=[1]OUT_TransportEnergyCons!$B$3:$B$1000)*1,ISNUMBER(SEARCH("DSL",[1]OUT_TransportEnergyCons!$C$3:$C$1000))*1,[1]OUT_TransportEnergyCons!K$3:K$1000)</f>
        <v>0</v>
      </c>
      <c r="N1340" s="1" cm="1">
        <f t="array" ref="N1340">SUMPRODUCT(("T_B_u-ICEDSL-S4"=[1]OUT_TransportEnergyCons!$A$3:$A$1000)*1,("Var_Fin"=[1]OUT_TransportEnergyCons!$B$3:$B$1000)*1,ISNUMBER(SEARCH("DSL",[1]OUT_TransportEnergyCons!$C$3:$C$1000))*1,[1]OUT_TransportEnergyCons!L$3:L$1000)</f>
        <v>0</v>
      </c>
      <c r="O1340" s="1" cm="1">
        <f t="array" ref="O1340">SUMPRODUCT(("T_B_u-ICEDSL-S4"=[1]OUT_TransportEnergyCons!$A$3:$A$1000)*1,("Var_Fin"=[1]OUT_TransportEnergyCons!$B$3:$B$1000)*1,ISNUMBER(SEARCH("DSL",[1]OUT_TransportEnergyCons!$C$3:$C$1000))*1,[1]OUT_TransportEnergyCons!M$3:M$1000)</f>
        <v>0</v>
      </c>
      <c r="P1340" s="1" cm="1">
        <f t="array" ref="P1340">SUMPRODUCT(("T_B_u-ICEDSL-S4"=[1]OUT_TransportEnergyCons!$A$3:$A$1000)*1,("Var_Fin"=[1]OUT_TransportEnergyCons!$B$3:$B$1000)*1,ISNUMBER(SEARCH("DSL",[1]OUT_TransportEnergyCons!$C$3:$C$1000))*1,[1]OUT_TransportEnergyCons!N$3:N$1000)</f>
        <v>0</v>
      </c>
      <c r="Q1340" s="1" cm="1">
        <f t="array" ref="Q1340">SUMPRODUCT(("T_B_u-ICEDSL-S4"=[1]OUT_TransportEnergyCons!$A$3:$A$1000)*1,("Var_Fin"=[1]OUT_TransportEnergyCons!$B$3:$B$1000)*1,ISNUMBER(SEARCH("DSL",[1]OUT_TransportEnergyCons!$C$3:$C$1000))*1,[1]OUT_TransportEnergyCons!O$3:O$1000)</f>
        <v>0</v>
      </c>
      <c r="S1340" s="3"/>
    </row>
    <row r="1341" spans="2:19" x14ac:dyDescent="0.5">
      <c r="B1341" s="5" t="str">
        <f t="shared" si="1478"/>
        <v>SPS1</v>
      </c>
      <c r="C1341" s="5" t="str">
        <f t="shared" si="1479"/>
        <v>CH</v>
      </c>
      <c r="D1341" t="s">
        <v>1343</v>
      </c>
      <c r="E1341" t="s">
        <v>8</v>
      </c>
      <c r="F1341" s="1">
        <f>SUM(F1346:F1350)</f>
        <v>3.1622916593221617E-4</v>
      </c>
      <c r="G1341" s="1">
        <f t="shared" ref="G1341:K1341" si="1492">SUM(G1346:G1350)</f>
        <v>5.3465027144400867E-4</v>
      </c>
      <c r="H1341" s="1">
        <f t="shared" si="1492"/>
        <v>1.8545620910178823E-2</v>
      </c>
      <c r="I1341" s="1">
        <f t="shared" si="1492"/>
        <v>0</v>
      </c>
      <c r="J1341" s="1">
        <f t="shared" si="1492"/>
        <v>0</v>
      </c>
      <c r="K1341" s="1">
        <f t="shared" si="1492"/>
        <v>5.3736746381989873E-7</v>
      </c>
      <c r="L1341" s="1">
        <f t="shared" ref="L1341:O1341" si="1493">SUM(L1346:L1350)</f>
        <v>5.6754980035479763E-7</v>
      </c>
      <c r="M1341" s="1">
        <f t="shared" si="1493"/>
        <v>5.2402656865579303E-7</v>
      </c>
      <c r="N1341" s="1">
        <f t="shared" si="1493"/>
        <v>8.0735458696995066E-7</v>
      </c>
      <c r="O1341" s="1">
        <f t="shared" si="1493"/>
        <v>5.2956062899044239E-7</v>
      </c>
      <c r="P1341" s="1">
        <f>SUM(P1346:P1350)</f>
        <v>2.6098084489119025E-7</v>
      </c>
      <c r="Q1341" s="1">
        <f>SUM(Q1346:Q1350)</f>
        <v>1.5136846611251141E-6</v>
      </c>
      <c r="S1341" s="3"/>
    </row>
    <row r="1342" spans="2:19" x14ac:dyDescent="0.5">
      <c r="B1342" s="5" t="str">
        <f t="shared" si="1478"/>
        <v>SPS1</v>
      </c>
      <c r="C1342" s="5" t="str">
        <f t="shared" si="1479"/>
        <v>CH</v>
      </c>
      <c r="D1342" t="s">
        <v>1344</v>
      </c>
      <c r="E1342" t="s">
        <v>8</v>
      </c>
      <c r="F1342" s="1">
        <f>IF(F1341-F1343&lt;0,0,F1341-F1343)</f>
        <v>2.9216732897837337E-4</v>
      </c>
      <c r="G1342" s="1">
        <f t="shared" ref="G1342:K1342" si="1494">IF(G1341-G1343&lt;0,0,G1341-G1343)</f>
        <v>4.6847754531099039E-4</v>
      </c>
      <c r="H1342" s="1">
        <f t="shared" si="1494"/>
        <v>1.8163535716016921E-2</v>
      </c>
      <c r="I1342" s="1">
        <f t="shared" si="1494"/>
        <v>0</v>
      </c>
      <c r="J1342" s="1">
        <f t="shared" si="1494"/>
        <v>0</v>
      </c>
      <c r="K1342" s="1">
        <f t="shared" si="1494"/>
        <v>0</v>
      </c>
      <c r="L1342" s="1">
        <f t="shared" ref="L1342:O1342" si="1495">IF(L1341-L1343&lt;0,0,L1341-L1343)</f>
        <v>0</v>
      </c>
      <c r="M1342" s="1">
        <f t="shared" si="1495"/>
        <v>0</v>
      </c>
      <c r="N1342" s="1">
        <f t="shared" si="1495"/>
        <v>0</v>
      </c>
      <c r="O1342" s="1">
        <f t="shared" si="1495"/>
        <v>0</v>
      </c>
      <c r="P1342" s="1">
        <f>IF(P1341-P1343&lt;0,0,P1341-P1343)</f>
        <v>0</v>
      </c>
      <c r="Q1342" s="1">
        <f>IF(Q1341-Q1343&lt;0,0,Q1341-Q1343)</f>
        <v>0</v>
      </c>
      <c r="S1342" s="3"/>
    </row>
    <row r="1343" spans="2:19" x14ac:dyDescent="0.5">
      <c r="B1343" s="5" t="str">
        <f t="shared" si="1478"/>
        <v>SPS1</v>
      </c>
      <c r="C1343" s="5" t="str">
        <f t="shared" si="1479"/>
        <v>CH</v>
      </c>
      <c r="D1343" t="s">
        <v>1345</v>
      </c>
      <c r="E1343" t="s">
        <v>8</v>
      </c>
      <c r="F1343" s="1">
        <f>SUM(F1344:F1345)</f>
        <v>2.4061836953842788E-5</v>
      </c>
      <c r="G1343" s="1">
        <f t="shared" ref="G1343" si="1496">SUM(G1344:G1345)</f>
        <v>6.6172726133018286E-5</v>
      </c>
      <c r="H1343" s="1">
        <f t="shared" ref="H1343" si="1497">SUM(H1344:H1345)</f>
        <v>3.8208519416190237E-4</v>
      </c>
      <c r="I1343" s="1">
        <f t="shared" ref="I1343" si="1498">SUM(I1344:I1345)</f>
        <v>0</v>
      </c>
      <c r="J1343" s="1">
        <f t="shared" ref="J1343" si="1499">SUM(J1344:J1345)</f>
        <v>0</v>
      </c>
      <c r="K1343" s="1">
        <f t="shared" ref="K1343" si="1500">SUM(K1344:K1345)</f>
        <v>3.7866121638718771E-4</v>
      </c>
      <c r="L1343" s="1">
        <f t="shared" ref="L1343:O1343" si="1501">SUM(L1344:L1345)</f>
        <v>5.4086169072816887E-5</v>
      </c>
      <c r="M1343" s="1">
        <f t="shared" si="1501"/>
        <v>8.2906940473532001E-5</v>
      </c>
      <c r="N1343" s="1">
        <f t="shared" si="1501"/>
        <v>6.2331366382412958E-5</v>
      </c>
      <c r="O1343" s="1">
        <f t="shared" si="1501"/>
        <v>5.9724104783171519E-5</v>
      </c>
      <c r="P1343" s="1">
        <f>SUM(P1344:P1345)</f>
        <v>8.8690654822581243E-5</v>
      </c>
      <c r="Q1343" s="1">
        <f>SUM(Q1344:Q1345)</f>
        <v>1.7210264612999552E-4</v>
      </c>
      <c r="S1343" s="3"/>
    </row>
    <row r="1344" spans="2:19" x14ac:dyDescent="0.5">
      <c r="B1344" s="5" t="str">
        <f t="shared" si="1478"/>
        <v>SPS1</v>
      </c>
      <c r="C1344" s="5" t="str">
        <f t="shared" si="1479"/>
        <v>CH</v>
      </c>
      <c r="D1344" t="s">
        <v>1346</v>
      </c>
      <c r="E1344" t="s">
        <v>8</v>
      </c>
      <c r="F1344" s="1">
        <f>IF(SUM([1]Transport!B$24,[1]Transport!B$27)=0,0,[1]Transport!B$27/SUM([1]Transport!B$24,[1]Transport!B$27)*F1341*(F$47+F$614)/(F$47+F$614+F$49))</f>
        <v>2.4061836953842788E-5</v>
      </c>
      <c r="G1344" s="1">
        <f>IF(SUM([1]Transport!C$24,[1]Transport!C$27)=0,0,[1]Transport!C$27/SUM([1]Transport!C$24,[1]Transport!C$27)*G1341*(G$47+G$614)/(G$47+G$614+G$49))</f>
        <v>6.6172726133018286E-5</v>
      </c>
      <c r="H1344" s="1">
        <f>IF(SUM([1]Transport!D$24,[1]Transport!D$27)=0,0,[1]Transport!D$27/SUM([1]Transport!D$24,[1]Transport!D$27)*H1341*(H$47+H$614)/(H$47+H$614+H$49))</f>
        <v>3.8208519416190237E-4</v>
      </c>
      <c r="I1344" s="1">
        <f>IF(SUM([1]Transport!E$24,[1]Transport!E$27)=0,0,[1]Transport!E$27/SUM([1]Transport!E$24,[1]Transport!E$27)*I1341*(I$47+I$614)/(I$47+I$614+I$49))</f>
        <v>0</v>
      </c>
      <c r="J1344" s="1">
        <f>IF(SUM([1]Transport!F$24,[1]Transport!F$27)=0,0,[1]Transport!F$27/SUM([1]Transport!F$24,[1]Transport!F$27)*J1341*(J$47+J$614)/(J$47+J$614+J$49))</f>
        <v>0</v>
      </c>
      <c r="K1344" s="1">
        <f>IF(SUM([1]Transport!G$24,[1]Transport!G$27)=0,0,[1]Transport!G$27/SUM([1]Transport!G$24,[1]Transport!G$27)*K1341*(K$47+K$614)/(K$47+K$614+K$49))</f>
        <v>1.8966405771712778E-8</v>
      </c>
      <c r="L1344" s="1">
        <f>IF(SUM([1]Transport!H$24,[1]Transport!H$27)=0,0,[1]Transport!H$27/SUM([1]Transport!H$24,[1]Transport!H$27)*L1341*(L$47+L$614)/(L$47+L$614+L$49))</f>
        <v>2.6811322160296258E-8</v>
      </c>
      <c r="M1344" s="1">
        <f>IF(SUM([1]Transport!I$24,[1]Transport!I$27)=0,0,[1]Transport!I$27/SUM([1]Transport!I$24,[1]Transport!I$27)*M1341*(M$47+M$614)/(M$47+M$614+M$49))</f>
        <v>5.0034110724942702E-8</v>
      </c>
      <c r="N1344" s="1">
        <f>IF(SUM([1]Transport!J$24,[1]Transport!J$27)=0,0,[1]Transport!J$27/SUM([1]Transport!J$24,[1]Transport!J$27)*N1341*(N$47+N$614)/(N$47+N$614+N$49))</f>
        <v>5.1802648097593744E-8</v>
      </c>
      <c r="O1344" s="1">
        <f>IF(SUM([1]Transport!K$24,[1]Transport!K$27)=0,0,[1]Transport!K$27/SUM([1]Transport!K$24,[1]Transport!K$27)*O1341*(O$47+O$614)/(O$47+O$614+O$49))</f>
        <v>5.5040310529506733E-8</v>
      </c>
      <c r="P1344" s="1">
        <f>IF(SUM([1]Transport!L$24,[1]Transport!L$27)=0,0,[1]Transport!L$27/SUM([1]Transport!L$24,[1]Transport!L$27)*P1341*(P$47+P$614)/(P$47+P$614+P$49))</f>
        <v>2.1888023056973456E-8</v>
      </c>
      <c r="Q1344" s="1">
        <f>IF(SUM([1]Transport!M$24,[1]Transport!M$27)=0,0,[1]Transport!M$27/SUM([1]Transport!M$24,[1]Transport!M$27)*Q1341*(Q$47+Q$614)/(Q$47+Q$614+Q$49))</f>
        <v>2.3985012803772453E-7</v>
      </c>
      <c r="S1344" s="3"/>
    </row>
    <row r="1345" spans="2:19" x14ac:dyDescent="0.5">
      <c r="B1345" s="5" t="str">
        <f t="shared" si="1478"/>
        <v>SPS1</v>
      </c>
      <c r="C1345" s="5" t="str">
        <f t="shared" si="1479"/>
        <v>CH</v>
      </c>
      <c r="D1345" t="s">
        <v>1347</v>
      </c>
      <c r="E1345" t="s">
        <v>8</v>
      </c>
      <c r="F1345" s="1">
        <f>IF(([1]Transport!B$24+[1]Transport!B$27)=0,0,(F$49+F$716)/([1]Transport!B$24+[1]Transport!B$27)*F1341)</f>
        <v>0</v>
      </c>
      <c r="G1345" s="1">
        <f>IF(([1]Transport!C$24+[1]Transport!C$27)=0,0,(G$49+G$716)/([1]Transport!C$24+[1]Transport!C$27)*G1341)</f>
        <v>0</v>
      </c>
      <c r="H1345" s="1">
        <f>IF(([1]Transport!D$24+[1]Transport!D$27)=0,0,(H$49+H$716)/([1]Transport!D$24+[1]Transport!D$27)*H1341)</f>
        <v>0</v>
      </c>
      <c r="I1345" s="1">
        <f>IF(([1]Transport!E$24+[1]Transport!E$27)=0,0,(I$49+I$716)/([1]Transport!E$24+[1]Transport!E$27)*I1341)</f>
        <v>0</v>
      </c>
      <c r="J1345" s="1">
        <f>IF(([1]Transport!F$24+[1]Transport!F$27)=0,0,(J$49+J$716)/([1]Transport!F$24+[1]Transport!F$27)*J1341)</f>
        <v>0</v>
      </c>
      <c r="K1345" s="1">
        <f>IF(([1]Transport!G$24+[1]Transport!G$27)=0,0,(K$49+K$716)/([1]Transport!G$24+[1]Transport!G$27)*K1341)</f>
        <v>3.7864224998141599E-4</v>
      </c>
      <c r="L1345" s="1">
        <f>IF(([1]Transport!H$24+[1]Transport!H$27)=0,0,(L$49+L$716)/([1]Transport!H$24+[1]Transport!H$27)*L1341)</f>
        <v>5.4059357750656592E-5</v>
      </c>
      <c r="M1345" s="1">
        <f>IF(([1]Transport!I$24+[1]Transport!I$27)=0,0,(M$49+M$716)/([1]Transport!I$24+[1]Transport!I$27)*M1341)</f>
        <v>8.2856906362807053E-5</v>
      </c>
      <c r="N1345" s="1">
        <f>IF(([1]Transport!J$24+[1]Transport!J$27)=0,0,(N$49+N$716)/([1]Transport!J$24+[1]Transport!J$27)*N1341)</f>
        <v>6.2279563734315364E-5</v>
      </c>
      <c r="O1345" s="1">
        <f>IF(([1]Transport!K$24+[1]Transport!K$27)=0,0,(O$49+O$716)/([1]Transport!K$24+[1]Transport!K$27)*O1341)</f>
        <v>5.9669064472642015E-5</v>
      </c>
      <c r="P1345" s="1">
        <f>IF(([1]Transport!L$24+[1]Transport!L$27)=0,0,(P$49+P$716)/([1]Transport!L$24+[1]Transport!L$27)*P1341)</f>
        <v>8.8668766799524266E-5</v>
      </c>
      <c r="Q1345" s="1">
        <f>IF(([1]Transport!M$24+[1]Transport!M$27)=0,0,(Q$49+Q$716)/([1]Transport!M$24+[1]Transport!M$27)*Q1341)</f>
        <v>1.7186279600195779E-4</v>
      </c>
      <c r="S1345" s="3"/>
    </row>
    <row r="1346" spans="2:19" x14ac:dyDescent="0.5">
      <c r="B1346" s="5" t="str">
        <f t="shared" si="1478"/>
        <v>SPS1</v>
      </c>
      <c r="C1346" s="5" t="str">
        <f t="shared" si="1479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3.1622916593221617E-4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3.1721292744841997E-4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3.1626187721186139E-4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SUMPRODUCT(("T_B_u-ICEngaEXT"=[1]OUT_TransportEnergyCons!$A$3:$A$1000)*1,("Var_Fin"=[1]OUT_TransportEnergyCons!$B$3:$B$1000)*1,ISNUMBER(SEARCH("nga",[1]OUT_TransportEnergyCons!$C$3:$C$1000))*1,[1]OUT_TransportEnergyCons!H$3:H$1000)</f>
        <v>0</v>
      </c>
      <c r="K1346" s="1" cm="1">
        <f t="array" ref="K1346">SUMPRODUCT(("T_B_u-ICEngaEXT"=[1]OUT_TransportEnergyCons!$A$3:$A$1000)*1,("Var_Fin"=[1]OUT_TransportEnergyCons!$B$3:$B$1000)*1,ISNUMBER(SEARCH("nga",[1]OUT_TransportEnergyCons!$C$3:$C$1000))*1,[1]OUT_TransportEnergyCons!I$3:I$1000)</f>
        <v>0</v>
      </c>
      <c r="L1346" s="1" cm="1">
        <f t="array" ref="L1346">SUMPRODUCT(("T_B_u-ICEngaEXT"=[1]OUT_TransportEnergyCons!$A$3:$A$1000)*1,("Var_Fin"=[1]OUT_TransportEnergyCons!$B$3:$B$1000)*1,ISNUMBER(SEARCH("nga",[1]OUT_TransportEnergyCons!$C$3:$C$1000))*1,[1]OUT_TransportEnergyCons!J$3:J$1000)</f>
        <v>0</v>
      </c>
      <c r="M1346" s="1" cm="1">
        <f t="array" ref="M1346">SUMPRODUCT(("T_B_u-ICEngaEXT"=[1]OUT_TransportEnergyCons!$A$3:$A$1000)*1,("Var_Fin"=[1]OUT_TransportEnergyCons!$B$3:$B$1000)*1,ISNUMBER(SEARCH("nga",[1]OUT_TransportEnergyCons!$C$3:$C$1000))*1,[1]OUT_TransportEnergyCons!K$3:K$1000)</f>
        <v>0</v>
      </c>
      <c r="N1346" s="1" cm="1">
        <f t="array" ref="N1346">SUMPRODUCT(("T_B_u-ICEngaEXT"=[1]OUT_TransportEnergyCons!$A$3:$A$1000)*1,("Var_Fin"=[1]OUT_TransportEnergyCons!$B$3:$B$1000)*1,ISNUMBER(SEARCH("nga",[1]OUT_TransportEnergyCons!$C$3:$C$1000))*1,[1]OUT_TransportEnergyCons!L$3:L$1000)</f>
        <v>0</v>
      </c>
      <c r="O1346" s="1" cm="1">
        <f t="array" ref="O1346">SUMPRODUCT(("T_B_u-ICEngaEXT"=[1]OUT_TransportEnergyCons!$A$3:$A$1000)*1,("Var_Fin"=[1]OUT_TransportEnergyCons!$B$3:$B$1000)*1,ISNUMBER(SEARCH("nga",[1]OUT_TransportEnergyCons!$C$3:$C$1000))*1,[1]OUT_TransportEnergyCons!M$3:M$1000)</f>
        <v>0</v>
      </c>
      <c r="P1346" s="1" cm="1">
        <f t="array" ref="P1346">SUMPRODUCT(("T_B_u-ICEngaEXT"=[1]OUT_TransportEnergyCons!$A$3:$A$1000)*1,("Var_Fin"=[1]OUT_TransportEnergyCons!$B$3:$B$1000)*1,ISNUMBER(SEARCH("nga",[1]OUT_TransportEnergyCons!$C$3:$C$1000))*1,[1]OUT_TransportEnergyCons!N$3:N$1000)</f>
        <v>0</v>
      </c>
      <c r="Q1346" s="1" cm="1">
        <f t="array" ref="Q1346">SUMPRODUCT(("T_B_u-ICEngaEXT"=[1]OUT_TransportEnergyCons!$A$3:$A$1000)*1,("Var_Fin"=[1]OUT_TransportEnergyCons!$B$3:$B$1000)*1,ISNUMBER(SEARCH("nga",[1]OUT_TransportEnergyCons!$C$3:$C$1000))*1,[1]OUT_TransportEnergyCons!O$3:O$1000)</f>
        <v>0</v>
      </c>
      <c r="S1346" s="3"/>
    </row>
    <row r="1347" spans="2:19" x14ac:dyDescent="0.5">
      <c r="B1347" s="5" t="str">
        <f t="shared" si="1478"/>
        <v>SPS1</v>
      </c>
      <c r="C1347" s="5" t="str">
        <f t="shared" si="1479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1.0432612093619996E-4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1.2053401068412998E-3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SUMPRODUCT(("T_B_u-ICEnga-S1"=[1]OUT_TransportEnergyCons!$A$3:$A$1000)*1,("Var_Fin"=[1]OUT_TransportEnergyCons!$B$3:$B$1000)*1,ISNUMBER(SEARCH("nga",[1]OUT_TransportEnergyCons!$C$3:$C$1000))*1,[1]OUT_TransportEnergyCons!H$3:H$1000)</f>
        <v>0</v>
      </c>
      <c r="K1347" s="1" cm="1">
        <f t="array" ref="K1347">SUMPRODUCT(("T_B_u-ICEnga-S1"=[1]OUT_TransportEnergyCons!$A$3:$A$1000)*1,("Var_Fin"=[1]OUT_TransportEnergyCons!$B$3:$B$1000)*1,ISNUMBER(SEARCH("nga",[1]OUT_TransportEnergyCons!$C$3:$C$1000))*1,[1]OUT_TransportEnergyCons!I$3:I$1000)</f>
        <v>5.3736746381989873E-7</v>
      </c>
      <c r="L1347" s="1" cm="1">
        <f t="array" ref="L1347">SUMPRODUCT(("T_B_u-ICEnga-S1"=[1]OUT_TransportEnergyCons!$A$3:$A$1000)*1,("Var_Fin"=[1]OUT_TransportEnergyCons!$B$3:$B$1000)*1,ISNUMBER(SEARCH("nga",[1]OUT_TransportEnergyCons!$C$3:$C$1000))*1,[1]OUT_TransportEnergyCons!J$3:J$1000)</f>
        <v>5.6754980035479763E-7</v>
      </c>
      <c r="M1347" s="1" cm="1">
        <f t="array" ref="M1347">SUMPRODUCT(("T_B_u-ICEnga-S1"=[1]OUT_TransportEnergyCons!$A$3:$A$1000)*1,("Var_Fin"=[1]OUT_TransportEnergyCons!$B$3:$B$1000)*1,ISNUMBER(SEARCH("nga",[1]OUT_TransportEnergyCons!$C$3:$C$1000))*1,[1]OUT_TransportEnergyCons!K$3:K$1000)</f>
        <v>5.2402656865579303E-7</v>
      </c>
      <c r="N1347" s="1" cm="1">
        <f t="array" ref="N1347">SUMPRODUCT(("T_B_u-ICEnga-S1"=[1]OUT_TransportEnergyCons!$A$3:$A$1000)*1,("Var_Fin"=[1]OUT_TransportEnergyCons!$B$3:$B$1000)*1,ISNUMBER(SEARCH("nga",[1]OUT_TransportEnergyCons!$C$3:$C$1000))*1,[1]OUT_TransportEnergyCons!L$3:L$1000)</f>
        <v>8.0735458696995066E-7</v>
      </c>
      <c r="O1347" s="1" cm="1">
        <f t="array" ref="O1347">SUMPRODUCT(("T_B_u-ICEnga-S1"=[1]OUT_TransportEnergyCons!$A$3:$A$1000)*1,("Var_Fin"=[1]OUT_TransportEnergyCons!$B$3:$B$1000)*1,ISNUMBER(SEARCH("nga",[1]OUT_TransportEnergyCons!$C$3:$C$1000))*1,[1]OUT_TransportEnergyCons!M$3:M$1000)</f>
        <v>5.2956062899044239E-7</v>
      </c>
      <c r="P1347" s="1" cm="1">
        <f t="array" ref="P1347">SUMPRODUCT(("T_B_u-ICEnga-S1"=[1]OUT_TransportEnergyCons!$A$3:$A$1000)*1,("Var_Fin"=[1]OUT_TransportEnergyCons!$B$3:$B$1000)*1,ISNUMBER(SEARCH("nga",[1]OUT_TransportEnergyCons!$C$3:$C$1000))*1,[1]OUT_TransportEnergyCons!N$3:N$1000)</f>
        <v>2.6098084489119025E-7</v>
      </c>
      <c r="Q1347" s="1" cm="1">
        <f t="array" ref="Q1347">SUMPRODUCT(("T_B_u-ICEnga-S1"=[1]OUT_TransportEnergyCons!$A$3:$A$1000)*1,("Var_Fin"=[1]OUT_TransportEnergyCons!$B$3:$B$1000)*1,ISNUMBER(SEARCH("nga",[1]OUT_TransportEnergyCons!$C$3:$C$1000))*1,[1]OUT_TransportEnergyCons!O$3:O$1000)</f>
        <v>1.5136846611251141E-6</v>
      </c>
      <c r="S1347" s="3"/>
    </row>
    <row r="1348" spans="2:19" x14ac:dyDescent="0.5">
      <c r="B1348" s="5" t="str">
        <f t="shared" si="1478"/>
        <v>SPS1</v>
      </c>
      <c r="C1348" s="5" t="str">
        <f t="shared" si="1479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6.5928817262916626E-5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1.6651969668888045E-2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SUMPRODUCT(("T_B_u-ICEnga-S2"=[1]OUT_TransportEnergyCons!$A$3:$A$1000)*1,("Var_Fin"=[1]OUT_TransportEnergyCons!$B$3:$B$1000)*1,ISNUMBER(SEARCH("nga",[1]OUT_TransportEnergyCons!$C$3:$C$1000))*1,[1]OUT_TransportEnergyCons!H$3:H$1000)</f>
        <v>0</v>
      </c>
      <c r="K1348" s="1" cm="1">
        <f t="array" ref="K1348">SUMPRODUCT(("T_B_u-ICEnga-S2"=[1]OUT_TransportEnergyCons!$A$3:$A$1000)*1,("Var_Fin"=[1]OUT_TransportEnergyCons!$B$3:$B$1000)*1,ISNUMBER(SEARCH("nga",[1]OUT_TransportEnergyCons!$C$3:$C$1000))*1,[1]OUT_TransportEnergyCons!I$3:I$1000)</f>
        <v>0</v>
      </c>
      <c r="L1348" s="1" cm="1">
        <f t="array" ref="L1348">SUMPRODUCT(("T_B_u-ICEnga-S2"=[1]OUT_TransportEnergyCons!$A$3:$A$1000)*1,("Var_Fin"=[1]OUT_TransportEnergyCons!$B$3:$B$1000)*1,ISNUMBER(SEARCH("nga",[1]OUT_TransportEnergyCons!$C$3:$C$1000))*1,[1]OUT_TransportEnergyCons!J$3:J$1000)</f>
        <v>0</v>
      </c>
      <c r="M1348" s="1" cm="1">
        <f t="array" ref="M1348">SUMPRODUCT(("T_B_u-ICEnga-S2"=[1]OUT_TransportEnergyCons!$A$3:$A$1000)*1,("Var_Fin"=[1]OUT_TransportEnergyCons!$B$3:$B$1000)*1,ISNUMBER(SEARCH("nga",[1]OUT_TransportEnergyCons!$C$3:$C$1000))*1,[1]OUT_TransportEnergyCons!K$3:K$1000)</f>
        <v>0</v>
      </c>
      <c r="N1348" s="1" cm="1">
        <f t="array" ref="N1348">SUMPRODUCT(("T_B_u-ICEnga-S2"=[1]OUT_TransportEnergyCons!$A$3:$A$1000)*1,("Var_Fin"=[1]OUT_TransportEnergyCons!$B$3:$B$1000)*1,ISNUMBER(SEARCH("nga",[1]OUT_TransportEnergyCons!$C$3:$C$1000))*1,[1]OUT_TransportEnergyCons!L$3:L$1000)</f>
        <v>0</v>
      </c>
      <c r="O1348" s="1" cm="1">
        <f t="array" ref="O1348">SUMPRODUCT(("T_B_u-ICEnga-S2"=[1]OUT_TransportEnergyCons!$A$3:$A$1000)*1,("Var_Fin"=[1]OUT_TransportEnergyCons!$B$3:$B$1000)*1,ISNUMBER(SEARCH("nga",[1]OUT_TransportEnergyCons!$C$3:$C$1000))*1,[1]OUT_TransportEnergyCons!M$3:M$1000)</f>
        <v>0</v>
      </c>
      <c r="P1348" s="1" cm="1">
        <f t="array" ref="P1348">SUMPRODUCT(("T_B_u-ICEnga-S2"=[1]OUT_TransportEnergyCons!$A$3:$A$1000)*1,("Var_Fin"=[1]OUT_TransportEnergyCons!$B$3:$B$1000)*1,ISNUMBER(SEARCH("nga",[1]OUT_TransportEnergyCons!$C$3:$C$1000))*1,[1]OUT_TransportEnergyCons!N$3:N$1000)</f>
        <v>0</v>
      </c>
      <c r="Q1348" s="1" cm="1">
        <f t="array" ref="Q1348">SUMPRODUCT(("T_B_u-ICEnga-S2"=[1]OUT_TransportEnergyCons!$A$3:$A$1000)*1,("Var_Fin"=[1]OUT_TransportEnergyCons!$B$3:$B$1000)*1,ISNUMBER(SEARCH("nga",[1]OUT_TransportEnergyCons!$C$3:$C$1000))*1,[1]OUT_TransportEnergyCons!O$3:O$1000)</f>
        <v>0</v>
      </c>
      <c r="S1348" s="3"/>
    </row>
    <row r="1349" spans="2:19" x14ac:dyDescent="0.5">
      <c r="B1349" s="5" t="str">
        <f t="shared" si="1478"/>
        <v>SPS1</v>
      </c>
      <c r="C1349" s="5" t="str">
        <f t="shared" si="1479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4.7182405796472125E-5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3.5080664691431205E-4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SUMPRODUCT(("T_B_u-ICEnga-S3"=[1]OUT_TransportEnergyCons!$A$3:$A$1000)*1,("Var_Fin"=[1]OUT_TransportEnergyCons!$B$3:$B$1000)*1,ISNUMBER(SEARCH("nga",[1]OUT_TransportEnergyCons!$C$3:$C$1000))*1,[1]OUT_TransportEnergyCons!H$3:H$1000)</f>
        <v>0</v>
      </c>
      <c r="K1349" s="1" cm="1">
        <f t="array" ref="K1349">SUMPRODUCT(("T_B_u-ICEnga-S3"=[1]OUT_TransportEnergyCons!$A$3:$A$1000)*1,("Var_Fin"=[1]OUT_TransportEnergyCons!$B$3:$B$1000)*1,ISNUMBER(SEARCH("nga",[1]OUT_TransportEnergyCons!$C$3:$C$1000))*1,[1]OUT_TransportEnergyCons!I$3:I$1000)</f>
        <v>0</v>
      </c>
      <c r="L1349" s="1" cm="1">
        <f t="array" ref="L1349">SUMPRODUCT(("T_B_u-ICEnga-S3"=[1]OUT_TransportEnergyCons!$A$3:$A$1000)*1,("Var_Fin"=[1]OUT_TransportEnergyCons!$B$3:$B$1000)*1,ISNUMBER(SEARCH("nga",[1]OUT_TransportEnergyCons!$C$3:$C$1000))*1,[1]OUT_TransportEnergyCons!J$3:J$1000)</f>
        <v>0</v>
      </c>
      <c r="M1349" s="1" cm="1">
        <f t="array" ref="M1349">SUMPRODUCT(("T_B_u-ICEnga-S3"=[1]OUT_TransportEnergyCons!$A$3:$A$1000)*1,("Var_Fin"=[1]OUT_TransportEnergyCons!$B$3:$B$1000)*1,ISNUMBER(SEARCH("nga",[1]OUT_TransportEnergyCons!$C$3:$C$1000))*1,[1]OUT_TransportEnergyCons!K$3:K$1000)</f>
        <v>0</v>
      </c>
      <c r="N1349" s="1" cm="1">
        <f t="array" ref="N1349">SUMPRODUCT(("T_B_u-ICEnga-S3"=[1]OUT_TransportEnergyCons!$A$3:$A$1000)*1,("Var_Fin"=[1]OUT_TransportEnergyCons!$B$3:$B$1000)*1,ISNUMBER(SEARCH("nga",[1]OUT_TransportEnergyCons!$C$3:$C$1000))*1,[1]OUT_TransportEnergyCons!L$3:L$1000)</f>
        <v>0</v>
      </c>
      <c r="O1349" s="1" cm="1">
        <f t="array" ref="O1349">SUMPRODUCT(("T_B_u-ICEnga-S3"=[1]OUT_TransportEnergyCons!$A$3:$A$1000)*1,("Var_Fin"=[1]OUT_TransportEnergyCons!$B$3:$B$1000)*1,ISNUMBER(SEARCH("nga",[1]OUT_TransportEnergyCons!$C$3:$C$1000))*1,[1]OUT_TransportEnergyCons!M$3:M$1000)</f>
        <v>0</v>
      </c>
      <c r="P1349" s="1" cm="1">
        <f t="array" ref="P1349">SUMPRODUCT(("T_B_u-ICEnga-S3"=[1]OUT_TransportEnergyCons!$A$3:$A$1000)*1,("Var_Fin"=[1]OUT_TransportEnergyCons!$B$3:$B$1000)*1,ISNUMBER(SEARCH("nga",[1]OUT_TransportEnergyCons!$C$3:$C$1000))*1,[1]OUT_TransportEnergyCons!N$3:N$1000)</f>
        <v>0</v>
      </c>
      <c r="Q1349" s="1" cm="1">
        <f t="array" ref="Q1349">SUMPRODUCT(("T_B_u-ICEnga-S3"=[1]OUT_TransportEnergyCons!$A$3:$A$1000)*1,("Var_Fin"=[1]OUT_TransportEnergyCons!$B$3:$B$1000)*1,ISNUMBER(SEARCH("nga",[1]OUT_TransportEnergyCons!$C$3:$C$1000))*1,[1]OUT_TransportEnergyCons!O$3:O$1000)</f>
        <v>0</v>
      </c>
      <c r="S1349" s="3"/>
    </row>
    <row r="1350" spans="2:19" x14ac:dyDescent="0.5">
      <c r="B1350" s="5" t="str">
        <f t="shared" si="1478"/>
        <v>SPS1</v>
      </c>
      <c r="C1350" s="5" t="str">
        <f t="shared" si="1479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0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2.1242610323302345E-5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SUMPRODUCT(("T_B_u-ICEnga-S4"=[1]OUT_TransportEnergyCons!$A$3:$A$1000)*1,("Var_Fin"=[1]OUT_TransportEnergyCons!$B$3:$B$1000)*1,ISNUMBER(SEARCH("nga",[1]OUT_TransportEnergyCons!$C$3:$C$1000))*1,[1]OUT_TransportEnergyCons!H$3:H$1000)</f>
        <v>0</v>
      </c>
      <c r="K1350" s="1" cm="1">
        <f t="array" ref="K1350">SUMPRODUCT(("T_B_u-ICEnga-S4"=[1]OUT_TransportEnergyCons!$A$3:$A$1000)*1,("Var_Fin"=[1]OUT_TransportEnergyCons!$B$3:$B$1000)*1,ISNUMBER(SEARCH("nga",[1]OUT_TransportEnergyCons!$C$3:$C$1000))*1,[1]OUT_TransportEnergyCons!I$3:I$1000)</f>
        <v>0</v>
      </c>
      <c r="L1350" s="1" cm="1">
        <f t="array" ref="L1350">SUMPRODUCT(("T_B_u-ICEnga-S4"=[1]OUT_TransportEnergyCons!$A$3:$A$1000)*1,("Var_Fin"=[1]OUT_TransportEnergyCons!$B$3:$B$1000)*1,ISNUMBER(SEARCH("nga",[1]OUT_TransportEnergyCons!$C$3:$C$1000))*1,[1]OUT_TransportEnergyCons!J$3:J$1000)</f>
        <v>0</v>
      </c>
      <c r="M1350" s="1" cm="1">
        <f t="array" ref="M1350">SUMPRODUCT(("T_B_u-ICEnga-S4"=[1]OUT_TransportEnergyCons!$A$3:$A$1000)*1,("Var_Fin"=[1]OUT_TransportEnergyCons!$B$3:$B$1000)*1,ISNUMBER(SEARCH("nga",[1]OUT_TransportEnergyCons!$C$3:$C$1000))*1,[1]OUT_TransportEnergyCons!K$3:K$1000)</f>
        <v>0</v>
      </c>
      <c r="N1350" s="1" cm="1">
        <f t="array" ref="N1350">SUMPRODUCT(("T_B_u-ICEnga-S4"=[1]OUT_TransportEnergyCons!$A$3:$A$1000)*1,("Var_Fin"=[1]OUT_TransportEnergyCons!$B$3:$B$1000)*1,ISNUMBER(SEARCH("nga",[1]OUT_TransportEnergyCons!$C$3:$C$1000))*1,[1]OUT_TransportEnergyCons!L$3:L$1000)</f>
        <v>0</v>
      </c>
      <c r="O1350" s="1" cm="1">
        <f t="array" ref="O1350">SUMPRODUCT(("T_B_u-ICEnga-S4"=[1]OUT_TransportEnergyCons!$A$3:$A$1000)*1,("Var_Fin"=[1]OUT_TransportEnergyCons!$B$3:$B$1000)*1,ISNUMBER(SEARCH("nga",[1]OUT_TransportEnergyCons!$C$3:$C$1000))*1,[1]OUT_TransportEnergyCons!M$3:M$1000)</f>
        <v>0</v>
      </c>
      <c r="P1350" s="1" cm="1">
        <f t="array" ref="P1350">SUMPRODUCT(("T_B_u-ICEnga-S4"=[1]OUT_TransportEnergyCons!$A$3:$A$1000)*1,("Var_Fin"=[1]OUT_TransportEnergyCons!$B$3:$B$1000)*1,ISNUMBER(SEARCH("nga",[1]OUT_TransportEnergyCons!$C$3:$C$1000))*1,[1]OUT_TransportEnergyCons!N$3:N$1000)</f>
        <v>0</v>
      </c>
      <c r="Q1350" s="1" cm="1">
        <f t="array" ref="Q1350">SUMPRODUCT(("T_B_u-ICEnga-S4"=[1]OUT_TransportEnergyCons!$A$3:$A$1000)*1,("Var_Fin"=[1]OUT_TransportEnergyCons!$B$3:$B$1000)*1,ISNUMBER(SEARCH("nga",[1]OUT_TransportEnergyCons!$C$3:$C$1000))*1,[1]OUT_TransportEnergyCons!O$3:O$1000)</f>
        <v>0</v>
      </c>
      <c r="S1350" s="3"/>
    </row>
    <row r="1351" spans="2:19" x14ac:dyDescent="0.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0.29543119495768133</v>
      </c>
      <c r="G1351" s="3">
        <f t="shared" ref="G1351:K1351" si="1502">SUM(G1352:G1374)</f>
        <v>0.30115644305142619</v>
      </c>
      <c r="H1351" s="3">
        <f t="shared" si="1502"/>
        <v>0.30984216698737232</v>
      </c>
      <c r="I1351" s="3">
        <f t="shared" si="1502"/>
        <v>0.32430400252229519</v>
      </c>
      <c r="J1351" s="3">
        <f t="shared" si="1502"/>
        <v>0.33845425856655942</v>
      </c>
      <c r="K1351" s="3">
        <f t="shared" si="1502"/>
        <v>0.35284717768421042</v>
      </c>
      <c r="L1351" s="3">
        <f t="shared" ref="L1351:O1351" si="1503">SUM(L1352:L1374)</f>
        <v>0.36514896088723092</v>
      </c>
      <c r="M1351" s="3">
        <f t="shared" si="1503"/>
        <v>0.37744745847251387</v>
      </c>
      <c r="N1351" s="3">
        <f t="shared" si="1503"/>
        <v>0.38803874345865624</v>
      </c>
      <c r="O1351" s="3">
        <f t="shared" si="1503"/>
        <v>0.3990832434519751</v>
      </c>
      <c r="P1351" s="3">
        <f>SUM(P1352:P1374)</f>
        <v>0.41127964524532984</v>
      </c>
      <c r="Q1351" s="3">
        <f>SUM(Q1352:Q1374)</f>
        <v>0.42533139376115758</v>
      </c>
      <c r="S1351" s="3"/>
    </row>
    <row r="1352" spans="2:19" x14ac:dyDescent="0.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1.5834151153198488E-3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1.6056502106461927E-3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1.0044069175699681E-3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SUMPRODUCT(("T_B_u-BeVELCEXT"=[1]OUT_TransportEnergyCons!$A$3:$A$1000)*1,("var_fout"=[1]OUT_TransportEnergyCons!$B$3:$B$1000)*1,ISNUMBER(SEARCH("tpbsu",[1]OUT_TransportEnergyCons!$C$3:$C$1000))*1,[1]OUT_TransportEnergyCons!H$3:H$1000)</f>
        <v>0</v>
      </c>
      <c r="K1352" s="1" cm="1">
        <f t="array" ref="K1352">SUMPRODUCT(("T_B_u-BeVELCEXT"=[1]OUT_TransportEnergyCons!$A$3:$A$1000)*1,("var_fout"=[1]OUT_TransportEnergyCons!$B$3:$B$1000)*1,ISNUMBER(SEARCH("tpbsu",[1]OUT_TransportEnergyCons!$C$3:$C$1000))*1,[1]OUT_TransportEnergyCons!I$3:I$1000)</f>
        <v>0</v>
      </c>
      <c r="L1352" s="1" cm="1">
        <f t="array" ref="L1352">SUMPRODUCT(("T_B_u-BeVELCEXT"=[1]OUT_TransportEnergyCons!$A$3:$A$1000)*1,("var_fout"=[1]OUT_TransportEnergyCons!$B$3:$B$1000)*1,ISNUMBER(SEARCH("tpbsu",[1]OUT_TransportEnergyCons!$C$3:$C$1000))*1,[1]OUT_TransportEnergyCons!J$3:J$1000)</f>
        <v>0</v>
      </c>
      <c r="M1352" s="1" cm="1">
        <f t="array" ref="M1352">SUMPRODUCT(("T_B_u-BeVELCEXT"=[1]OUT_TransportEnergyCons!$A$3:$A$1000)*1,("var_fout"=[1]OUT_TransportEnergyCons!$B$3:$B$1000)*1,ISNUMBER(SEARCH("tpbsu",[1]OUT_TransportEnergyCons!$C$3:$C$1000))*1,[1]OUT_TransportEnergyCons!K$3:K$1000)</f>
        <v>0</v>
      </c>
      <c r="N1352" s="1" cm="1">
        <f t="array" ref="N1352">SUMPRODUCT(("T_B_u-BeVELCEXT"=[1]OUT_TransportEnergyCons!$A$3:$A$1000)*1,("var_fout"=[1]OUT_TransportEnergyCons!$B$3:$B$1000)*1,ISNUMBER(SEARCH("tpbsu",[1]OUT_TransportEnergyCons!$C$3:$C$1000))*1,[1]OUT_TransportEnergyCons!L$3:L$1000)</f>
        <v>0</v>
      </c>
      <c r="O1352" s="1" cm="1">
        <f t="array" ref="O1352">SUMPRODUCT(("T_B_u-BeVELCEXT"=[1]OUT_TransportEnergyCons!$A$3:$A$1000)*1,("var_fout"=[1]OUT_TransportEnergyCons!$B$3:$B$1000)*1,ISNUMBER(SEARCH("tpbsu",[1]OUT_TransportEnergyCons!$C$3:$C$1000))*1,[1]OUT_TransportEnergyCons!M$3:M$1000)</f>
        <v>0</v>
      </c>
      <c r="P1352" s="1" cm="1">
        <f t="array" ref="P1352">SUMPRODUCT(("T_B_u-BeVELCEXT"=[1]OUT_TransportEnergyCons!$A$3:$A$1000)*1,("var_fout"=[1]OUT_TransportEnergyCons!$B$3:$B$1000)*1,ISNUMBER(SEARCH("tpbsu",[1]OUT_TransportEnergyCons!$C$3:$C$1000))*1,[1]OUT_TransportEnergyCons!N$3:N$1000)</f>
        <v>0</v>
      </c>
      <c r="Q1352" s="1" cm="1">
        <f t="array" ref="Q1352">SUMPRODUCT(("T_B_u-BeVELCEXT"=[1]OUT_TransportEnergyCons!$A$3:$A$1000)*1,("var_fout"=[1]OUT_TransportEnergyCons!$B$3:$B$1000)*1,ISNUMBER(SEARCH("tpbsu",[1]OUT_TransportEnergyCons!$C$3:$C$1000))*1,[1]OUT_TransportEnergyCons!O$3:O$1000)</f>
        <v>0</v>
      </c>
      <c r="S1352" s="3"/>
    </row>
    <row r="1353" spans="2:19" x14ac:dyDescent="0.5">
      <c r="B1353" s="5" t="str">
        <f t="shared" ref="B1353:B1374" si="1504">B1352</f>
        <v>SPS1</v>
      </c>
      <c r="C1353" s="5" t="str">
        <f t="shared" ref="C1353:C1374" si="1505">C1352</f>
        <v>CH</v>
      </c>
      <c r="D1353" t="s">
        <v>1350</v>
      </c>
      <c r="E1353" t="str">
        <f t="shared" ref="E1353:E1374" si="1506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1.8175443913629489E-7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2.8220834269618777E-4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6.3504200273778379E-4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0.11029656421424112</v>
      </c>
      <c r="J1353" s="1" cm="1">
        <f t="array" ref="J1353">SUMPRODUCT(("T_B_u-BEVELC-S1"=[1]OUT_TransportEnergyCons!$A$3:$A$1000)*1,("var_fout"=[1]OUT_TransportEnergyCons!$B$3:$B$1000)*1,ISNUMBER(SEARCH("tpbsu",[1]OUT_TransportEnergyCons!$C$3:$C$1000))*1,[1]OUT_TransportEnergyCons!H$3:H$1000)</f>
        <v>0.11503006841814445</v>
      </c>
      <c r="K1353" s="1" cm="1">
        <f t="array" ref="K1353">SUMPRODUCT(("T_B_u-BEVELC-S1"=[1]OUT_TransportEnergyCons!$A$3:$A$1000)*1,("var_fout"=[1]OUT_TransportEnergyCons!$B$3:$B$1000)*1,ISNUMBER(SEARCH("tpbsu",[1]OUT_TransportEnergyCons!$C$3:$C$1000))*1,[1]OUT_TransportEnergyCons!I$3:I$1000)</f>
        <v>0.11985024405515675</v>
      </c>
      <c r="L1353" s="1" cm="1">
        <f t="array" ref="L1353">SUMPRODUCT(("T_B_u-BEVELC-S1"=[1]OUT_TransportEnergyCons!$A$3:$A$1000)*1,("var_fout"=[1]OUT_TransportEnergyCons!$B$3:$B$1000)*1,ISNUMBER(SEARCH("tpbsu",[1]OUT_TransportEnergyCons!$C$3:$C$1000))*1,[1]OUT_TransportEnergyCons!J$3:J$1000)</f>
        <v>0.12381564591025758</v>
      </c>
      <c r="M1353" s="1" cm="1">
        <f t="array" ref="M1353">SUMPRODUCT(("T_B_u-BEVELC-S1"=[1]OUT_TransportEnergyCons!$A$3:$A$1000)*1,("var_fout"=[1]OUT_TransportEnergyCons!$B$3:$B$1000)*1,ISNUMBER(SEARCH("tpbsu",[1]OUT_TransportEnergyCons!$C$3:$C$1000))*1,[1]OUT_TransportEnergyCons!K$3:K$1000)</f>
        <v>0.1273418509124476</v>
      </c>
      <c r="N1353" s="1" cm="1">
        <f t="array" ref="N1353">SUMPRODUCT(("T_B_u-BEVELC-S1"=[1]OUT_TransportEnergyCons!$A$3:$A$1000)*1,("var_fout"=[1]OUT_TransportEnergyCons!$B$3:$B$1000)*1,ISNUMBER(SEARCH("tpbsu",[1]OUT_TransportEnergyCons!$C$3:$C$1000))*1,[1]OUT_TransportEnergyCons!L$3:L$1000)</f>
        <v>0.13007358305143749</v>
      </c>
      <c r="O1353" s="1" cm="1">
        <f t="array" ref="O1353">SUMPRODUCT(("T_B_u-BEVELC-S1"=[1]OUT_TransportEnergyCons!$A$3:$A$1000)*1,("var_fout"=[1]OUT_TransportEnergyCons!$B$3:$B$1000)*1,ISNUMBER(SEARCH("tpbsu",[1]OUT_TransportEnergyCons!$C$3:$C$1000))*1,[1]OUT_TransportEnergyCons!M$3:M$1000)</f>
        <v>0.1293226027758059</v>
      </c>
      <c r="P1353" s="1" cm="1">
        <f t="array" ref="P1353">SUMPRODUCT(("T_B_u-BEVELC-S1"=[1]OUT_TransportEnergyCons!$A$3:$A$1000)*1,("var_fout"=[1]OUT_TransportEnergyCons!$B$3:$B$1000)*1,ISNUMBER(SEARCH("tpbsu",[1]OUT_TransportEnergyCons!$C$3:$C$1000))*1,[1]OUT_TransportEnergyCons!N$3:N$1000)</f>
        <v>8.697731587051756E-2</v>
      </c>
      <c r="Q1353" s="1" cm="1">
        <f t="array" ref="Q1353">SUMPRODUCT(("T_B_u-BEVELC-S1"=[1]OUT_TransportEnergyCons!$A$3:$A$1000)*1,("var_fout"=[1]OUT_TransportEnergyCons!$B$3:$B$1000)*1,ISNUMBER(SEARCH("tpbsu",[1]OUT_TransportEnergyCons!$C$3:$C$1000))*1,[1]OUT_TransportEnergyCons!O$3:O$1000)</f>
        <v>6.9055345456304373E-2</v>
      </c>
      <c r="S1353" s="3"/>
    </row>
    <row r="1354" spans="2:19" x14ac:dyDescent="0.5">
      <c r="B1354" s="5" t="str">
        <f t="shared" si="1504"/>
        <v>SPS1</v>
      </c>
      <c r="C1354" s="5" t="str">
        <f t="shared" si="1505"/>
        <v>CH</v>
      </c>
      <c r="D1354" t="s">
        <v>1351</v>
      </c>
      <c r="E1354" t="str">
        <f t="shared" si="1506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2.8963595683534257E-4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4.6643145584582892E-4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7.3662920893151221E-4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3.9764561440513699E-2</v>
      </c>
      <c r="J1354" s="1" cm="1">
        <f t="array" ref="J1354">SUMPRODUCT(("T_B_u-BEVELC-S2"=[1]OUT_TransportEnergyCons!$A$3:$A$1000)*1,("var_fout"=[1]OUT_TransportEnergyCons!$B$3:$B$1000)*1,ISNUMBER(SEARCH("tpbsu",[1]OUT_TransportEnergyCons!$C$3:$C$1000))*1,[1]OUT_TransportEnergyCons!H$3:H$1000)</f>
        <v>4.1461056340497557E-2</v>
      </c>
      <c r="K1354" s="1" cm="1">
        <f t="array" ref="K1354">SUMPRODUCT(("T_B_u-BEVELC-S2"=[1]OUT_TransportEnergyCons!$A$3:$A$1000)*1,("var_fout"=[1]OUT_TransportEnergyCons!$B$3:$B$1000)*1,ISNUMBER(SEARCH("tpbsu",[1]OUT_TransportEnergyCons!$C$3:$C$1000))*1,[1]OUT_TransportEnergyCons!I$3:I$1000)</f>
        <v>4.3188647637196285E-2</v>
      </c>
      <c r="L1354" s="1" cm="1">
        <f t="array" ref="L1354">SUMPRODUCT(("T_B_u-BEVELC-S2"=[1]OUT_TransportEnergyCons!$A$3:$A$1000)*1,("var_fout"=[1]OUT_TransportEnergyCons!$B$3:$B$1000)*1,ISNUMBER(SEARCH("tpbsu",[1]OUT_TransportEnergyCons!$C$3:$C$1000))*1,[1]OUT_TransportEnergyCons!J$3:J$1000)</f>
        <v>4.4593535757304355E-2</v>
      </c>
      <c r="M1354" s="1" cm="1">
        <f t="array" ref="M1354">SUMPRODUCT(("T_B_u-BEVELC-S2"=[1]OUT_TransportEnergyCons!$A$3:$A$1000)*1,("var_fout"=[1]OUT_TransportEnergyCons!$B$3:$B$1000)*1,ISNUMBER(SEARCH("tpbsu",[1]OUT_TransportEnergyCons!$C$3:$C$1000))*1,[1]OUT_TransportEnergyCons!K$3:K$1000)</f>
        <v>4.5922526497933769E-2</v>
      </c>
      <c r="N1354" s="1" cm="1">
        <f t="array" ref="N1354">SUMPRODUCT(("T_B_u-BEVELC-S2"=[1]OUT_TransportEnergyCons!$A$3:$A$1000)*1,("var_fout"=[1]OUT_TransportEnergyCons!$B$3:$B$1000)*1,ISNUMBER(SEARCH("tpbsu",[1]OUT_TransportEnergyCons!$C$3:$C$1000))*1,[1]OUT_TransportEnergyCons!L$3:L$1000)</f>
        <v>4.7010292730990125E-2</v>
      </c>
      <c r="O1354" s="1" cm="1">
        <f t="array" ref="O1354">SUMPRODUCT(("T_B_u-BEVELC-S2"=[1]OUT_TransportEnergyCons!$A$3:$A$1000)*1,("var_fout"=[1]OUT_TransportEnergyCons!$B$3:$B$1000)*1,ISNUMBER(SEARCH("tpbsu",[1]OUT_TransportEnergyCons!$C$3:$C$1000))*1,[1]OUT_TransportEnergyCons!M$3:M$1000)</f>
        <v>4.8003138118602198E-2</v>
      </c>
      <c r="P1354" s="1" cm="1">
        <f t="array" ref="P1354">SUMPRODUCT(("T_B_u-BEVELC-S2"=[1]OUT_TransportEnergyCons!$A$3:$A$1000)*1,("var_fout"=[1]OUT_TransportEnergyCons!$B$3:$B$1000)*1,ISNUMBER(SEARCH("tpbsu",[1]OUT_TransportEnergyCons!$C$3:$C$1000))*1,[1]OUT_TransportEnergyCons!N$3:N$1000)</f>
        <v>4.9162602149379321E-2</v>
      </c>
      <c r="Q1354" s="1" cm="1">
        <f t="array" ref="Q1354">SUMPRODUCT(("T_B_u-BEVELC-S2"=[1]OUT_TransportEnergyCons!$A$3:$A$1000)*1,("var_fout"=[1]OUT_TransportEnergyCons!$B$3:$B$1000)*1,ISNUMBER(SEARCH("tpbsu",[1]OUT_TransportEnergyCons!$C$3:$C$1000))*1,[1]OUT_TransportEnergyCons!O$3:O$1000)</f>
        <v>4.9220171071236968E-2</v>
      </c>
      <c r="S1354" s="3"/>
    </row>
    <row r="1355" spans="2:19" x14ac:dyDescent="0.5">
      <c r="B1355" s="5" t="str">
        <f t="shared" si="1504"/>
        <v>SPS1</v>
      </c>
      <c r="C1355" s="5" t="str">
        <f t="shared" si="1505"/>
        <v>CH</v>
      </c>
      <c r="D1355" t="s">
        <v>1352</v>
      </c>
      <c r="E1355" t="str">
        <f t="shared" si="1506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6.3606644276471163E-4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5.984040949901932E-4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6.9089755186434968E-4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0.10432540080313274</v>
      </c>
      <c r="J1355" s="1" cm="1">
        <f t="array" ref="J1355">SUMPRODUCT(("T_B_u-BEVELC-S3"=[1]OUT_TransportEnergyCons!$A$3:$A$1000)*1,("var_fout"=[1]OUT_TransportEnergyCons!$B$3:$B$1000)*1,ISNUMBER(SEARCH("tpbsu",[1]OUT_TransportEnergyCons!$C$3:$C$1000))*1,[1]OUT_TransportEnergyCons!H$3:H$1000)</f>
        <v>9.971495104740058E-2</v>
      </c>
      <c r="K1355" s="1" cm="1">
        <f t="array" ref="K1355">SUMPRODUCT(("T_B_u-BEVELC-S3"=[1]OUT_TransportEnergyCons!$A$3:$A$1000)*1,("var_fout"=[1]OUT_TransportEnergyCons!$B$3:$B$1000)*1,ISNUMBER(SEARCH("tpbsu",[1]OUT_TransportEnergyCons!$C$3:$C$1000))*1,[1]OUT_TransportEnergyCons!I$3:I$1000)</f>
        <v>9.4057742477464193E-2</v>
      </c>
      <c r="L1355" s="1" cm="1">
        <f t="array" ref="L1355">SUMPRODUCT(("T_B_u-BEVELC-S3"=[1]OUT_TransportEnergyCons!$A$3:$A$1000)*1,("var_fout"=[1]OUT_TransportEnergyCons!$B$3:$B$1000)*1,ISNUMBER(SEARCH("tpbsu",[1]OUT_TransportEnergyCons!$C$3:$C$1000))*1,[1]OUT_TransportEnergyCons!J$3:J$1000)</f>
        <v>8.6520488247650532E-2</v>
      </c>
      <c r="M1355" s="1" cm="1">
        <f t="array" ref="M1355">SUMPRODUCT(("T_B_u-BEVELC-S3"=[1]OUT_TransportEnergyCons!$A$3:$A$1000)*1,("var_fout"=[1]OUT_TransportEnergyCons!$B$3:$B$1000)*1,ISNUMBER(SEARCH("tpbsu",[1]OUT_TransportEnergyCons!$C$3:$C$1000))*1,[1]OUT_TransportEnergyCons!K$3:K$1000)</f>
        <v>7.8738423938273183E-2</v>
      </c>
      <c r="N1355" s="1" cm="1">
        <f t="array" ref="N1355">SUMPRODUCT(("T_B_u-BEVELC-S3"=[1]OUT_TransportEnergyCons!$A$3:$A$1000)*1,("var_fout"=[1]OUT_TransportEnergyCons!$B$3:$B$1000)*1,ISNUMBER(SEARCH("tpbsu",[1]OUT_TransportEnergyCons!$C$3:$C$1000))*1,[1]OUT_TransportEnergyCons!L$3:L$1000)</f>
        <v>7.2474087177913413E-2</v>
      </c>
      <c r="O1355" s="1" cm="1">
        <f t="array" ref="O1355">SUMPRODUCT(("T_B_u-BEVELC-S3"=[1]OUT_TransportEnergyCons!$A$3:$A$1000)*1,("var_fout"=[1]OUT_TransportEnergyCons!$B$3:$B$1000)*1,ISNUMBER(SEARCH("tpbsu",[1]OUT_TransportEnergyCons!$C$3:$C$1000))*1,[1]OUT_TransportEnergyCons!M$3:M$1000)</f>
        <v>6.95997158238294E-2</v>
      </c>
      <c r="P1355" s="1" cm="1">
        <f t="array" ref="P1355">SUMPRODUCT(("T_B_u-BEVELC-S3"=[1]OUT_TransportEnergyCons!$A$3:$A$1000)*1,("var_fout"=[1]OUT_TransportEnergyCons!$B$3:$B$1000)*1,ISNUMBER(SEARCH("tpbsu",[1]OUT_TransportEnergyCons!$C$3:$C$1000))*1,[1]OUT_TransportEnergyCons!N$3:N$1000)</f>
        <v>0.10955665046041446</v>
      </c>
      <c r="Q1355" s="1" cm="1">
        <f t="array" ref="Q1355">SUMPRODUCT(("T_B_u-BEVELC-S3"=[1]OUT_TransportEnergyCons!$A$3:$A$1000)*1,("var_fout"=[1]OUT_TransportEnergyCons!$B$3:$B$1000)*1,ISNUMBER(SEARCH("tpbsu",[1]OUT_TransportEnergyCons!$C$3:$C$1000))*1,[1]OUT_TransportEnergyCons!O$3:O$1000)</f>
        <v>0.13634128965453615</v>
      </c>
      <c r="S1355" s="3"/>
    </row>
    <row r="1356" spans="2:19" x14ac:dyDescent="0.5">
      <c r="B1356" s="5" t="str">
        <f t="shared" si="1504"/>
        <v>SPS1</v>
      </c>
      <c r="C1356" s="5" t="str">
        <f t="shared" si="1505"/>
        <v>CH</v>
      </c>
      <c r="D1356" t="s">
        <v>1353</v>
      </c>
      <c r="E1356" t="str">
        <f t="shared" si="1506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3.364926315666868E-5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2.5012473022553304E-5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4.4270196454547469E-5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1.2898101283748721E-5</v>
      </c>
      <c r="J1356" s="1" cm="1">
        <f t="array" ref="J1356">SUMPRODUCT(("T_B_u-BEVELC-S4"=[1]OUT_TransportEnergyCons!$A$3:$A$1000)*1,("var_fout"=[1]OUT_TransportEnergyCons!$B$3:$B$1000)*1,ISNUMBER(SEARCH("tpbsu",[1]OUT_TransportEnergyCons!$C$3:$C$1000))*1,[1]OUT_TransportEnergyCons!H$3:H$1000)</f>
        <v>1.7426850488340302E-5</v>
      </c>
      <c r="K1356" s="1" cm="1">
        <f t="array" ref="K1356">SUMPRODUCT(("T_B_u-BEVELC-S4"=[1]OUT_TransportEnergyCons!$A$3:$A$1000)*1,("var_fout"=[1]OUT_TransportEnergyCons!$B$3:$B$1000)*1,ISNUMBER(SEARCH("tpbsu",[1]OUT_TransportEnergyCons!$C$3:$C$1000))*1,[1]OUT_TransportEnergyCons!I$3:I$1000)</f>
        <v>2.5499564448583672E-5</v>
      </c>
      <c r="L1356" s="1" cm="1">
        <f t="array" ref="L1356">SUMPRODUCT(("T_B_u-BEVELC-S4"=[1]OUT_TransportEnergyCons!$A$3:$A$1000)*1,("var_fout"=[1]OUT_TransportEnergyCons!$B$3:$B$1000)*1,ISNUMBER(SEARCH("tpbsu",[1]OUT_TransportEnergyCons!$C$3:$C$1000))*1,[1]OUT_TransportEnergyCons!J$3:J$1000)</f>
        <v>2.7321785322734541E-5</v>
      </c>
      <c r="M1356" s="1" cm="1">
        <f t="array" ref="M1356">SUMPRODUCT(("T_B_u-BEVELC-S4"=[1]OUT_TransportEnergyCons!$A$3:$A$1000)*1,("var_fout"=[1]OUT_TransportEnergyCons!$B$3:$B$1000)*1,ISNUMBER(SEARCH("tpbsu",[1]OUT_TransportEnergyCons!$C$3:$C$1000))*1,[1]OUT_TransportEnergyCons!K$3:K$1000)</f>
        <v>5.0275055080205725E-5</v>
      </c>
      <c r="N1356" s="1" cm="1">
        <f t="array" ref="N1356">SUMPRODUCT(("T_B_u-BEVELC-S4"=[1]OUT_TransportEnergyCons!$A$3:$A$1000)*1,("var_fout"=[1]OUT_TransportEnergyCons!$B$3:$B$1000)*1,ISNUMBER(SEARCH("tpbsu",[1]OUT_TransportEnergyCons!$C$3:$C$1000))*1,[1]OUT_TransportEnergyCons!L$3:L$1000)</f>
        <v>3.6268036436326435E-5</v>
      </c>
      <c r="O1356" s="1" cm="1">
        <f t="array" ref="O1356">SUMPRODUCT(("T_B_u-BEVELC-S4"=[1]OUT_TransportEnergyCons!$A$3:$A$1000)*1,("var_fout"=[1]OUT_TransportEnergyCons!$B$3:$B$1000)*1,ISNUMBER(SEARCH("tpbsu",[1]OUT_TransportEnergyCons!$C$3:$C$1000))*1,[1]OUT_TransportEnergyCons!M$3:M$1000)</f>
        <v>4.4408347278855194E-5</v>
      </c>
      <c r="P1356" s="1" cm="1">
        <f t="array" ref="P1356">SUMPRODUCT(("T_B_u-BEVELC-S4"=[1]OUT_TransportEnergyCons!$A$3:$A$1000)*1,("var_fout"=[1]OUT_TransportEnergyCons!$B$3:$B$1000)*1,ISNUMBER(SEARCH("tpbsu",[1]OUT_TransportEnergyCons!$C$3:$C$1000))*1,[1]OUT_TransportEnergyCons!N$3:N$1000)</f>
        <v>4.8224094679073126E-5</v>
      </c>
      <c r="Q1356" s="1" cm="1">
        <f t="array" ref="Q1356">SUMPRODUCT(("T_B_u-BEVELC-S4"=[1]OUT_TransportEnergyCons!$A$3:$A$1000)*1,("var_fout"=[1]OUT_TransportEnergyCons!$B$3:$B$1000)*1,ISNUMBER(SEARCH("tpbsu",[1]OUT_TransportEnergyCons!$C$3:$C$1000))*1,[1]OUT_TransportEnergyCons!O$3:O$1000)</f>
        <v>7.7505692145656149E-5</v>
      </c>
      <c r="S1356" s="3"/>
    </row>
    <row r="1357" spans="2:19" x14ac:dyDescent="0.5">
      <c r="B1357" s="5" t="str">
        <f t="shared" si="1504"/>
        <v>SPS1</v>
      </c>
      <c r="C1357" s="5" t="str">
        <f t="shared" si="1505"/>
        <v>CH</v>
      </c>
      <c r="D1357" t="s">
        <v>1354</v>
      </c>
      <c r="E1357" t="str">
        <f t="shared" si="1506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7.0394126380986982E-7</v>
      </c>
      <c r="J1357" s="1" cm="1">
        <f t="array" ref="J1357">SUMPRODUCT(("T_B_u-FCLH2O-S1"=[1]OUT_TransportEnergyCons!$A$3:$A$1000)*1,("var_fout"=[1]OUT_TransportEnergyCons!$B$3:$B$1000)*1,ISNUMBER(SEARCH("tpbsu",[1]OUT_TransportEnergyCons!$C$3:$C$1000))*1,[1]OUT_TransportEnergyCons!H$3:H$1000)</f>
        <v>8.539492570124219E-8</v>
      </c>
      <c r="K1357" s="1" cm="1">
        <f t="array" ref="K1357">SUMPRODUCT(("T_B_u-FCLH2O-S1"=[1]OUT_TransportEnergyCons!$A$3:$A$1000)*1,("var_fout"=[1]OUT_TransportEnergyCons!$B$3:$B$1000)*1,ISNUMBER(SEARCH("tpbsu",[1]OUT_TransportEnergyCons!$C$3:$C$1000))*1,[1]OUT_TransportEnergyCons!I$3:I$1000)</f>
        <v>0</v>
      </c>
      <c r="L1357" s="1" cm="1">
        <f t="array" ref="L1357">SUMPRODUCT(("T_B_u-FCLH2O-S1"=[1]OUT_TransportEnergyCons!$A$3:$A$1000)*1,("var_fout"=[1]OUT_TransportEnergyCons!$B$3:$B$1000)*1,ISNUMBER(SEARCH("tpbsu",[1]OUT_TransportEnergyCons!$C$3:$C$1000))*1,[1]OUT_TransportEnergyCons!J$3:J$1000)</f>
        <v>0</v>
      </c>
      <c r="M1357" s="1" cm="1">
        <f t="array" ref="M1357">SUMPRODUCT(("T_B_u-FCLH2O-S1"=[1]OUT_TransportEnergyCons!$A$3:$A$1000)*1,("var_fout"=[1]OUT_TransportEnergyCons!$B$3:$B$1000)*1,ISNUMBER(SEARCH("tpbsu",[1]OUT_TransportEnergyCons!$C$3:$C$1000))*1,[1]OUT_TransportEnergyCons!K$3:K$1000)</f>
        <v>0</v>
      </c>
      <c r="N1357" s="1" cm="1">
        <f t="array" ref="N1357">SUMPRODUCT(("T_B_u-FCLH2O-S1"=[1]OUT_TransportEnergyCons!$A$3:$A$1000)*1,("var_fout"=[1]OUT_TransportEnergyCons!$B$3:$B$1000)*1,ISNUMBER(SEARCH("tpbsu",[1]OUT_TransportEnergyCons!$C$3:$C$1000))*1,[1]OUT_TransportEnergyCons!L$3:L$1000)</f>
        <v>0</v>
      </c>
      <c r="O1357" s="1" cm="1">
        <f t="array" ref="O1357">SUMPRODUCT(("T_B_u-FCLH2O-S1"=[1]OUT_TransportEnergyCons!$A$3:$A$1000)*1,("var_fout"=[1]OUT_TransportEnergyCons!$B$3:$B$1000)*1,ISNUMBER(SEARCH("tpbsu",[1]OUT_TransportEnergyCons!$C$3:$C$1000))*1,[1]OUT_TransportEnergyCons!M$3:M$1000)</f>
        <v>0</v>
      </c>
      <c r="P1357" s="1" cm="1">
        <f t="array" ref="P1357">SUMPRODUCT(("T_B_u-FCLH2O-S1"=[1]OUT_TransportEnergyCons!$A$3:$A$1000)*1,("var_fout"=[1]OUT_TransportEnergyCons!$B$3:$B$1000)*1,ISNUMBER(SEARCH("tpbsu",[1]OUT_TransportEnergyCons!$C$3:$C$1000))*1,[1]OUT_TransportEnergyCons!N$3:N$1000)</f>
        <v>0</v>
      </c>
      <c r="Q1357" s="1" cm="1">
        <f t="array" ref="Q1357">SUMPRODUCT(("T_B_u-FCLH2O-S1"=[1]OUT_TransportEnergyCons!$A$3:$A$1000)*1,("var_fout"=[1]OUT_TransportEnergyCons!$B$3:$B$1000)*1,ISNUMBER(SEARCH("tpbsu",[1]OUT_TransportEnergyCons!$C$3:$C$1000))*1,[1]OUT_TransportEnergyCons!O$3:O$1000)</f>
        <v>4.2828204558572499E-8</v>
      </c>
      <c r="S1357" s="3"/>
    </row>
    <row r="1358" spans="2:19" x14ac:dyDescent="0.5">
      <c r="B1358" s="5" t="str">
        <f t="shared" si="1504"/>
        <v>SPS1</v>
      </c>
      <c r="C1358" s="5" t="str">
        <f t="shared" si="1505"/>
        <v>CH</v>
      </c>
      <c r="D1358" t="s">
        <v>1355</v>
      </c>
      <c r="E1358" t="str">
        <f t="shared" si="1506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SUMPRODUCT(("T_B_u-FCLH2O-S2"=[1]OUT_TransportEnergyCons!$A$3:$A$1000)*1,("var_fout"=[1]OUT_TransportEnergyCons!$B$3:$B$1000)*1,ISNUMBER(SEARCH("tpbsu",[1]OUT_TransportEnergyCons!$C$3:$C$1000))*1,[1]OUT_TransportEnergyCons!H$3:H$1000)</f>
        <v>0</v>
      </c>
      <c r="K1358" s="1" cm="1">
        <f t="array" ref="K1358">SUMPRODUCT(("T_B_u-FCLH2O-S2"=[1]OUT_TransportEnergyCons!$A$3:$A$1000)*1,("var_fout"=[1]OUT_TransportEnergyCons!$B$3:$B$1000)*1,ISNUMBER(SEARCH("tpbsu",[1]OUT_TransportEnergyCons!$C$3:$C$1000))*1,[1]OUT_TransportEnergyCons!I$3:I$1000)</f>
        <v>0</v>
      </c>
      <c r="L1358" s="1" cm="1">
        <f t="array" ref="L1358">SUMPRODUCT(("T_B_u-FCLH2O-S2"=[1]OUT_TransportEnergyCons!$A$3:$A$1000)*1,("var_fout"=[1]OUT_TransportEnergyCons!$B$3:$B$1000)*1,ISNUMBER(SEARCH("tpbsu",[1]OUT_TransportEnergyCons!$C$3:$C$1000))*1,[1]OUT_TransportEnergyCons!J$3:J$1000)</f>
        <v>0</v>
      </c>
      <c r="M1358" s="1" cm="1">
        <f t="array" ref="M1358">SUMPRODUCT(("T_B_u-FCLH2O-S2"=[1]OUT_TransportEnergyCons!$A$3:$A$1000)*1,("var_fout"=[1]OUT_TransportEnergyCons!$B$3:$B$1000)*1,ISNUMBER(SEARCH("tpbsu",[1]OUT_TransportEnergyCons!$C$3:$C$1000))*1,[1]OUT_TransportEnergyCons!K$3:K$1000)</f>
        <v>0</v>
      </c>
      <c r="N1358" s="1" cm="1">
        <f t="array" ref="N1358">SUMPRODUCT(("T_B_u-FCLH2O-S2"=[1]OUT_TransportEnergyCons!$A$3:$A$1000)*1,("var_fout"=[1]OUT_TransportEnergyCons!$B$3:$B$1000)*1,ISNUMBER(SEARCH("tpbsu",[1]OUT_TransportEnergyCons!$C$3:$C$1000))*1,[1]OUT_TransportEnergyCons!L$3:L$1000)</f>
        <v>0</v>
      </c>
      <c r="O1358" s="1" cm="1">
        <f t="array" ref="O1358">SUMPRODUCT(("T_B_u-FCLH2O-S2"=[1]OUT_TransportEnergyCons!$A$3:$A$1000)*1,("var_fout"=[1]OUT_TransportEnergyCons!$B$3:$B$1000)*1,ISNUMBER(SEARCH("tpbsu",[1]OUT_TransportEnergyCons!$C$3:$C$1000))*1,[1]OUT_TransportEnergyCons!M$3:M$1000)</f>
        <v>0</v>
      </c>
      <c r="P1358" s="1" cm="1">
        <f t="array" ref="P1358">SUMPRODUCT(("T_B_u-FCLH2O-S2"=[1]OUT_TransportEnergyCons!$A$3:$A$1000)*1,("var_fout"=[1]OUT_TransportEnergyCons!$B$3:$B$1000)*1,ISNUMBER(SEARCH("tpbsu",[1]OUT_TransportEnergyCons!$C$3:$C$1000))*1,[1]OUT_TransportEnergyCons!N$3:N$1000)</f>
        <v>0</v>
      </c>
      <c r="Q1358" s="1" cm="1">
        <f t="array" ref="Q1358">SUMPRODUCT(("T_B_u-FCLH2O-S2"=[1]OUT_TransportEnergyCons!$A$3:$A$1000)*1,("var_fout"=[1]OUT_TransportEnergyCons!$B$3:$B$1000)*1,ISNUMBER(SEARCH("tpbsu",[1]OUT_TransportEnergyCons!$C$3:$C$1000))*1,[1]OUT_TransportEnergyCons!O$3:O$1000)</f>
        <v>0</v>
      </c>
      <c r="S1358" s="3"/>
    </row>
    <row r="1359" spans="2:19" x14ac:dyDescent="0.5">
      <c r="B1359" s="5" t="str">
        <f t="shared" si="1504"/>
        <v>SPS1</v>
      </c>
      <c r="C1359" s="5" t="str">
        <f t="shared" si="1505"/>
        <v>CH</v>
      </c>
      <c r="D1359" t="s">
        <v>1356</v>
      </c>
      <c r="E1359" t="str">
        <f t="shared" si="1506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SUMPRODUCT(("T_B_u-FCLH2O-S3"=[1]OUT_TransportEnergyCons!$A$3:$A$1000)*1,("var_fout"=[1]OUT_TransportEnergyCons!$B$3:$B$1000)*1,ISNUMBER(SEARCH("tpbsu",[1]OUT_TransportEnergyCons!$C$3:$C$1000))*1,[1]OUT_TransportEnergyCons!H$3:H$1000)</f>
        <v>0</v>
      </c>
      <c r="K1359" s="1" cm="1">
        <f t="array" ref="K1359">SUMPRODUCT(("T_B_u-FCLH2O-S3"=[1]OUT_TransportEnergyCons!$A$3:$A$1000)*1,("var_fout"=[1]OUT_TransportEnergyCons!$B$3:$B$1000)*1,ISNUMBER(SEARCH("tpbsu",[1]OUT_TransportEnergyCons!$C$3:$C$1000))*1,[1]OUT_TransportEnergyCons!I$3:I$1000)</f>
        <v>0</v>
      </c>
      <c r="L1359" s="1" cm="1">
        <f t="array" ref="L1359">SUMPRODUCT(("T_B_u-FCLH2O-S3"=[1]OUT_TransportEnergyCons!$A$3:$A$1000)*1,("var_fout"=[1]OUT_TransportEnergyCons!$B$3:$B$1000)*1,ISNUMBER(SEARCH("tpbsu",[1]OUT_TransportEnergyCons!$C$3:$C$1000))*1,[1]OUT_TransportEnergyCons!J$3:J$1000)</f>
        <v>0</v>
      </c>
      <c r="M1359" s="1" cm="1">
        <f t="array" ref="M1359">SUMPRODUCT(("T_B_u-FCLH2O-S3"=[1]OUT_TransportEnergyCons!$A$3:$A$1000)*1,("var_fout"=[1]OUT_TransportEnergyCons!$B$3:$B$1000)*1,ISNUMBER(SEARCH("tpbsu",[1]OUT_TransportEnergyCons!$C$3:$C$1000))*1,[1]OUT_TransportEnergyCons!K$3:K$1000)</f>
        <v>0</v>
      </c>
      <c r="N1359" s="1" cm="1">
        <f t="array" ref="N1359">SUMPRODUCT(("T_B_u-FCLH2O-S3"=[1]OUT_TransportEnergyCons!$A$3:$A$1000)*1,("var_fout"=[1]OUT_TransportEnergyCons!$B$3:$B$1000)*1,ISNUMBER(SEARCH("tpbsu",[1]OUT_TransportEnergyCons!$C$3:$C$1000))*1,[1]OUT_TransportEnergyCons!L$3:L$1000)</f>
        <v>0</v>
      </c>
      <c r="O1359" s="1" cm="1">
        <f t="array" ref="O1359">SUMPRODUCT(("T_B_u-FCLH2O-S3"=[1]OUT_TransportEnergyCons!$A$3:$A$1000)*1,("var_fout"=[1]OUT_TransportEnergyCons!$B$3:$B$1000)*1,ISNUMBER(SEARCH("tpbsu",[1]OUT_TransportEnergyCons!$C$3:$C$1000))*1,[1]OUT_TransportEnergyCons!M$3:M$1000)</f>
        <v>0</v>
      </c>
      <c r="P1359" s="1" cm="1">
        <f t="array" ref="P1359">SUMPRODUCT(("T_B_u-FCLH2O-S3"=[1]OUT_TransportEnergyCons!$A$3:$A$1000)*1,("var_fout"=[1]OUT_TransportEnergyCons!$B$3:$B$1000)*1,ISNUMBER(SEARCH("tpbsu",[1]OUT_TransportEnergyCons!$C$3:$C$1000))*1,[1]OUT_TransportEnergyCons!N$3:N$1000)</f>
        <v>0</v>
      </c>
      <c r="Q1359" s="1" cm="1">
        <f t="array" ref="Q1359">SUMPRODUCT(("T_B_u-FCLH2O-S3"=[1]OUT_TransportEnergyCons!$A$3:$A$1000)*1,("var_fout"=[1]OUT_TransportEnergyCons!$B$3:$B$1000)*1,ISNUMBER(SEARCH("tpbsu",[1]OUT_TransportEnergyCons!$C$3:$C$1000))*1,[1]OUT_TransportEnergyCons!O$3:O$1000)</f>
        <v>0</v>
      </c>
      <c r="S1359" s="3"/>
    </row>
    <row r="1360" spans="2:19" x14ac:dyDescent="0.5">
      <c r="B1360" s="5" t="str">
        <f t="shared" si="1504"/>
        <v>SPS1</v>
      </c>
      <c r="C1360" s="5" t="str">
        <f t="shared" si="1505"/>
        <v>CH</v>
      </c>
      <c r="D1360" t="s">
        <v>1357</v>
      </c>
      <c r="E1360" t="str">
        <f t="shared" si="1506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SUMPRODUCT(("T_B_u-FCLH2O-S4"=[1]OUT_TransportEnergyCons!$A$3:$A$1000)*1,("var_fout"=[1]OUT_TransportEnergyCons!$B$3:$B$1000)*1,ISNUMBER(SEARCH("tpbsu",[1]OUT_TransportEnergyCons!$C$3:$C$1000))*1,[1]OUT_TransportEnergyCons!H$3:H$1000)</f>
        <v>0</v>
      </c>
      <c r="K1360" s="1" cm="1">
        <f t="array" ref="K1360">SUMPRODUCT(("T_B_u-FCLH2O-S4"=[1]OUT_TransportEnergyCons!$A$3:$A$1000)*1,("var_fout"=[1]OUT_TransportEnergyCons!$B$3:$B$1000)*1,ISNUMBER(SEARCH("tpbsu",[1]OUT_TransportEnergyCons!$C$3:$C$1000))*1,[1]OUT_TransportEnergyCons!I$3:I$1000)</f>
        <v>0</v>
      </c>
      <c r="L1360" s="1" cm="1">
        <f t="array" ref="L1360">SUMPRODUCT(("T_B_u-FCLH2O-S4"=[1]OUT_TransportEnergyCons!$A$3:$A$1000)*1,("var_fout"=[1]OUT_TransportEnergyCons!$B$3:$B$1000)*1,ISNUMBER(SEARCH("tpbsu",[1]OUT_TransportEnergyCons!$C$3:$C$1000))*1,[1]OUT_TransportEnergyCons!J$3:J$1000)</f>
        <v>0</v>
      </c>
      <c r="M1360" s="1" cm="1">
        <f t="array" ref="M1360">SUMPRODUCT(("T_B_u-FCLH2O-S4"=[1]OUT_TransportEnergyCons!$A$3:$A$1000)*1,("var_fout"=[1]OUT_TransportEnergyCons!$B$3:$B$1000)*1,ISNUMBER(SEARCH("tpbsu",[1]OUT_TransportEnergyCons!$C$3:$C$1000))*1,[1]OUT_TransportEnergyCons!K$3:K$1000)</f>
        <v>0</v>
      </c>
      <c r="N1360" s="1" cm="1">
        <f t="array" ref="N1360">SUMPRODUCT(("T_B_u-FCLH2O-S4"=[1]OUT_TransportEnergyCons!$A$3:$A$1000)*1,("var_fout"=[1]OUT_TransportEnergyCons!$B$3:$B$1000)*1,ISNUMBER(SEARCH("tpbsu",[1]OUT_TransportEnergyCons!$C$3:$C$1000))*1,[1]OUT_TransportEnergyCons!L$3:L$1000)</f>
        <v>0</v>
      </c>
      <c r="O1360" s="1" cm="1">
        <f t="array" ref="O1360">SUMPRODUCT(("T_B_u-FCLH2O-S4"=[1]OUT_TransportEnergyCons!$A$3:$A$1000)*1,("var_fout"=[1]OUT_TransportEnergyCons!$B$3:$B$1000)*1,ISNUMBER(SEARCH("tpbsu",[1]OUT_TransportEnergyCons!$C$3:$C$1000))*1,[1]OUT_TransportEnergyCons!M$3:M$1000)</f>
        <v>0</v>
      </c>
      <c r="P1360" s="1" cm="1">
        <f t="array" ref="P1360">SUMPRODUCT(("T_B_u-FCLH2O-S4"=[1]OUT_TransportEnergyCons!$A$3:$A$1000)*1,("var_fout"=[1]OUT_TransportEnergyCons!$B$3:$B$1000)*1,ISNUMBER(SEARCH("tpbsu",[1]OUT_TransportEnergyCons!$C$3:$C$1000))*1,[1]OUT_TransportEnergyCons!N$3:N$1000)</f>
        <v>0</v>
      </c>
      <c r="Q1360" s="1" cm="1">
        <f t="array" ref="Q1360">SUMPRODUCT(("T_B_u-FCLH2O-S4"=[1]OUT_TransportEnergyCons!$A$3:$A$1000)*1,("var_fout"=[1]OUT_TransportEnergyCons!$B$3:$B$1000)*1,ISNUMBER(SEARCH("tpbsu",[1]OUT_TransportEnergyCons!$C$3:$C$1000))*1,[1]OUT_TransportEnergyCons!O$3:O$1000)</f>
        <v>0</v>
      </c>
      <c r="S1360" s="3"/>
    </row>
    <row r="1361" spans="2:19" x14ac:dyDescent="0.5">
      <c r="B1361" s="5" t="str">
        <f t="shared" si="1504"/>
        <v>SPS1</v>
      </c>
      <c r="C1361" s="5" t="str">
        <f t="shared" si="1505"/>
        <v>CH</v>
      </c>
      <c r="D1361" t="s">
        <v>1358</v>
      </c>
      <c r="E1361" t="str">
        <f t="shared" si="1506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6.0322580394172925E-4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6.7616808362863971E-4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5.8222110623660114E-5</v>
      </c>
      <c r="J1361" s="1" cm="1">
        <f t="array" ref="J1361">SUMPRODUCT(("T_B_u-HYBDSL-S1"=[1]OUT_TransportEnergyCons!$A$3:$A$1000)*1,("var_fout"=[1]OUT_TransportEnergyCons!$B$3:$B$1000)*1,ISNUMBER(SEARCH("tpbsu",[1]OUT_TransportEnergyCons!$C$3:$C$1000))*1,[1]OUT_TransportEnergyCons!H$3:H$1000)</f>
        <v>1.4428500880127153E-4</v>
      </c>
      <c r="K1361" s="1" cm="1">
        <f t="array" ref="K1361">SUMPRODUCT(("T_B_u-HYBDSL-S1"=[1]OUT_TransportEnergyCons!$A$3:$A$1000)*1,("var_fout"=[1]OUT_TransportEnergyCons!$B$3:$B$1000)*1,ISNUMBER(SEARCH("tpbsu",[1]OUT_TransportEnergyCons!$C$3:$C$1000))*1,[1]OUT_TransportEnergyCons!I$3:I$1000)</f>
        <v>2.1300740697185756E-4</v>
      </c>
      <c r="L1361" s="1" cm="1">
        <f t="array" ref="L1361">SUMPRODUCT(("T_B_u-HYBDSL-S1"=[1]OUT_TransportEnergyCons!$A$3:$A$1000)*1,("var_fout"=[1]OUT_TransportEnergyCons!$B$3:$B$1000)*1,ISNUMBER(SEARCH("tpbsu",[1]OUT_TransportEnergyCons!$C$3:$C$1000))*1,[1]OUT_TransportEnergyCons!J$3:J$1000)</f>
        <v>4.32450912021176E-4</v>
      </c>
      <c r="M1361" s="1" cm="1">
        <f t="array" ref="M1361">SUMPRODUCT(("T_B_u-HYBDSL-S1"=[1]OUT_TransportEnergyCons!$A$3:$A$1000)*1,("var_fout"=[1]OUT_TransportEnergyCons!$B$3:$B$1000)*1,ISNUMBER(SEARCH("tpbsu",[1]OUT_TransportEnergyCons!$C$3:$C$1000))*1,[1]OUT_TransportEnergyCons!K$3:K$1000)</f>
        <v>1.0667289643038959E-3</v>
      </c>
      <c r="N1361" s="1" cm="1">
        <f t="array" ref="N1361">SUMPRODUCT(("T_B_u-HYBDSL-S1"=[1]OUT_TransportEnergyCons!$A$3:$A$1000)*1,("var_fout"=[1]OUT_TransportEnergyCons!$B$3:$B$1000)*1,ISNUMBER(SEARCH("tpbsu",[1]OUT_TransportEnergyCons!$C$3:$C$1000))*1,[1]OUT_TransportEnergyCons!L$3:L$1000)</f>
        <v>1.9533250029676818E-3</v>
      </c>
      <c r="O1361" s="1" cm="1">
        <f t="array" ref="O1361">SUMPRODUCT(("T_B_u-HYBDSL-S1"=[1]OUT_TransportEnergyCons!$A$3:$A$1000)*1,("var_fout"=[1]OUT_TransportEnergyCons!$B$3:$B$1000)*1,ISNUMBER(SEARCH("tpbsu",[1]OUT_TransportEnergyCons!$C$3:$C$1000))*1,[1]OUT_TransportEnergyCons!M$3:M$1000)</f>
        <v>6.4553706615996251E-3</v>
      </c>
      <c r="P1361" s="1" cm="1">
        <f t="array" ref="P1361">SUMPRODUCT(("T_B_u-HYBDSL-S1"=[1]OUT_TransportEnergyCons!$A$3:$A$1000)*1,("var_fout"=[1]OUT_TransportEnergyCons!$B$3:$B$1000)*1,ISNUMBER(SEARCH("tpbsu",[1]OUT_TransportEnergyCons!$C$3:$C$1000))*1,[1]OUT_TransportEnergyCons!N$3:N$1000)</f>
        <v>5.2944849759794792E-2</v>
      </c>
      <c r="Q1361" s="1" cm="1">
        <f t="array" ref="Q1361">SUMPRODUCT(("T_B_u-HYBDSL-S1"=[1]OUT_TransportEnergyCons!$A$3:$A$1000)*1,("var_fout"=[1]OUT_TransportEnergyCons!$B$3:$B$1000)*1,ISNUMBER(SEARCH("tpbsu",[1]OUT_TransportEnergyCons!$C$3:$C$1000))*1,[1]OUT_TransportEnergyCons!O$3:O$1000)</f>
        <v>7.561404661817997E-2</v>
      </c>
      <c r="S1361" s="3"/>
    </row>
    <row r="1362" spans="2:19" x14ac:dyDescent="0.5">
      <c r="B1362" s="5" t="str">
        <f t="shared" si="1504"/>
        <v>SPS1</v>
      </c>
      <c r="C1362" s="5" t="str">
        <f t="shared" si="1505"/>
        <v>CH</v>
      </c>
      <c r="D1362" t="s">
        <v>1359</v>
      </c>
      <c r="E1362" t="str">
        <f t="shared" si="1506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5.4845572203149867E-5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8.9464944549673864E-5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7.1119643080774431E-5</v>
      </c>
      <c r="J1362" s="1" cm="1">
        <f t="array" ref="J1362">SUMPRODUCT(("T_B_u-HYBDSL-S2"=[1]OUT_TransportEnergyCons!$A$3:$A$1000)*1,("var_fout"=[1]OUT_TransportEnergyCons!$B$3:$B$1000)*1,ISNUMBER(SEARCH("tpbsu",[1]OUT_TransportEnergyCons!$C$3:$C$1000))*1,[1]OUT_TransportEnergyCons!H$3:H$1000)</f>
        <v>1.1162311777220102E-4</v>
      </c>
      <c r="K1362" s="1" cm="1">
        <f t="array" ref="K1362">SUMPRODUCT(("T_B_u-HYBDSL-S2"=[1]OUT_TransportEnergyCons!$A$3:$A$1000)*1,("var_fout"=[1]OUT_TransportEnergyCons!$B$3:$B$1000)*1,ISNUMBER(SEARCH("tpbsu",[1]OUT_TransportEnergyCons!$C$3:$C$1000))*1,[1]OUT_TransportEnergyCons!I$3:I$1000)</f>
        <v>1.5142143419317604E-4</v>
      </c>
      <c r="L1362" s="1" cm="1">
        <f t="array" ref="L1362">SUMPRODUCT(("T_B_u-HYBDSL-S2"=[1]OUT_TransportEnergyCons!$A$3:$A$1000)*1,("var_fout"=[1]OUT_TransportEnergyCons!$B$3:$B$1000)*1,ISNUMBER(SEARCH("tpbsu",[1]OUT_TransportEnergyCons!$C$3:$C$1000))*1,[1]OUT_TransportEnergyCons!J$3:J$1000)</f>
        <v>2.5897140878619449E-4</v>
      </c>
      <c r="M1362" s="1" cm="1">
        <f t="array" ref="M1362">SUMPRODUCT(("T_B_u-HYBDSL-S2"=[1]OUT_TransportEnergyCons!$A$3:$A$1000)*1,("var_fout"=[1]OUT_TransportEnergyCons!$B$3:$B$1000)*1,ISNUMBER(SEARCH("tpbsu",[1]OUT_TransportEnergyCons!$C$3:$C$1000))*1,[1]OUT_TransportEnergyCons!K$3:K$1000)</f>
        <v>4.40450828095784E-4</v>
      </c>
      <c r="N1362" s="1" cm="1">
        <f t="array" ref="N1362">SUMPRODUCT(("T_B_u-HYBDSL-S2"=[1]OUT_TransportEnergyCons!$A$3:$A$1000)*1,("var_fout"=[1]OUT_TransportEnergyCons!$B$3:$B$1000)*1,ISNUMBER(SEARCH("tpbsu",[1]OUT_TransportEnergyCons!$C$3:$C$1000))*1,[1]OUT_TransportEnergyCons!L$3:L$1000)</f>
        <v>6.5380203467556893E-4</v>
      </c>
      <c r="O1362" s="1" cm="1">
        <f t="array" ref="O1362">SUMPRODUCT(("T_B_u-HYBDSL-S2"=[1]OUT_TransportEnergyCons!$A$3:$A$1000)*1,("var_fout"=[1]OUT_TransportEnergyCons!$B$3:$B$1000)*1,ISNUMBER(SEARCH("tpbsu",[1]OUT_TransportEnergyCons!$C$3:$C$1000))*1,[1]OUT_TransportEnergyCons!M$3:M$1000)</f>
        <v>1.0175088892519391E-3</v>
      </c>
      <c r="P1362" s="1" cm="1">
        <f t="array" ref="P1362">SUMPRODUCT(("T_B_u-HYBDSL-S2"=[1]OUT_TransportEnergyCons!$A$3:$A$1000)*1,("var_fout"=[1]OUT_TransportEnergyCons!$B$3:$B$1000)*1,ISNUMBER(SEARCH("tpbsu",[1]OUT_TransportEnergyCons!$C$3:$C$1000))*1,[1]OUT_TransportEnergyCons!N$3:N$1000)</f>
        <v>1.3560964803034257E-3</v>
      </c>
      <c r="Q1362" s="1" cm="1">
        <f t="array" ref="Q1362">SUMPRODUCT(("T_B_u-HYBDSL-S2"=[1]OUT_TransportEnergyCons!$A$3:$A$1000)*1,("var_fout"=[1]OUT_TransportEnergyCons!$B$3:$B$1000)*1,ISNUMBER(SEARCH("tpbsu",[1]OUT_TransportEnergyCons!$C$3:$C$1000))*1,[1]OUT_TransportEnergyCons!O$3:O$1000)</f>
        <v>3.0261486040702112E-3</v>
      </c>
      <c r="S1362" s="3"/>
    </row>
    <row r="1363" spans="2:19" x14ac:dyDescent="0.5">
      <c r="B1363" s="5" t="str">
        <f t="shared" si="1504"/>
        <v>SPS1</v>
      </c>
      <c r="C1363" s="5" t="str">
        <f t="shared" si="1505"/>
        <v>CH</v>
      </c>
      <c r="D1363" t="s">
        <v>1360</v>
      </c>
      <c r="E1363" t="str">
        <f t="shared" si="1506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3.6571724068511068E-3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4.8215654351427384E-2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6.976686060324698E-2</v>
      </c>
      <c r="J1363" s="1" cm="1">
        <f t="array" ref="J1363">SUMPRODUCT(("T_B_u-HYBDSL-S3"=[1]OUT_TransportEnergyCons!$A$3:$A$1000)*1,("var_fout"=[1]OUT_TransportEnergyCons!$B$3:$B$1000)*1,ISNUMBER(SEARCH("tpbsu",[1]OUT_TransportEnergyCons!$C$3:$C$1000))*1,[1]OUT_TransportEnergyCons!H$3:H$1000)</f>
        <v>8.1971653685373944E-2</v>
      </c>
      <c r="K1363" s="1" cm="1">
        <f t="array" ref="K1363">SUMPRODUCT(("T_B_u-HYBDSL-S3"=[1]OUT_TransportEnergyCons!$A$3:$A$1000)*1,("var_fout"=[1]OUT_TransportEnergyCons!$B$3:$B$1000)*1,ISNUMBER(SEARCH("tpbsu",[1]OUT_TransportEnergyCons!$C$3:$C$1000))*1,[1]OUT_TransportEnergyCons!I$3:I$1000)</f>
        <v>9.5355168146548402E-2</v>
      </c>
      <c r="L1363" s="1" cm="1">
        <f t="array" ref="L1363">SUMPRODUCT(("T_B_u-HYBDSL-S3"=[1]OUT_TransportEnergyCons!$A$3:$A$1000)*1,("var_fout"=[1]OUT_TransportEnergyCons!$B$3:$B$1000)*1,ISNUMBER(SEARCH("tpbsu",[1]OUT_TransportEnergyCons!$C$3:$C$1000))*1,[1]OUT_TransportEnergyCons!J$3:J$1000)</f>
        <v>0.10949551651596336</v>
      </c>
      <c r="M1363" s="1" cm="1">
        <f t="array" ref="M1363">SUMPRODUCT(("T_B_u-HYBDSL-S3"=[1]OUT_TransportEnergyCons!$A$3:$A$1000)*1,("var_fout"=[1]OUT_TransportEnergyCons!$B$3:$B$1000)*1,ISNUMBER(SEARCH("tpbsu",[1]OUT_TransportEnergyCons!$C$3:$C$1000))*1,[1]OUT_TransportEnergyCons!K$3:K$1000)</f>
        <v>0.12387912009374207</v>
      </c>
      <c r="N1363" s="1" cm="1">
        <f t="array" ref="N1363">SUMPRODUCT(("T_B_u-HYBDSL-S3"=[1]OUT_TransportEnergyCons!$A$3:$A$1000)*1,("var_fout"=[1]OUT_TransportEnergyCons!$B$3:$B$1000)*1,ISNUMBER(SEARCH("tpbsu",[1]OUT_TransportEnergyCons!$C$3:$C$1000))*1,[1]OUT_TransportEnergyCons!L$3:L$1000)</f>
        <v>0.13582933267764802</v>
      </c>
      <c r="O1363" s="1" cm="1">
        <f t="array" ref="O1363">SUMPRODUCT(("T_B_u-HYBDSL-S3"=[1]OUT_TransportEnergyCons!$A$3:$A$1000)*1,("var_fout"=[1]OUT_TransportEnergyCons!$B$3:$B$1000)*1,ISNUMBER(SEARCH("tpbsu",[1]OUT_TransportEnergyCons!$C$3:$C$1000))*1,[1]OUT_TransportEnergyCons!M$3:M$1000)</f>
        <v>0.14463224597007876</v>
      </c>
      <c r="P1363" s="1" cm="1">
        <f t="array" ref="P1363">SUMPRODUCT(("T_B_u-HYBDSL-S3"=[1]OUT_TransportEnergyCons!$A$3:$A$1000)*1,("var_fout"=[1]OUT_TransportEnergyCons!$B$3:$B$1000)*1,ISNUMBER(SEARCH("tpbsu",[1]OUT_TransportEnergyCons!$C$3:$C$1000))*1,[1]OUT_TransportEnergyCons!N$3:N$1000)</f>
        <v>0.11122156113083906</v>
      </c>
      <c r="Q1363" s="1" cm="1">
        <f t="array" ref="Q1363">SUMPRODUCT(("T_B_u-HYBDSL-S3"=[1]OUT_TransportEnergyCons!$A$3:$A$1000)*1,("var_fout"=[1]OUT_TransportEnergyCons!$B$3:$B$1000)*1,ISNUMBER(SEARCH("tpbsu",[1]OUT_TransportEnergyCons!$C$3:$C$1000))*1,[1]OUT_TransportEnergyCons!O$3:O$1000)</f>
        <v>9.197977376025035E-2</v>
      </c>
      <c r="S1363" s="3"/>
    </row>
    <row r="1364" spans="2:19" x14ac:dyDescent="0.5">
      <c r="B1364" s="5" t="str">
        <f t="shared" si="1504"/>
        <v>SPS1</v>
      </c>
      <c r="C1364" s="5" t="str">
        <f t="shared" si="1505"/>
        <v>CH</v>
      </c>
      <c r="D1364" t="s">
        <v>1361</v>
      </c>
      <c r="E1364" t="str">
        <f t="shared" si="1506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1.2949070179257007E-6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2.6661330468337417E-6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2.1017150799537768E-6</v>
      </c>
      <c r="J1364" s="1" cm="1">
        <f t="array" ref="J1364">SUMPRODUCT(("T_B_u-HYBDSL-S4"=[1]OUT_TransportEnergyCons!$A$3:$A$1000)*1,("var_fout"=[1]OUT_TransportEnergyCons!$B$3:$B$1000)*1,ISNUMBER(SEARCH("tpbsu",[1]OUT_TransportEnergyCons!$C$3:$C$1000))*1,[1]OUT_TransportEnergyCons!H$3:H$1000)</f>
        <v>3.1087031554037511E-6</v>
      </c>
      <c r="K1364" s="1" cm="1">
        <f t="array" ref="K1364">SUMPRODUCT(("T_B_u-HYBDSL-S4"=[1]OUT_TransportEnergyCons!$A$3:$A$1000)*1,("var_fout"=[1]OUT_TransportEnergyCons!$B$3:$B$1000)*1,ISNUMBER(SEARCH("tpbsu",[1]OUT_TransportEnergyCons!$C$3:$C$1000))*1,[1]OUT_TransportEnergyCons!I$3:I$1000)</f>
        <v>5.3647934343580472E-6</v>
      </c>
      <c r="L1364" s="1" cm="1">
        <f t="array" ref="L1364">SUMPRODUCT(("T_B_u-HYBDSL-S4"=[1]OUT_TransportEnergyCons!$A$3:$A$1000)*1,("var_fout"=[1]OUT_TransportEnergyCons!$B$3:$B$1000)*1,ISNUMBER(SEARCH("tpbsu",[1]OUT_TransportEnergyCons!$C$3:$C$1000))*1,[1]OUT_TransportEnergyCons!J$3:J$1000)</f>
        <v>4.9392608732523025E-6</v>
      </c>
      <c r="M1364" s="1" cm="1">
        <f t="array" ref="M1364">SUMPRODUCT(("T_B_u-HYBDSL-S4"=[1]OUT_TransportEnergyCons!$A$3:$A$1000)*1,("var_fout"=[1]OUT_TransportEnergyCons!$B$3:$B$1000)*1,ISNUMBER(SEARCH("tpbsu",[1]OUT_TransportEnergyCons!$C$3:$C$1000))*1,[1]OUT_TransportEnergyCons!K$3:K$1000)</f>
        <v>7.9941039205051392E-6</v>
      </c>
      <c r="N1364" s="1" cm="1">
        <f t="array" ref="N1364">SUMPRODUCT(("T_B_u-HYBDSL-S4"=[1]OUT_TransportEnergyCons!$A$3:$A$1000)*1,("var_fout"=[1]OUT_TransportEnergyCons!$B$3:$B$1000)*1,ISNUMBER(SEARCH("tpbsu",[1]OUT_TransportEnergyCons!$C$3:$C$1000))*1,[1]OUT_TransportEnergyCons!L$3:L$1000)</f>
        <v>7.917045918372119E-6</v>
      </c>
      <c r="O1364" s="1" cm="1">
        <f t="array" ref="O1364">SUMPRODUCT(("T_B_u-HYBDSL-S4"=[1]OUT_TransportEnergyCons!$A$3:$A$1000)*1,("var_fout"=[1]OUT_TransportEnergyCons!$B$3:$B$1000)*1,ISNUMBER(SEARCH("tpbsu",[1]OUT_TransportEnergyCons!$C$3:$C$1000))*1,[1]OUT_TransportEnergyCons!M$3:M$1000)</f>
        <v>8.163856643231275E-6</v>
      </c>
      <c r="P1364" s="1" cm="1">
        <f t="array" ref="P1364">SUMPRODUCT(("T_B_u-HYBDSL-S4"=[1]OUT_TransportEnergyCons!$A$3:$A$1000)*1,("var_fout"=[1]OUT_TransportEnergyCons!$B$3:$B$1000)*1,ISNUMBER(SEARCH("tpbsu",[1]OUT_TransportEnergyCons!$C$3:$C$1000))*1,[1]OUT_TransportEnergyCons!N$3:N$1000)</f>
        <v>1.2301433576773512E-5</v>
      </c>
      <c r="Q1364" s="1" cm="1">
        <f t="array" ref="Q1364">SUMPRODUCT(("T_B_u-HYBDSL-S4"=[1]OUT_TransportEnergyCons!$A$3:$A$1000)*1,("var_fout"=[1]OUT_TransportEnergyCons!$B$3:$B$1000)*1,ISNUMBER(SEARCH("tpbsu",[1]OUT_TransportEnergyCons!$C$3:$C$1000))*1,[1]OUT_TransportEnergyCons!O$3:O$1000)</f>
        <v>1.6815655154793183E-5</v>
      </c>
      <c r="S1364" s="3"/>
    </row>
    <row r="1365" spans="2:19" x14ac:dyDescent="0.5">
      <c r="B1365" s="5" t="str">
        <f t="shared" si="1504"/>
        <v>SPS1</v>
      </c>
      <c r="C1365" s="5" t="str">
        <f t="shared" si="1505"/>
        <v>CH</v>
      </c>
      <c r="D1365" t="s">
        <v>2001</v>
      </c>
      <c r="E1365" t="str">
        <f t="shared" si="1506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0.24219971410450039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0.19378474543033516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0.12111295714076223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SUMPRODUCT(("T_B_u-ICEDSLEXT"=[1]OUT_TransportEnergyCons!$A$3:$A$1000)*1,("var_fout"=[1]OUT_TransportEnergyCons!$B$3:$B$1000)*1,ISNUMBER(SEARCH("tpbsu",[1]OUT_TransportEnergyCons!$C$3:$C$1000))*1,[1]OUT_TransportEnergyCons!H$3:H$1000)</f>
        <v>0</v>
      </c>
      <c r="K1365" s="1" cm="1">
        <f t="array" ref="K1365">SUMPRODUCT(("T_B_u-ICEDSLEXT"=[1]OUT_TransportEnergyCons!$A$3:$A$1000)*1,("var_fout"=[1]OUT_TransportEnergyCons!$B$3:$B$1000)*1,ISNUMBER(SEARCH("tpbsu",[1]OUT_TransportEnergyCons!$C$3:$C$1000))*1,[1]OUT_TransportEnergyCons!I$3:I$1000)</f>
        <v>0</v>
      </c>
      <c r="L1365" s="1" cm="1">
        <f t="array" ref="L1365">SUMPRODUCT(("T_B_u-ICEDSLEXT"=[1]OUT_TransportEnergyCons!$A$3:$A$1000)*1,("var_fout"=[1]OUT_TransportEnergyCons!$B$3:$B$1000)*1,ISNUMBER(SEARCH("tpbsu",[1]OUT_TransportEnergyCons!$C$3:$C$1000))*1,[1]OUT_TransportEnergyCons!J$3:J$1000)</f>
        <v>0</v>
      </c>
      <c r="M1365" s="1" cm="1">
        <f t="array" ref="M1365">SUMPRODUCT(("T_B_u-ICEDSLEXT"=[1]OUT_TransportEnergyCons!$A$3:$A$1000)*1,("var_fout"=[1]OUT_TransportEnergyCons!$B$3:$B$1000)*1,ISNUMBER(SEARCH("tpbsu",[1]OUT_TransportEnergyCons!$C$3:$C$1000))*1,[1]OUT_TransportEnergyCons!K$3:K$1000)</f>
        <v>0</v>
      </c>
      <c r="N1365" s="1" cm="1">
        <f t="array" ref="N1365">SUMPRODUCT(("T_B_u-ICEDSLEXT"=[1]OUT_TransportEnergyCons!$A$3:$A$1000)*1,("var_fout"=[1]OUT_TransportEnergyCons!$B$3:$B$1000)*1,ISNUMBER(SEARCH("tpbsu",[1]OUT_TransportEnergyCons!$C$3:$C$1000))*1,[1]OUT_TransportEnergyCons!L$3:L$1000)</f>
        <v>0</v>
      </c>
      <c r="O1365" s="1" cm="1">
        <f t="array" ref="O1365">SUMPRODUCT(("T_B_u-ICEDSLEXT"=[1]OUT_TransportEnergyCons!$A$3:$A$1000)*1,("var_fout"=[1]OUT_TransportEnergyCons!$B$3:$B$1000)*1,ISNUMBER(SEARCH("tpbsu",[1]OUT_TransportEnergyCons!$C$3:$C$1000))*1,[1]OUT_TransportEnergyCons!M$3:M$1000)</f>
        <v>0</v>
      </c>
      <c r="P1365" s="1" cm="1">
        <f t="array" ref="P1365">SUMPRODUCT(("T_B_u-ICEDSLEXT"=[1]OUT_TransportEnergyCons!$A$3:$A$1000)*1,("var_fout"=[1]OUT_TransportEnergyCons!$B$3:$B$1000)*1,ISNUMBER(SEARCH("tpbsu",[1]OUT_TransportEnergyCons!$C$3:$C$1000))*1,[1]OUT_TransportEnergyCons!N$3:N$1000)</f>
        <v>0</v>
      </c>
      <c r="Q1365" s="1" cm="1">
        <f t="array" ref="Q1365">SUMPRODUCT(("T_B_u-ICEDSLEXT"=[1]OUT_TransportEnergyCons!$A$3:$A$1000)*1,("var_fout"=[1]OUT_TransportEnergyCons!$B$3:$B$1000)*1,ISNUMBER(SEARCH("tpbsu",[1]OUT_TransportEnergyCons!$C$3:$C$1000))*1,[1]OUT_TransportEnergyCons!O$3:O$1000)</f>
        <v>0</v>
      </c>
      <c r="S1365" s="3"/>
    </row>
    <row r="1366" spans="2:19" x14ac:dyDescent="0.5">
      <c r="B1366" s="5" t="str">
        <f t="shared" si="1504"/>
        <v>SPS1</v>
      </c>
      <c r="C1366" s="5" t="str">
        <f t="shared" si="1505"/>
        <v>CH</v>
      </c>
      <c r="D1366" t="s">
        <v>1362</v>
      </c>
      <c r="E1366" t="str">
        <f t="shared" si="1506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3.7788101285362467E-5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3.3850878726824685E-2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6.1606657827700841E-2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5.5699498286645454E-6</v>
      </c>
      <c r="J1366" s="1" cm="1">
        <f t="array" ref="J1366">SUMPRODUCT(("T_B_u-ICEDSL-S1"=[1]OUT_TransportEnergyCons!$A$3:$A$1000)*1,("var_fout"=[1]OUT_TransportEnergyCons!$B$3:$B$1000)*1,ISNUMBER(SEARCH("tpbsu",[1]OUT_TransportEnergyCons!$C$3:$C$1000))*1,[1]OUT_TransportEnergyCons!H$3:H$1000)</f>
        <v>0</v>
      </c>
      <c r="K1366" s="1" cm="1">
        <f t="array" ref="K1366">SUMPRODUCT(("T_B_u-ICEDSL-S1"=[1]OUT_TransportEnergyCons!$A$3:$A$1000)*1,("var_fout"=[1]OUT_TransportEnergyCons!$B$3:$B$1000)*1,ISNUMBER(SEARCH("tpbsu",[1]OUT_TransportEnergyCons!$C$3:$C$1000))*1,[1]OUT_TransportEnergyCons!I$3:I$1000)</f>
        <v>0</v>
      </c>
      <c r="L1366" s="1" cm="1">
        <f t="array" ref="L1366">SUMPRODUCT(("T_B_u-ICEDSL-S1"=[1]OUT_TransportEnergyCons!$A$3:$A$1000)*1,("var_fout"=[1]OUT_TransportEnergyCons!$B$3:$B$1000)*1,ISNUMBER(SEARCH("tpbsu",[1]OUT_TransportEnergyCons!$C$3:$C$1000))*1,[1]OUT_TransportEnergyCons!J$3:J$1000)</f>
        <v>0</v>
      </c>
      <c r="M1366" s="1" cm="1">
        <f t="array" ref="M1366">SUMPRODUCT(("T_B_u-ICEDSL-S1"=[1]OUT_TransportEnergyCons!$A$3:$A$1000)*1,("var_fout"=[1]OUT_TransportEnergyCons!$B$3:$B$1000)*1,ISNUMBER(SEARCH("tpbsu",[1]OUT_TransportEnergyCons!$C$3:$C$1000))*1,[1]OUT_TransportEnergyCons!K$3:K$1000)</f>
        <v>0</v>
      </c>
      <c r="N1366" s="1" cm="1">
        <f t="array" ref="N1366">SUMPRODUCT(("T_B_u-ICEDSL-S1"=[1]OUT_TransportEnergyCons!$A$3:$A$1000)*1,("var_fout"=[1]OUT_TransportEnergyCons!$B$3:$B$1000)*1,ISNUMBER(SEARCH("tpbsu",[1]OUT_TransportEnergyCons!$C$3:$C$1000))*1,[1]OUT_TransportEnergyCons!L$3:L$1000)</f>
        <v>0</v>
      </c>
      <c r="O1366" s="1" cm="1">
        <f t="array" ref="O1366">SUMPRODUCT(("T_B_u-ICEDSL-S1"=[1]OUT_TransportEnergyCons!$A$3:$A$1000)*1,("var_fout"=[1]OUT_TransportEnergyCons!$B$3:$B$1000)*1,ISNUMBER(SEARCH("tpbsu",[1]OUT_TransportEnergyCons!$C$3:$C$1000))*1,[1]OUT_TransportEnergyCons!M$3:M$1000)</f>
        <v>0</v>
      </c>
      <c r="P1366" s="1" cm="1">
        <f t="array" ref="P1366">SUMPRODUCT(("T_B_u-ICEDSL-S1"=[1]OUT_TransportEnergyCons!$A$3:$A$1000)*1,("var_fout"=[1]OUT_TransportEnergyCons!$B$3:$B$1000)*1,ISNUMBER(SEARCH("tpbsu",[1]OUT_TransportEnergyCons!$C$3:$C$1000))*1,[1]OUT_TransportEnergyCons!N$3:N$1000)</f>
        <v>0</v>
      </c>
      <c r="Q1366" s="1" cm="1">
        <f t="array" ref="Q1366">SUMPRODUCT(("T_B_u-ICEDSL-S1"=[1]OUT_TransportEnergyCons!$A$3:$A$1000)*1,("var_fout"=[1]OUT_TransportEnergyCons!$B$3:$B$1000)*1,ISNUMBER(SEARCH("tpbsu",[1]OUT_TransportEnergyCons!$C$3:$C$1000))*1,[1]OUT_TransportEnergyCons!O$3:O$1000)</f>
        <v>0</v>
      </c>
      <c r="S1366" s="3"/>
    </row>
    <row r="1367" spans="2:19" x14ac:dyDescent="0.5">
      <c r="B1367" s="5" t="str">
        <f t="shared" si="1504"/>
        <v>SPS1</v>
      </c>
      <c r="C1367" s="5" t="str">
        <f t="shared" si="1505"/>
        <v>CH</v>
      </c>
      <c r="D1367" t="s">
        <v>1363</v>
      </c>
      <c r="E1367" t="str">
        <f t="shared" si="1506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9.5690013848422299E-3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1.2030266466846537E-2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2.0473319965131926E-2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SUMPRODUCT(("T_B_u-ICEDSL-S2"=[1]OUT_TransportEnergyCons!$A$3:$A$1000)*1,("var_fout"=[1]OUT_TransportEnergyCons!$B$3:$B$1000)*1,ISNUMBER(SEARCH("tpbsu",[1]OUT_TransportEnergyCons!$C$3:$C$1000))*1,[1]OUT_TransportEnergyCons!H$3:H$1000)</f>
        <v>0</v>
      </c>
      <c r="K1367" s="1" cm="1">
        <f t="array" ref="K1367">SUMPRODUCT(("T_B_u-ICEDSL-S2"=[1]OUT_TransportEnergyCons!$A$3:$A$1000)*1,("var_fout"=[1]OUT_TransportEnergyCons!$B$3:$B$1000)*1,ISNUMBER(SEARCH("tpbsu",[1]OUT_TransportEnergyCons!$C$3:$C$1000))*1,[1]OUT_TransportEnergyCons!I$3:I$1000)</f>
        <v>0</v>
      </c>
      <c r="L1367" s="1" cm="1">
        <f t="array" ref="L1367">SUMPRODUCT(("T_B_u-ICEDSL-S2"=[1]OUT_TransportEnergyCons!$A$3:$A$1000)*1,("var_fout"=[1]OUT_TransportEnergyCons!$B$3:$B$1000)*1,ISNUMBER(SEARCH("tpbsu",[1]OUT_TransportEnergyCons!$C$3:$C$1000))*1,[1]OUT_TransportEnergyCons!J$3:J$1000)</f>
        <v>0</v>
      </c>
      <c r="M1367" s="1" cm="1">
        <f t="array" ref="M1367">SUMPRODUCT(("T_B_u-ICEDSL-S2"=[1]OUT_TransportEnergyCons!$A$3:$A$1000)*1,("var_fout"=[1]OUT_TransportEnergyCons!$B$3:$B$1000)*1,ISNUMBER(SEARCH("tpbsu",[1]OUT_TransportEnergyCons!$C$3:$C$1000))*1,[1]OUT_TransportEnergyCons!K$3:K$1000)</f>
        <v>0</v>
      </c>
      <c r="N1367" s="1" cm="1">
        <f t="array" ref="N1367">SUMPRODUCT(("T_B_u-ICEDSL-S2"=[1]OUT_TransportEnergyCons!$A$3:$A$1000)*1,("var_fout"=[1]OUT_TransportEnergyCons!$B$3:$B$1000)*1,ISNUMBER(SEARCH("tpbsu",[1]OUT_TransportEnergyCons!$C$3:$C$1000))*1,[1]OUT_TransportEnergyCons!L$3:L$1000)</f>
        <v>0</v>
      </c>
      <c r="O1367" s="1" cm="1">
        <f t="array" ref="O1367">SUMPRODUCT(("T_B_u-ICEDSL-S2"=[1]OUT_TransportEnergyCons!$A$3:$A$1000)*1,("var_fout"=[1]OUT_TransportEnergyCons!$B$3:$B$1000)*1,ISNUMBER(SEARCH("tpbsu",[1]OUT_TransportEnergyCons!$C$3:$C$1000))*1,[1]OUT_TransportEnergyCons!M$3:M$1000)</f>
        <v>0</v>
      </c>
      <c r="P1367" s="1" cm="1">
        <f t="array" ref="P1367">SUMPRODUCT(("T_B_u-ICEDSL-S2"=[1]OUT_TransportEnergyCons!$A$3:$A$1000)*1,("var_fout"=[1]OUT_TransportEnergyCons!$B$3:$B$1000)*1,ISNUMBER(SEARCH("tpbsu",[1]OUT_TransportEnergyCons!$C$3:$C$1000))*1,[1]OUT_TransportEnergyCons!N$3:N$1000)</f>
        <v>0</v>
      </c>
      <c r="Q1367" s="1" cm="1">
        <f t="array" ref="Q1367">SUMPRODUCT(("T_B_u-ICEDSL-S2"=[1]OUT_TransportEnergyCons!$A$3:$A$1000)*1,("var_fout"=[1]OUT_TransportEnergyCons!$B$3:$B$1000)*1,ISNUMBER(SEARCH("tpbsu",[1]OUT_TransportEnergyCons!$C$3:$C$1000))*1,[1]OUT_TransportEnergyCons!O$3:O$1000)</f>
        <v>0</v>
      </c>
      <c r="S1367" s="3"/>
    </row>
    <row r="1368" spans="2:19" x14ac:dyDescent="0.5">
      <c r="B1368" s="5" t="str">
        <f t="shared" si="1504"/>
        <v>SPS1</v>
      </c>
      <c r="C1368" s="5" t="str">
        <f t="shared" si="1505"/>
        <v>CH</v>
      </c>
      <c r="D1368" t="s">
        <v>1364</v>
      </c>
      <c r="E1368" t="str">
        <f t="shared" si="1506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3.6509518194595351E-2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5.0616337058131157E-2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5.0657903014079873E-2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SUMPRODUCT(("T_B_u-ICEDSL-S3"=[1]OUT_TransportEnergyCons!$A$3:$A$1000)*1,("var_fout"=[1]OUT_TransportEnergyCons!$B$3:$B$1000)*1,ISNUMBER(SEARCH("tpbsu",[1]OUT_TransportEnergyCons!$C$3:$C$1000))*1,[1]OUT_TransportEnergyCons!H$3:H$1000)</f>
        <v>0</v>
      </c>
      <c r="K1368" s="1" cm="1">
        <f t="array" ref="K1368">SUMPRODUCT(("T_B_u-ICEDSL-S3"=[1]OUT_TransportEnergyCons!$A$3:$A$1000)*1,("var_fout"=[1]OUT_TransportEnergyCons!$B$3:$B$1000)*1,ISNUMBER(SEARCH("tpbsu",[1]OUT_TransportEnergyCons!$C$3:$C$1000))*1,[1]OUT_TransportEnergyCons!I$3:I$1000)</f>
        <v>0</v>
      </c>
      <c r="L1368" s="1" cm="1">
        <f t="array" ref="L1368">SUMPRODUCT(("T_B_u-ICEDSL-S3"=[1]OUT_TransportEnergyCons!$A$3:$A$1000)*1,("var_fout"=[1]OUT_TransportEnergyCons!$B$3:$B$1000)*1,ISNUMBER(SEARCH("tpbsu",[1]OUT_TransportEnergyCons!$C$3:$C$1000))*1,[1]OUT_TransportEnergyCons!J$3:J$1000)</f>
        <v>0</v>
      </c>
      <c r="M1368" s="1" cm="1">
        <f t="array" ref="M1368">SUMPRODUCT(("T_B_u-ICEDSL-S3"=[1]OUT_TransportEnergyCons!$A$3:$A$1000)*1,("var_fout"=[1]OUT_TransportEnergyCons!$B$3:$B$1000)*1,ISNUMBER(SEARCH("tpbsu",[1]OUT_TransportEnergyCons!$C$3:$C$1000))*1,[1]OUT_TransportEnergyCons!K$3:K$1000)</f>
        <v>0</v>
      </c>
      <c r="N1368" s="1" cm="1">
        <f t="array" ref="N1368">SUMPRODUCT(("T_B_u-ICEDSL-S3"=[1]OUT_TransportEnergyCons!$A$3:$A$1000)*1,("var_fout"=[1]OUT_TransportEnergyCons!$B$3:$B$1000)*1,ISNUMBER(SEARCH("tpbsu",[1]OUT_TransportEnergyCons!$C$3:$C$1000))*1,[1]OUT_TransportEnergyCons!L$3:L$1000)</f>
        <v>0</v>
      </c>
      <c r="O1368" s="1" cm="1">
        <f t="array" ref="O1368">SUMPRODUCT(("T_B_u-ICEDSL-S3"=[1]OUT_TransportEnergyCons!$A$3:$A$1000)*1,("var_fout"=[1]OUT_TransportEnergyCons!$B$3:$B$1000)*1,ISNUMBER(SEARCH("tpbsu",[1]OUT_TransportEnergyCons!$C$3:$C$1000))*1,[1]OUT_TransportEnergyCons!M$3:M$1000)</f>
        <v>0</v>
      </c>
      <c r="P1368" s="1" cm="1">
        <f t="array" ref="P1368">SUMPRODUCT(("T_B_u-ICEDSL-S3"=[1]OUT_TransportEnergyCons!$A$3:$A$1000)*1,("var_fout"=[1]OUT_TransportEnergyCons!$B$3:$B$1000)*1,ISNUMBER(SEARCH("tpbsu",[1]OUT_TransportEnergyCons!$C$3:$C$1000))*1,[1]OUT_TransportEnergyCons!N$3:N$1000)</f>
        <v>0</v>
      </c>
      <c r="Q1368" s="1" cm="1">
        <f t="array" ref="Q1368">SUMPRODUCT(("T_B_u-ICEDSL-S3"=[1]OUT_TransportEnergyCons!$A$3:$A$1000)*1,("var_fout"=[1]OUT_TransportEnergyCons!$B$3:$B$1000)*1,ISNUMBER(SEARCH("tpbsu",[1]OUT_TransportEnergyCons!$C$3:$C$1000))*1,[1]OUT_TransportEnergyCons!O$3:O$1000)</f>
        <v>0</v>
      </c>
      <c r="S1368" s="3"/>
    </row>
    <row r="1369" spans="2:19" x14ac:dyDescent="0.5">
      <c r="B1369" s="5" t="str">
        <f t="shared" si="1504"/>
        <v>SPS1</v>
      </c>
      <c r="C1369" s="5" t="str">
        <f t="shared" si="1505"/>
        <v>CH</v>
      </c>
      <c r="D1369" t="s">
        <v>1365</v>
      </c>
      <c r="E1369" t="str">
        <f t="shared" si="1506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1.5492038830017935E-4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1.050045862195151E-5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1.5515707513110733E-5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SUMPRODUCT(("T_B_u-ICEDSL-S4"=[1]OUT_TransportEnergyCons!$A$3:$A$1000)*1,("var_fout"=[1]OUT_TransportEnergyCons!$B$3:$B$1000)*1,ISNUMBER(SEARCH("tpbsu",[1]OUT_TransportEnergyCons!$C$3:$C$1000))*1,[1]OUT_TransportEnergyCons!H$3:H$1000)</f>
        <v>0</v>
      </c>
      <c r="K1369" s="1" cm="1">
        <f t="array" ref="K1369">SUMPRODUCT(("T_B_u-ICEDSL-S4"=[1]OUT_TransportEnergyCons!$A$3:$A$1000)*1,("var_fout"=[1]OUT_TransportEnergyCons!$B$3:$B$1000)*1,ISNUMBER(SEARCH("tpbsu",[1]OUT_TransportEnergyCons!$C$3:$C$1000))*1,[1]OUT_TransportEnergyCons!I$3:I$1000)</f>
        <v>0</v>
      </c>
      <c r="L1369" s="1" cm="1">
        <f t="array" ref="L1369">SUMPRODUCT(("T_B_u-ICEDSL-S4"=[1]OUT_TransportEnergyCons!$A$3:$A$1000)*1,("var_fout"=[1]OUT_TransportEnergyCons!$B$3:$B$1000)*1,ISNUMBER(SEARCH("tpbsu",[1]OUT_TransportEnergyCons!$C$3:$C$1000))*1,[1]OUT_TransportEnergyCons!J$3:J$1000)</f>
        <v>0</v>
      </c>
      <c r="M1369" s="1" cm="1">
        <f t="array" ref="M1369">SUMPRODUCT(("T_B_u-ICEDSL-S4"=[1]OUT_TransportEnergyCons!$A$3:$A$1000)*1,("var_fout"=[1]OUT_TransportEnergyCons!$B$3:$B$1000)*1,ISNUMBER(SEARCH("tpbsu",[1]OUT_TransportEnergyCons!$C$3:$C$1000))*1,[1]OUT_TransportEnergyCons!K$3:K$1000)</f>
        <v>0</v>
      </c>
      <c r="N1369" s="1" cm="1">
        <f t="array" ref="N1369">SUMPRODUCT(("T_B_u-ICEDSL-S4"=[1]OUT_TransportEnergyCons!$A$3:$A$1000)*1,("var_fout"=[1]OUT_TransportEnergyCons!$B$3:$B$1000)*1,ISNUMBER(SEARCH("tpbsu",[1]OUT_TransportEnergyCons!$C$3:$C$1000))*1,[1]OUT_TransportEnergyCons!L$3:L$1000)</f>
        <v>0</v>
      </c>
      <c r="O1369" s="1" cm="1">
        <f t="array" ref="O1369">SUMPRODUCT(("T_B_u-ICEDSL-S4"=[1]OUT_TransportEnergyCons!$A$3:$A$1000)*1,("var_fout"=[1]OUT_TransportEnergyCons!$B$3:$B$1000)*1,ISNUMBER(SEARCH("tpbsu",[1]OUT_TransportEnergyCons!$C$3:$C$1000))*1,[1]OUT_TransportEnergyCons!M$3:M$1000)</f>
        <v>0</v>
      </c>
      <c r="P1369" s="1" cm="1">
        <f t="array" ref="P1369">SUMPRODUCT(("T_B_u-ICEDSL-S4"=[1]OUT_TransportEnergyCons!$A$3:$A$1000)*1,("var_fout"=[1]OUT_TransportEnergyCons!$B$3:$B$1000)*1,ISNUMBER(SEARCH("tpbsu",[1]OUT_TransportEnergyCons!$C$3:$C$1000))*1,[1]OUT_TransportEnergyCons!N$3:N$1000)</f>
        <v>0</v>
      </c>
      <c r="Q1369" s="1" cm="1">
        <f t="array" ref="Q1369">SUMPRODUCT(("T_B_u-ICEDSL-S4"=[1]OUT_TransportEnergyCons!$A$3:$A$1000)*1,("var_fout"=[1]OUT_TransportEnergyCons!$B$3:$B$1000)*1,ISNUMBER(SEARCH("tpbsu",[1]OUT_TransportEnergyCons!$C$3:$C$1000))*1,[1]OUT_TransportEnergyCons!O$3:O$1000)</f>
        <v>0</v>
      </c>
      <c r="S1369" s="3"/>
    </row>
    <row r="1370" spans="2:19" x14ac:dyDescent="0.5">
      <c r="B1370" s="5" t="str">
        <f t="shared" si="1504"/>
        <v>SPS1</v>
      </c>
      <c r="C1370" s="5" t="str">
        <f t="shared" si="1505"/>
        <v>CH</v>
      </c>
      <c r="D1370" t="s">
        <v>2005</v>
      </c>
      <c r="E1370" t="str">
        <f t="shared" si="1506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4.4173042516420834E-3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3.5486597747929442E-3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2.2184091712250972E-3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SUMPRODUCT(("T_B_u-ICEngaEXT"=[1]OUT_TransportEnergyCons!$A$3:$A$1000)*1,("var_fout"=[1]OUT_TransportEnergyCons!$B$3:$B$1000)*1,ISNUMBER(SEARCH("tpbsu",[1]OUT_TransportEnergyCons!$C$3:$C$1000))*1,[1]OUT_TransportEnergyCons!H$3:H$1000)</f>
        <v>0</v>
      </c>
      <c r="K1370" s="1" cm="1">
        <f t="array" ref="K1370">SUMPRODUCT(("T_B_u-ICEngaEXT"=[1]OUT_TransportEnergyCons!$A$3:$A$1000)*1,("var_fout"=[1]OUT_TransportEnergyCons!$B$3:$B$1000)*1,ISNUMBER(SEARCH("tpbsu",[1]OUT_TransportEnergyCons!$C$3:$C$1000))*1,[1]OUT_TransportEnergyCons!I$3:I$1000)</f>
        <v>0</v>
      </c>
      <c r="L1370" s="1" cm="1">
        <f t="array" ref="L1370">SUMPRODUCT(("T_B_u-ICEngaEXT"=[1]OUT_TransportEnergyCons!$A$3:$A$1000)*1,("var_fout"=[1]OUT_TransportEnergyCons!$B$3:$B$1000)*1,ISNUMBER(SEARCH("tpbsu",[1]OUT_TransportEnergyCons!$C$3:$C$1000))*1,[1]OUT_TransportEnergyCons!J$3:J$1000)</f>
        <v>0</v>
      </c>
      <c r="M1370" s="1" cm="1">
        <f t="array" ref="M1370">SUMPRODUCT(("T_B_u-ICEngaEXT"=[1]OUT_TransportEnergyCons!$A$3:$A$1000)*1,("var_fout"=[1]OUT_TransportEnergyCons!$B$3:$B$1000)*1,ISNUMBER(SEARCH("tpbsu",[1]OUT_TransportEnergyCons!$C$3:$C$1000))*1,[1]OUT_TransportEnergyCons!K$3:K$1000)</f>
        <v>0</v>
      </c>
      <c r="N1370" s="1" cm="1">
        <f t="array" ref="N1370">SUMPRODUCT(("T_B_u-ICEngaEXT"=[1]OUT_TransportEnergyCons!$A$3:$A$1000)*1,("var_fout"=[1]OUT_TransportEnergyCons!$B$3:$B$1000)*1,ISNUMBER(SEARCH("tpbsu",[1]OUT_TransportEnergyCons!$C$3:$C$1000))*1,[1]OUT_TransportEnergyCons!L$3:L$1000)</f>
        <v>0</v>
      </c>
      <c r="O1370" s="1" cm="1">
        <f t="array" ref="O1370">SUMPRODUCT(("T_B_u-ICEngaEXT"=[1]OUT_TransportEnergyCons!$A$3:$A$1000)*1,("var_fout"=[1]OUT_TransportEnergyCons!$B$3:$B$1000)*1,ISNUMBER(SEARCH("tpbsu",[1]OUT_TransportEnergyCons!$C$3:$C$1000))*1,[1]OUT_TransportEnergyCons!M$3:M$1000)</f>
        <v>0</v>
      </c>
      <c r="P1370" s="1" cm="1">
        <f t="array" ref="P1370">SUMPRODUCT(("T_B_u-ICEngaEXT"=[1]OUT_TransportEnergyCons!$A$3:$A$1000)*1,("var_fout"=[1]OUT_TransportEnergyCons!$B$3:$B$1000)*1,ISNUMBER(SEARCH("tpbsu",[1]OUT_TransportEnergyCons!$C$3:$C$1000))*1,[1]OUT_TransportEnergyCons!N$3:N$1000)</f>
        <v>0</v>
      </c>
      <c r="Q1370" s="1" cm="1">
        <f t="array" ref="Q1370">SUMPRODUCT(("T_B_u-ICEngaEXT"=[1]OUT_TransportEnergyCons!$A$3:$A$1000)*1,("var_fout"=[1]OUT_TransportEnergyCons!$B$3:$B$1000)*1,ISNUMBER(SEARCH("tpbsu",[1]OUT_TransportEnergyCons!$C$3:$C$1000))*1,[1]OUT_TransportEnergyCons!O$3:O$1000)</f>
        <v>0</v>
      </c>
      <c r="S1370" s="3"/>
    </row>
    <row r="1371" spans="2:19" x14ac:dyDescent="0.5">
      <c r="B1371" s="5" t="str">
        <f t="shared" si="1504"/>
        <v>SPS1</v>
      </c>
      <c r="C1371" s="5" t="str">
        <f t="shared" si="1505"/>
        <v>CH</v>
      </c>
      <c r="D1371" t="s">
        <v>1366</v>
      </c>
      <c r="E1371" t="str">
        <f t="shared" si="1506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1.2543914026347849E-5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1.5204246443055903E-4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SUMPRODUCT(("T_B_u-ICEnga-S1"=[1]OUT_TransportEnergyCons!$A$3:$A$1000)*1,("var_fout"=[1]OUT_TransportEnergyCons!$B$3:$B$1000)*1,ISNUMBER(SEARCH("tpbsu",[1]OUT_TransportEnergyCons!$C$3:$C$1000))*1,[1]OUT_TransportEnergyCons!H$3:H$1000)</f>
        <v>0</v>
      </c>
      <c r="K1371" s="1" cm="1">
        <f t="array" ref="K1371">SUMPRODUCT(("T_B_u-ICEnga-S1"=[1]OUT_TransportEnergyCons!$A$3:$A$1000)*1,("var_fout"=[1]OUT_TransportEnergyCons!$B$3:$B$1000)*1,ISNUMBER(SEARCH("tpbsu",[1]OUT_TransportEnergyCons!$C$3:$C$1000))*1,[1]OUT_TransportEnergyCons!I$3:I$1000)</f>
        <v>8.2168796842559912E-8</v>
      </c>
      <c r="L1371" s="1" cm="1">
        <f t="array" ref="L1371">SUMPRODUCT(("T_B_u-ICEnga-S1"=[1]OUT_TransportEnergyCons!$A$3:$A$1000)*1,("var_fout"=[1]OUT_TransportEnergyCons!$B$3:$B$1000)*1,ISNUMBER(SEARCH("tpbsu",[1]OUT_TransportEnergyCons!$C$3:$C$1000))*1,[1]OUT_TransportEnergyCons!J$3:J$1000)</f>
        <v>9.1089051801537209E-8</v>
      </c>
      <c r="M1371" s="1" cm="1">
        <f t="array" ref="M1371">SUMPRODUCT(("T_B_u-ICEnga-S1"=[1]OUT_TransportEnergyCons!$A$3:$A$1000)*1,("var_fout"=[1]OUT_TransportEnergyCons!$B$3:$B$1000)*1,ISNUMBER(SEARCH("tpbsu",[1]OUT_TransportEnergyCons!$C$3:$C$1000))*1,[1]OUT_TransportEnergyCons!K$3:K$1000)</f>
        <v>8.8078716873105091E-8</v>
      </c>
      <c r="N1371" s="1" cm="1">
        <f t="array" ref="N1371">SUMPRODUCT(("T_B_u-ICEnga-S1"=[1]OUT_TransportEnergyCons!$A$3:$A$1000)*1,("var_fout"=[1]OUT_TransportEnergyCons!$B$3:$B$1000)*1,ISNUMBER(SEARCH("tpbsu",[1]OUT_TransportEnergyCons!$C$3:$C$1000))*1,[1]OUT_TransportEnergyCons!L$3:L$1000)</f>
        <v>1.357006692701454E-7</v>
      </c>
      <c r="O1371" s="1" cm="1">
        <f t="array" ref="O1371">SUMPRODUCT(("T_B_u-ICEnga-S1"=[1]OUT_TransportEnergyCons!$A$3:$A$1000)*1,("var_fout"=[1]OUT_TransportEnergyCons!$B$3:$B$1000)*1,ISNUMBER(SEARCH("tpbsu",[1]OUT_TransportEnergyCons!$C$3:$C$1000))*1,[1]OUT_TransportEnergyCons!M$3:M$1000)</f>
        <v>8.9008885231981605E-8</v>
      </c>
      <c r="P1371" s="1" cm="1">
        <f t="array" ref="P1371">SUMPRODUCT(("T_B_u-ICEnga-S1"=[1]OUT_TransportEnergyCons!$A$3:$A$1000)*1,("var_fout"=[1]OUT_TransportEnergyCons!$B$3:$B$1000)*1,ISNUMBER(SEARCH("tpbsu",[1]OUT_TransportEnergyCons!$C$3:$C$1000))*1,[1]OUT_TransportEnergyCons!N$3:N$1000)</f>
        <v>4.38658253634728E-8</v>
      </c>
      <c r="Q1371" s="1" cm="1">
        <f t="array" ref="Q1371">SUMPRODUCT(("T_B_u-ICEnga-S1"=[1]OUT_TransportEnergyCons!$A$3:$A$1000)*1,("var_fout"=[1]OUT_TransportEnergyCons!$B$3:$B$1000)*1,ISNUMBER(SEARCH("tpbsu",[1]OUT_TransportEnergyCons!$C$3:$C$1000))*1,[1]OUT_TransportEnergyCons!O$3:O$1000)</f>
        <v>2.5442107457336687E-7</v>
      </c>
      <c r="S1371" s="3"/>
    </row>
    <row r="1372" spans="2:19" x14ac:dyDescent="0.5">
      <c r="B1372" s="5" t="str">
        <f t="shared" si="1504"/>
        <v>SPS1</v>
      </c>
      <c r="C1372" s="5" t="str">
        <f t="shared" si="1505"/>
        <v>CH</v>
      </c>
      <c r="D1372" t="s">
        <v>1367</v>
      </c>
      <c r="E1372" t="str">
        <f t="shared" si="1506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5.6038226357050538E-6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1.4886968013086998E-3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SUMPRODUCT(("T_B_u-ICEnga-S2"=[1]OUT_TransportEnergyCons!$A$3:$A$1000)*1,("var_fout"=[1]OUT_TransportEnergyCons!$B$3:$B$1000)*1,ISNUMBER(SEARCH("tpbsu",[1]OUT_TransportEnergyCons!$C$3:$C$1000))*1,[1]OUT_TransportEnergyCons!H$3:H$1000)</f>
        <v>0</v>
      </c>
      <c r="K1372" s="1" cm="1">
        <f t="array" ref="K1372">SUMPRODUCT(("T_B_u-ICEnga-S2"=[1]OUT_TransportEnergyCons!$A$3:$A$1000)*1,("var_fout"=[1]OUT_TransportEnergyCons!$B$3:$B$1000)*1,ISNUMBER(SEARCH("tpbsu",[1]OUT_TransportEnergyCons!$C$3:$C$1000))*1,[1]OUT_TransportEnergyCons!I$3:I$1000)</f>
        <v>0</v>
      </c>
      <c r="L1372" s="1" cm="1">
        <f t="array" ref="L1372">SUMPRODUCT(("T_B_u-ICEnga-S2"=[1]OUT_TransportEnergyCons!$A$3:$A$1000)*1,("var_fout"=[1]OUT_TransportEnergyCons!$B$3:$B$1000)*1,ISNUMBER(SEARCH("tpbsu",[1]OUT_TransportEnergyCons!$C$3:$C$1000))*1,[1]OUT_TransportEnergyCons!J$3:J$1000)</f>
        <v>0</v>
      </c>
      <c r="M1372" s="1" cm="1">
        <f t="array" ref="M1372">SUMPRODUCT(("T_B_u-ICEnga-S2"=[1]OUT_TransportEnergyCons!$A$3:$A$1000)*1,("var_fout"=[1]OUT_TransportEnergyCons!$B$3:$B$1000)*1,ISNUMBER(SEARCH("tpbsu",[1]OUT_TransportEnergyCons!$C$3:$C$1000))*1,[1]OUT_TransportEnergyCons!K$3:K$1000)</f>
        <v>0</v>
      </c>
      <c r="N1372" s="1" cm="1">
        <f t="array" ref="N1372">SUMPRODUCT(("T_B_u-ICEnga-S2"=[1]OUT_TransportEnergyCons!$A$3:$A$1000)*1,("var_fout"=[1]OUT_TransportEnergyCons!$B$3:$B$1000)*1,ISNUMBER(SEARCH("tpbsu",[1]OUT_TransportEnergyCons!$C$3:$C$1000))*1,[1]OUT_TransportEnergyCons!L$3:L$1000)</f>
        <v>0</v>
      </c>
      <c r="O1372" s="1" cm="1">
        <f t="array" ref="O1372">SUMPRODUCT(("T_B_u-ICEnga-S2"=[1]OUT_TransportEnergyCons!$A$3:$A$1000)*1,("var_fout"=[1]OUT_TransportEnergyCons!$B$3:$B$1000)*1,ISNUMBER(SEARCH("tpbsu",[1]OUT_TransportEnergyCons!$C$3:$C$1000))*1,[1]OUT_TransportEnergyCons!M$3:M$1000)</f>
        <v>0</v>
      </c>
      <c r="P1372" s="1" cm="1">
        <f t="array" ref="P1372">SUMPRODUCT(("T_B_u-ICEnga-S2"=[1]OUT_TransportEnergyCons!$A$3:$A$1000)*1,("var_fout"=[1]OUT_TransportEnergyCons!$B$3:$B$1000)*1,ISNUMBER(SEARCH("tpbsu",[1]OUT_TransportEnergyCons!$C$3:$C$1000))*1,[1]OUT_TransportEnergyCons!N$3:N$1000)</f>
        <v>0</v>
      </c>
      <c r="Q1372" s="1" cm="1">
        <f t="array" ref="Q1372">SUMPRODUCT(("T_B_u-ICEnga-S2"=[1]OUT_TransportEnergyCons!$A$3:$A$1000)*1,("var_fout"=[1]OUT_TransportEnergyCons!$B$3:$B$1000)*1,ISNUMBER(SEARCH("tpbsu",[1]OUT_TransportEnergyCons!$C$3:$C$1000))*1,[1]OUT_TransportEnergyCons!O$3:O$1000)</f>
        <v>0</v>
      </c>
      <c r="S1372" s="3"/>
    </row>
    <row r="1373" spans="2:19" x14ac:dyDescent="0.5">
      <c r="B1373" s="5" t="str">
        <f t="shared" si="1504"/>
        <v>SPS1</v>
      </c>
      <c r="C1373" s="5" t="str">
        <f t="shared" si="1505"/>
        <v>CH</v>
      </c>
      <c r="D1373" t="s">
        <v>1368</v>
      </c>
      <c r="E1373" t="str">
        <f t="shared" si="1506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2.6621319968707989E-6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2.0631385077037893E-5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SUMPRODUCT(("T_B_u-ICEnga-S3"=[1]OUT_TransportEnergyCons!$A$3:$A$1000)*1,("var_fout"=[1]OUT_TransportEnergyCons!$B$3:$B$1000)*1,ISNUMBER(SEARCH("tpbsu",[1]OUT_TransportEnergyCons!$C$3:$C$1000))*1,[1]OUT_TransportEnergyCons!H$3:H$1000)</f>
        <v>0</v>
      </c>
      <c r="K1373" s="1" cm="1">
        <f t="array" ref="K1373">SUMPRODUCT(("T_B_u-ICEnga-S3"=[1]OUT_TransportEnergyCons!$A$3:$A$1000)*1,("var_fout"=[1]OUT_TransportEnergyCons!$B$3:$B$1000)*1,ISNUMBER(SEARCH("tpbsu",[1]OUT_TransportEnergyCons!$C$3:$C$1000))*1,[1]OUT_TransportEnergyCons!I$3:I$1000)</f>
        <v>0</v>
      </c>
      <c r="L1373" s="1" cm="1">
        <f t="array" ref="L1373">SUMPRODUCT(("T_B_u-ICEnga-S3"=[1]OUT_TransportEnergyCons!$A$3:$A$1000)*1,("var_fout"=[1]OUT_TransportEnergyCons!$B$3:$B$1000)*1,ISNUMBER(SEARCH("tpbsu",[1]OUT_TransportEnergyCons!$C$3:$C$1000))*1,[1]OUT_TransportEnergyCons!J$3:J$1000)</f>
        <v>0</v>
      </c>
      <c r="M1373" s="1" cm="1">
        <f t="array" ref="M1373">SUMPRODUCT(("T_B_u-ICEnga-S3"=[1]OUT_TransportEnergyCons!$A$3:$A$1000)*1,("var_fout"=[1]OUT_TransportEnergyCons!$B$3:$B$1000)*1,ISNUMBER(SEARCH("tpbsu",[1]OUT_TransportEnergyCons!$C$3:$C$1000))*1,[1]OUT_TransportEnergyCons!K$3:K$1000)</f>
        <v>0</v>
      </c>
      <c r="N1373" s="1" cm="1">
        <f t="array" ref="N1373">SUMPRODUCT(("T_B_u-ICEnga-S3"=[1]OUT_TransportEnergyCons!$A$3:$A$1000)*1,("var_fout"=[1]OUT_TransportEnergyCons!$B$3:$B$1000)*1,ISNUMBER(SEARCH("tpbsu",[1]OUT_TransportEnergyCons!$C$3:$C$1000))*1,[1]OUT_TransportEnergyCons!L$3:L$1000)</f>
        <v>0</v>
      </c>
      <c r="O1373" s="1" cm="1">
        <f t="array" ref="O1373">SUMPRODUCT(("T_B_u-ICEnga-S3"=[1]OUT_TransportEnergyCons!$A$3:$A$1000)*1,("var_fout"=[1]OUT_TransportEnergyCons!$B$3:$B$1000)*1,ISNUMBER(SEARCH("tpbsu",[1]OUT_TransportEnergyCons!$C$3:$C$1000))*1,[1]OUT_TransportEnergyCons!M$3:M$1000)</f>
        <v>0</v>
      </c>
      <c r="P1373" s="1" cm="1">
        <f t="array" ref="P1373">SUMPRODUCT(("T_B_u-ICEnga-S3"=[1]OUT_TransportEnergyCons!$A$3:$A$1000)*1,("var_fout"=[1]OUT_TransportEnergyCons!$B$3:$B$1000)*1,ISNUMBER(SEARCH("tpbsu",[1]OUT_TransportEnergyCons!$C$3:$C$1000))*1,[1]OUT_TransportEnergyCons!N$3:N$1000)</f>
        <v>0</v>
      </c>
      <c r="Q1373" s="1" cm="1">
        <f t="array" ref="Q1373">SUMPRODUCT(("T_B_u-ICEnga-S3"=[1]OUT_TransportEnergyCons!$A$3:$A$1000)*1,("var_fout"=[1]OUT_TransportEnergyCons!$B$3:$B$1000)*1,ISNUMBER(SEARCH("tpbsu",[1]OUT_TransportEnergyCons!$C$3:$C$1000))*1,[1]OUT_TransportEnergyCons!O$3:O$1000)</f>
        <v>0</v>
      </c>
      <c r="S1373" s="3"/>
    </row>
    <row r="1374" spans="2:19" x14ac:dyDescent="0.5">
      <c r="B1374" s="5" t="str">
        <f t="shared" si="1504"/>
        <v>SPS1</v>
      </c>
      <c r="C1374" s="5" t="str">
        <f t="shared" si="1505"/>
        <v>CH</v>
      </c>
      <c r="D1374" t="s">
        <v>1369</v>
      </c>
      <c r="E1374" t="str">
        <f t="shared" si="1506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0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8.3411993221145529E-7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SUMPRODUCT(("T_B_u-ICEnga-S4"=[1]OUT_TransportEnergyCons!$A$3:$A$1000)*1,("var_fout"=[1]OUT_TransportEnergyCons!$B$3:$B$1000)*1,ISNUMBER(SEARCH("tpbsu",[1]OUT_TransportEnergyCons!$C$3:$C$1000))*1,[1]OUT_TransportEnergyCons!H$3:H$1000)</f>
        <v>0</v>
      </c>
      <c r="K1374" s="1" cm="1">
        <f t="array" ref="K1374">SUMPRODUCT(("T_B_u-ICEnga-S4"=[1]OUT_TransportEnergyCons!$A$3:$A$1000)*1,("var_fout"=[1]OUT_TransportEnergyCons!$B$3:$B$1000)*1,ISNUMBER(SEARCH("tpbsu",[1]OUT_TransportEnergyCons!$C$3:$C$1000))*1,[1]OUT_TransportEnergyCons!I$3:I$1000)</f>
        <v>0</v>
      </c>
      <c r="L1374" s="1" cm="1">
        <f t="array" ref="L1374">SUMPRODUCT(("T_B_u-ICEnga-S4"=[1]OUT_TransportEnergyCons!$A$3:$A$1000)*1,("var_fout"=[1]OUT_TransportEnergyCons!$B$3:$B$1000)*1,ISNUMBER(SEARCH("tpbsu",[1]OUT_TransportEnergyCons!$C$3:$C$1000))*1,[1]OUT_TransportEnergyCons!J$3:J$1000)</f>
        <v>0</v>
      </c>
      <c r="M1374" s="1" cm="1">
        <f t="array" ref="M1374">SUMPRODUCT(("T_B_u-ICEnga-S4"=[1]OUT_TransportEnergyCons!$A$3:$A$1000)*1,("var_fout"=[1]OUT_TransportEnergyCons!$B$3:$B$1000)*1,ISNUMBER(SEARCH("tpbsu",[1]OUT_TransportEnergyCons!$C$3:$C$1000))*1,[1]OUT_TransportEnergyCons!K$3:K$1000)</f>
        <v>0</v>
      </c>
      <c r="N1374" s="1" cm="1">
        <f t="array" ref="N1374">SUMPRODUCT(("T_B_u-ICEnga-S4"=[1]OUT_TransportEnergyCons!$A$3:$A$1000)*1,("var_fout"=[1]OUT_TransportEnergyCons!$B$3:$B$1000)*1,ISNUMBER(SEARCH("tpbsu",[1]OUT_TransportEnergyCons!$C$3:$C$1000))*1,[1]OUT_TransportEnergyCons!L$3:L$1000)</f>
        <v>0</v>
      </c>
      <c r="O1374" s="1" cm="1">
        <f t="array" ref="O1374">SUMPRODUCT(("T_B_u-ICEnga-S4"=[1]OUT_TransportEnergyCons!$A$3:$A$1000)*1,("var_fout"=[1]OUT_TransportEnergyCons!$B$3:$B$1000)*1,ISNUMBER(SEARCH("tpbsu",[1]OUT_TransportEnergyCons!$C$3:$C$1000))*1,[1]OUT_TransportEnergyCons!M$3:M$1000)</f>
        <v>0</v>
      </c>
      <c r="P1374" s="1" cm="1">
        <f t="array" ref="P1374">SUMPRODUCT(("T_B_u-ICEnga-S4"=[1]OUT_TransportEnergyCons!$A$3:$A$1000)*1,("var_fout"=[1]OUT_TransportEnergyCons!$B$3:$B$1000)*1,ISNUMBER(SEARCH("tpbsu",[1]OUT_TransportEnergyCons!$C$3:$C$1000))*1,[1]OUT_TransportEnergyCons!N$3:N$1000)</f>
        <v>0</v>
      </c>
      <c r="Q1374" s="1" cm="1">
        <f t="array" ref="Q1374">SUMPRODUCT(("T_B_u-ICEnga-S4"=[1]OUT_TransportEnergyCons!$A$3:$A$1000)*1,("var_fout"=[1]OUT_TransportEnergyCons!$B$3:$B$1000)*1,ISNUMBER(SEARCH("tpbsu",[1]OUT_TransportEnergyCons!$C$3:$C$1000))*1,[1]OUT_TransportEnergyCons!O$3:O$1000)</f>
        <v>0</v>
      </c>
      <c r="S1374" s="3"/>
    </row>
    <row r="1375" spans="2:19" x14ac:dyDescent="0.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0" t="s">
        <v>292</v>
      </c>
      <c r="G1375" s="20" t="s">
        <v>292</v>
      </c>
      <c r="H1375" s="20" t="s">
        <v>292</v>
      </c>
      <c r="I1375" s="20" t="s">
        <v>292</v>
      </c>
      <c r="J1375" s="20" t="s">
        <v>292</v>
      </c>
      <c r="K1375" s="20" t="s">
        <v>292</v>
      </c>
      <c r="L1375" s="20" t="s">
        <v>292</v>
      </c>
      <c r="M1375" s="20" t="s">
        <v>292</v>
      </c>
      <c r="N1375" s="20" t="s">
        <v>292</v>
      </c>
      <c r="O1375" s="20" t="s">
        <v>292</v>
      </c>
      <c r="P1375" s="20" t="s">
        <v>292</v>
      </c>
      <c r="Q1375" s="20" t="s">
        <v>292</v>
      </c>
      <c r="S1375" s="3"/>
    </row>
    <row r="1376" spans="2:19" x14ac:dyDescent="0.5">
      <c r="B1376" s="5" t="str">
        <f t="shared" ref="B1376:B1398" si="1507">B1375</f>
        <v>SPS1</v>
      </c>
      <c r="C1376" s="5" t="str">
        <f t="shared" ref="C1376:C1398" si="1508">C1375</f>
        <v>CH</v>
      </c>
      <c r="D1376" t="s">
        <v>1371</v>
      </c>
      <c r="E1376" t="s">
        <v>1229</v>
      </c>
      <c r="F1376" s="1">
        <f>IFERROR(F1352/F1317,"-")</f>
        <v>4.190604214466032</v>
      </c>
      <c r="G1376" s="1">
        <f t="shared" ref="G1376:K1376" si="1509">IFERROR(G1352/G1317,"-")</f>
        <v>3.3737507326839364</v>
      </c>
      <c r="H1376" s="1">
        <f t="shared" si="1509"/>
        <v>2.1484705100107915</v>
      </c>
      <c r="I1376" s="1" t="str">
        <f t="shared" si="1509"/>
        <v>-</v>
      </c>
      <c r="J1376" s="1" t="str">
        <f t="shared" si="1509"/>
        <v>-</v>
      </c>
      <c r="K1376" s="1" t="str">
        <f t="shared" si="1509"/>
        <v>-</v>
      </c>
      <c r="L1376" s="1" t="str">
        <f t="shared" ref="L1376:O1376" si="1510">IFERROR(L1352/L1317,"-")</f>
        <v>-</v>
      </c>
      <c r="M1376" s="1" t="str">
        <f t="shared" si="1510"/>
        <v>-</v>
      </c>
      <c r="N1376" s="1" t="str">
        <f t="shared" si="1510"/>
        <v>-</v>
      </c>
      <c r="O1376" s="1" t="str">
        <f t="shared" si="1510"/>
        <v>-</v>
      </c>
      <c r="P1376" s="1" t="str">
        <f t="shared" ref="P1376:Q1380" si="1511">IFERROR(P1352/P1317,"-")</f>
        <v>-</v>
      </c>
      <c r="Q1376" s="1" t="str">
        <f t="shared" si="1511"/>
        <v>-</v>
      </c>
      <c r="S1376" s="3"/>
    </row>
    <row r="1377" spans="2:19" x14ac:dyDescent="0.5">
      <c r="B1377" s="5" t="str">
        <f t="shared" si="1507"/>
        <v>SPS1</v>
      </c>
      <c r="C1377" s="5" t="str">
        <f t="shared" si="1508"/>
        <v>CH</v>
      </c>
      <c r="D1377" t="s">
        <v>1372</v>
      </c>
      <c r="E1377" t="s">
        <v>1229</v>
      </c>
      <c r="F1377" s="1">
        <f t="shared" ref="F1377:K1377" si="1512">IFERROR(F1353/F1318,"-")</f>
        <v>0.37869321701871789</v>
      </c>
      <c r="G1377" s="1">
        <f t="shared" si="1512"/>
        <v>0.39241531631222942</v>
      </c>
      <c r="H1377" s="1">
        <f t="shared" si="1512"/>
        <v>0.40367749464422847</v>
      </c>
      <c r="I1377" s="1">
        <f t="shared" si="1512"/>
        <v>0.44728664180437661</v>
      </c>
      <c r="J1377" s="1">
        <f t="shared" si="1512"/>
        <v>0.47099657373900899</v>
      </c>
      <c r="K1377" s="1">
        <f t="shared" si="1512"/>
        <v>0.47206326390791636</v>
      </c>
      <c r="L1377" s="1">
        <f t="shared" ref="L1377:O1377" si="1513">IFERROR(L1353/L1318,"-")</f>
        <v>0.49735414972870645</v>
      </c>
      <c r="M1377" s="1">
        <f t="shared" si="1513"/>
        <v>0.53172001411350311</v>
      </c>
      <c r="N1377" s="1">
        <f t="shared" si="1513"/>
        <v>0.5378980585878147</v>
      </c>
      <c r="O1377" s="1">
        <f t="shared" si="1513"/>
        <v>0.5423571628370345</v>
      </c>
      <c r="P1377" s="1">
        <f t="shared" si="1511"/>
        <v>0.54235716283703417</v>
      </c>
      <c r="Q1377" s="1">
        <f t="shared" si="1511"/>
        <v>0.54235716283703561</v>
      </c>
      <c r="S1377" s="3"/>
    </row>
    <row r="1378" spans="2:19" x14ac:dyDescent="0.5">
      <c r="B1378" s="5" t="str">
        <f t="shared" si="1507"/>
        <v>SPS1</v>
      </c>
      <c r="C1378" s="5" t="str">
        <f t="shared" si="1508"/>
        <v>CH</v>
      </c>
      <c r="D1378" t="s">
        <v>1373</v>
      </c>
      <c r="E1378" t="s">
        <v>1229</v>
      </c>
      <c r="F1378" s="1">
        <f t="shared" ref="F1378:K1378" si="1514">IFERROR(F1354/F1319,"-")</f>
        <v>0.27518070496490699</v>
      </c>
      <c r="G1378" s="1">
        <f t="shared" si="1514"/>
        <v>0.27811468627149283</v>
      </c>
      <c r="H1378" s="1">
        <f t="shared" si="1514"/>
        <v>0.28522747998198372</v>
      </c>
      <c r="I1378" s="1">
        <f t="shared" si="1514"/>
        <v>0.32396160736654783</v>
      </c>
      <c r="J1378" s="1">
        <f t="shared" si="1514"/>
        <v>0.33963053457432851</v>
      </c>
      <c r="K1378" s="1">
        <f t="shared" si="1514"/>
        <v>0.34345100674021867</v>
      </c>
      <c r="L1378" s="1">
        <f t="shared" ref="L1378:O1378" si="1515">IFERROR(L1354/L1319,"-")</f>
        <v>0.35772278066622004</v>
      </c>
      <c r="M1378" s="1">
        <f t="shared" si="1515"/>
        <v>0.38351206492555517</v>
      </c>
      <c r="N1378" s="1">
        <f t="shared" si="1515"/>
        <v>0.38911923453012132</v>
      </c>
      <c r="O1378" s="1">
        <f t="shared" si="1515"/>
        <v>0.39241606511731025</v>
      </c>
      <c r="P1378" s="1">
        <f t="shared" si="1511"/>
        <v>0.39241606511731025</v>
      </c>
      <c r="Q1378" s="1">
        <f t="shared" si="1511"/>
        <v>0.39241606511730959</v>
      </c>
      <c r="S1378" s="3"/>
    </row>
    <row r="1379" spans="2:19" x14ac:dyDescent="0.5">
      <c r="B1379" s="5" t="str">
        <f t="shared" si="1507"/>
        <v>SPS1</v>
      </c>
      <c r="C1379" s="5" t="str">
        <f t="shared" si="1508"/>
        <v>CH</v>
      </c>
      <c r="D1379" t="s">
        <v>1374</v>
      </c>
      <c r="E1379" t="s">
        <v>1229</v>
      </c>
      <c r="F1379" s="1">
        <f t="shared" ref="F1379:K1379" si="1516">IFERROR(F1355/F1320,"-")</f>
        <v>0.18297040713439894</v>
      </c>
      <c r="G1379" s="1">
        <f t="shared" si="1516"/>
        <v>0.18562051401061111</v>
      </c>
      <c r="H1379" s="1">
        <f t="shared" si="1516"/>
        <v>0.187216866904448</v>
      </c>
      <c r="I1379" s="1">
        <f t="shared" si="1516"/>
        <v>0.21589431322529704</v>
      </c>
      <c r="J1379" s="1">
        <f t="shared" si="1516"/>
        <v>0.21832483865076385</v>
      </c>
      <c r="K1379" s="1">
        <f t="shared" si="1516"/>
        <v>0.23642546275699422</v>
      </c>
      <c r="L1379" s="1">
        <f t="shared" ref="L1379:O1379" si="1517">IFERROR(L1355/L1320,"-")</f>
        <v>0.24126096820830406</v>
      </c>
      <c r="M1379" s="1">
        <f t="shared" si="1517"/>
        <v>0.25895523739467957</v>
      </c>
      <c r="N1379" s="1">
        <f t="shared" si="1517"/>
        <v>0.26160568848974963</v>
      </c>
      <c r="O1379" s="1">
        <f t="shared" si="1517"/>
        <v>0.26214281836713793</v>
      </c>
      <c r="P1379" s="1">
        <f t="shared" si="1511"/>
        <v>0.26214281836713804</v>
      </c>
      <c r="Q1379" s="1">
        <f t="shared" si="1511"/>
        <v>0.26214281836713776</v>
      </c>
      <c r="S1379" s="3"/>
    </row>
    <row r="1380" spans="2:19" x14ac:dyDescent="0.5">
      <c r="B1380" s="5" t="str">
        <f t="shared" si="1507"/>
        <v>SPS1</v>
      </c>
      <c r="C1380" s="5" t="str">
        <f t="shared" si="1508"/>
        <v>CH</v>
      </c>
      <c r="D1380" t="s">
        <v>1375</v>
      </c>
      <c r="E1380" t="s">
        <v>1229</v>
      </c>
      <c r="F1380" s="1">
        <f t="shared" ref="F1380:K1380" si="1518">IFERROR(F1356/F1321,"-")</f>
        <v>0.12198710645807073</v>
      </c>
      <c r="G1380" s="1">
        <f t="shared" si="1518"/>
        <v>0.12374035607923932</v>
      </c>
      <c r="H1380" s="1">
        <f t="shared" si="1518"/>
        <v>0.12652830037803584</v>
      </c>
      <c r="I1380" s="1">
        <f t="shared" si="1518"/>
        <v>0.13885528673908004</v>
      </c>
      <c r="J1380" s="1">
        <f t="shared" si="1518"/>
        <v>0.15060085782831958</v>
      </c>
      <c r="K1380" s="1">
        <f t="shared" si="1518"/>
        <v>0.15696643867584895</v>
      </c>
      <c r="L1380" s="1">
        <f t="shared" ref="L1380:O1380" si="1519">IFERROR(L1356/L1321,"-")</f>
        <v>0.16496169186699605</v>
      </c>
      <c r="M1380" s="1">
        <f t="shared" si="1519"/>
        <v>0.17275208797874991</v>
      </c>
      <c r="N1380" s="1">
        <f t="shared" si="1519"/>
        <v>0.17547614587850288</v>
      </c>
      <c r="O1380" s="1">
        <f t="shared" si="1519"/>
        <v>0.17547614587850299</v>
      </c>
      <c r="P1380" s="1">
        <f t="shared" si="1511"/>
        <v>0.17547614587850319</v>
      </c>
      <c r="Q1380" s="1">
        <f t="shared" si="1511"/>
        <v>0.17547614587850316</v>
      </c>
      <c r="S1380" s="3"/>
    </row>
    <row r="1381" spans="2:19" x14ac:dyDescent="0.5">
      <c r="B1381" s="5" t="str">
        <f t="shared" si="1507"/>
        <v>SPS1</v>
      </c>
      <c r="C1381" s="5" t="str">
        <f t="shared" si="1508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520">IFERROR(G1357/G1323,"-")</f>
        <v>-</v>
      </c>
      <c r="H1381" s="1" t="str">
        <f t="shared" si="1520"/>
        <v>-</v>
      </c>
      <c r="I1381" s="1">
        <f t="shared" si="1520"/>
        <v>0.23440176174444094</v>
      </c>
      <c r="J1381" s="1">
        <f t="shared" si="1520"/>
        <v>0.25166155898679565</v>
      </c>
      <c r="K1381" s="1" t="str">
        <f t="shared" si="1520"/>
        <v>-</v>
      </c>
      <c r="L1381" s="1" t="str">
        <f t="shared" ref="L1381:O1381" si="1521">IFERROR(L1357/L1323,"-")</f>
        <v>-</v>
      </c>
      <c r="M1381" s="1" t="str">
        <f t="shared" si="1521"/>
        <v>-</v>
      </c>
      <c r="N1381" s="1" t="str">
        <f t="shared" si="1521"/>
        <v>-</v>
      </c>
      <c r="O1381" s="1" t="str">
        <f t="shared" si="1521"/>
        <v>-</v>
      </c>
      <c r="P1381" s="1" t="str">
        <f t="shared" ref="P1381:Q1384" si="1522">IFERROR(P1357/P1323,"-")</f>
        <v>-</v>
      </c>
      <c r="Q1381" s="1">
        <f t="shared" si="1522"/>
        <v>0.30344095071385802</v>
      </c>
      <c r="S1381" s="3"/>
    </row>
    <row r="1382" spans="2:19" x14ac:dyDescent="0.5">
      <c r="B1382" s="5" t="str">
        <f t="shared" si="1507"/>
        <v>SPS1</v>
      </c>
      <c r="C1382" s="5" t="str">
        <f t="shared" si="1508"/>
        <v>CH</v>
      </c>
      <c r="D1382" t="s">
        <v>1377</v>
      </c>
      <c r="E1382" t="s">
        <v>1229</v>
      </c>
      <c r="F1382" s="1" t="str">
        <f t="shared" ref="F1382:K1382" si="1523">IFERROR(F1358/F1324,"-")</f>
        <v>-</v>
      </c>
      <c r="G1382" s="1" t="str">
        <f t="shared" si="1523"/>
        <v>-</v>
      </c>
      <c r="H1382" s="1" t="str">
        <f t="shared" si="1523"/>
        <v>-</v>
      </c>
      <c r="I1382" s="1" t="str">
        <f t="shared" si="1523"/>
        <v>-</v>
      </c>
      <c r="J1382" s="1" t="str">
        <f t="shared" si="1523"/>
        <v>-</v>
      </c>
      <c r="K1382" s="1" t="str">
        <f t="shared" si="1523"/>
        <v>-</v>
      </c>
      <c r="L1382" s="1" t="str">
        <f t="shared" ref="L1382:O1382" si="1524">IFERROR(L1358/L1324,"-")</f>
        <v>-</v>
      </c>
      <c r="M1382" s="1" t="str">
        <f t="shared" si="1524"/>
        <v>-</v>
      </c>
      <c r="N1382" s="1" t="str">
        <f t="shared" si="1524"/>
        <v>-</v>
      </c>
      <c r="O1382" s="1" t="str">
        <f t="shared" si="1524"/>
        <v>-</v>
      </c>
      <c r="P1382" s="1" t="str">
        <f t="shared" si="1522"/>
        <v>-</v>
      </c>
      <c r="Q1382" s="1" t="str">
        <f t="shared" si="1522"/>
        <v>-</v>
      </c>
      <c r="S1382" s="3"/>
    </row>
    <row r="1383" spans="2:19" x14ac:dyDescent="0.5">
      <c r="B1383" s="5" t="str">
        <f t="shared" si="1507"/>
        <v>SPS1</v>
      </c>
      <c r="C1383" s="5" t="str">
        <f t="shared" si="1508"/>
        <v>CH</v>
      </c>
      <c r="D1383" t="s">
        <v>1378</v>
      </c>
      <c r="E1383" t="s">
        <v>1229</v>
      </c>
      <c r="F1383" s="1" t="str">
        <f t="shared" ref="F1383:K1383" si="1525">IFERROR(F1359/F1325,"-")</f>
        <v>-</v>
      </c>
      <c r="G1383" s="1" t="str">
        <f t="shared" si="1525"/>
        <v>-</v>
      </c>
      <c r="H1383" s="1" t="str">
        <f t="shared" si="1525"/>
        <v>-</v>
      </c>
      <c r="I1383" s="1" t="str">
        <f t="shared" si="1525"/>
        <v>-</v>
      </c>
      <c r="J1383" s="1" t="str">
        <f t="shared" si="1525"/>
        <v>-</v>
      </c>
      <c r="K1383" s="1" t="str">
        <f t="shared" si="1525"/>
        <v>-</v>
      </c>
      <c r="L1383" s="1" t="str">
        <f t="shared" ref="L1383:O1383" si="1526">IFERROR(L1359/L1325,"-")</f>
        <v>-</v>
      </c>
      <c r="M1383" s="1" t="str">
        <f t="shared" si="1526"/>
        <v>-</v>
      </c>
      <c r="N1383" s="1" t="str">
        <f t="shared" si="1526"/>
        <v>-</v>
      </c>
      <c r="O1383" s="1" t="str">
        <f t="shared" si="1526"/>
        <v>-</v>
      </c>
      <c r="P1383" s="1" t="str">
        <f t="shared" si="1522"/>
        <v>-</v>
      </c>
      <c r="Q1383" s="1" t="str">
        <f t="shared" si="1522"/>
        <v>-</v>
      </c>
      <c r="S1383" s="3"/>
    </row>
    <row r="1384" spans="2:19" x14ac:dyDescent="0.5">
      <c r="B1384" s="5" t="str">
        <f t="shared" si="1507"/>
        <v>SPS1</v>
      </c>
      <c r="C1384" s="5" t="str">
        <f t="shared" si="1508"/>
        <v>CH</v>
      </c>
      <c r="D1384" t="s">
        <v>1379</v>
      </c>
      <c r="E1384" t="s">
        <v>1229</v>
      </c>
      <c r="F1384" s="1" t="str">
        <f t="shared" ref="F1384:K1384" si="1527">IFERROR(F1360/F1326,"-")</f>
        <v>-</v>
      </c>
      <c r="G1384" s="1" t="str">
        <f t="shared" si="1527"/>
        <v>-</v>
      </c>
      <c r="H1384" s="1" t="str">
        <f t="shared" si="1527"/>
        <v>-</v>
      </c>
      <c r="I1384" s="1" t="str">
        <f t="shared" si="1527"/>
        <v>-</v>
      </c>
      <c r="J1384" s="1" t="str">
        <f t="shared" si="1527"/>
        <v>-</v>
      </c>
      <c r="K1384" s="1" t="str">
        <f t="shared" si="1527"/>
        <v>-</v>
      </c>
      <c r="L1384" s="1" t="str">
        <f t="shared" ref="L1384:O1384" si="1528">IFERROR(L1360/L1326,"-")</f>
        <v>-</v>
      </c>
      <c r="M1384" s="1" t="str">
        <f t="shared" si="1528"/>
        <v>-</v>
      </c>
      <c r="N1384" s="1" t="str">
        <f t="shared" si="1528"/>
        <v>-</v>
      </c>
      <c r="O1384" s="1" t="str">
        <f t="shared" si="1528"/>
        <v>-</v>
      </c>
      <c r="P1384" s="1" t="str">
        <f t="shared" si="1522"/>
        <v>-</v>
      </c>
      <c r="Q1384" s="1" t="str">
        <f t="shared" si="1522"/>
        <v>-</v>
      </c>
      <c r="S1384" s="3"/>
    </row>
    <row r="1385" spans="2:19" x14ac:dyDescent="0.5">
      <c r="B1385" s="5" t="str">
        <f t="shared" si="1507"/>
        <v>SPS1</v>
      </c>
      <c r="C1385" s="5" t="str">
        <f t="shared" si="1508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529">IFERROR(G1361/G1332,"-")</f>
        <v>0.16251369968883864</v>
      </c>
      <c r="H1385" s="1">
        <f t="shared" si="1529"/>
        <v>0.16339126378483712</v>
      </c>
      <c r="I1385" s="1">
        <f t="shared" si="1529"/>
        <v>0.17533188635067995</v>
      </c>
      <c r="J1385" s="1">
        <f t="shared" si="1529"/>
        <v>0.19059675918378427</v>
      </c>
      <c r="K1385" s="1">
        <f t="shared" si="1529"/>
        <v>0.19899588725276018</v>
      </c>
      <c r="L1385" s="1">
        <f t="shared" ref="L1385:O1385" si="1530">IFERROR(L1361/L1332,"-")</f>
        <v>0.20969035288718552</v>
      </c>
      <c r="M1385" s="1">
        <f t="shared" si="1530"/>
        <v>0.22160505603801722</v>
      </c>
      <c r="N1385" s="1">
        <f t="shared" si="1530"/>
        <v>0.22428440427771593</v>
      </c>
      <c r="O1385" s="1">
        <f t="shared" si="1530"/>
        <v>0.22493286651934491</v>
      </c>
      <c r="P1385" s="1">
        <f t="shared" ref="P1385:Q1393" si="1531">IFERROR(P1361/P1332,"-")</f>
        <v>0.22493286651934524</v>
      </c>
      <c r="Q1385" s="1">
        <f t="shared" si="1531"/>
        <v>0.22493286651934477</v>
      </c>
      <c r="S1385" s="3"/>
    </row>
    <row r="1386" spans="2:19" x14ac:dyDescent="0.5">
      <c r="B1386" s="5" t="str">
        <f t="shared" si="1507"/>
        <v>SPS1</v>
      </c>
      <c r="C1386" s="5" t="str">
        <f t="shared" si="1508"/>
        <v>CH</v>
      </c>
      <c r="D1386" t="s">
        <v>1381</v>
      </c>
      <c r="E1386" t="s">
        <v>1229</v>
      </c>
      <c r="F1386" s="1" t="str">
        <f t="shared" ref="F1386:K1386" si="1532">IFERROR(F1362/F1333,"-")</f>
        <v>-</v>
      </c>
      <c r="G1386" s="1">
        <f t="shared" si="1532"/>
        <v>0.1164939343574415</v>
      </c>
      <c r="H1386" s="1">
        <f t="shared" si="1532"/>
        <v>0.11865011866035659</v>
      </c>
      <c r="I1386" s="1">
        <f t="shared" si="1532"/>
        <v>0.12462596715274361</v>
      </c>
      <c r="J1386" s="1">
        <f t="shared" si="1532"/>
        <v>0.13506637383854339</v>
      </c>
      <c r="K1386" s="1">
        <f t="shared" si="1532"/>
        <v>0.14266931890797729</v>
      </c>
      <c r="L1386" s="1">
        <f t="shared" ref="L1386:O1386" si="1533">IFERROR(L1362/L1333,"-")</f>
        <v>0.14962438558157409</v>
      </c>
      <c r="M1386" s="1">
        <f t="shared" si="1533"/>
        <v>0.15789538105044726</v>
      </c>
      <c r="N1386" s="1">
        <f t="shared" si="1533"/>
        <v>0.16046707819497497</v>
      </c>
      <c r="O1386" s="1">
        <f t="shared" si="1533"/>
        <v>0.16121889029459111</v>
      </c>
      <c r="P1386" s="1">
        <f t="shared" si="1531"/>
        <v>0.16121889029459088</v>
      </c>
      <c r="Q1386" s="1">
        <f t="shared" si="1531"/>
        <v>0.16121889029459097</v>
      </c>
      <c r="S1386" s="3"/>
    </row>
    <row r="1387" spans="2:19" x14ac:dyDescent="0.5">
      <c r="B1387" s="5" t="str">
        <f t="shared" si="1507"/>
        <v>SPS1</v>
      </c>
      <c r="C1387" s="5" t="str">
        <f t="shared" si="1508"/>
        <v>CH</v>
      </c>
      <c r="D1387" t="s">
        <v>1382</v>
      </c>
      <c r="E1387" t="s">
        <v>1229</v>
      </c>
      <c r="F1387" s="1" t="str">
        <f t="shared" ref="F1387:K1387" si="1534">IFERROR(F1363/F1334,"-")</f>
        <v>-</v>
      </c>
      <c r="G1387" s="1">
        <f t="shared" si="1534"/>
        <v>7.8235828164578816E-2</v>
      </c>
      <c r="H1387" s="1">
        <f t="shared" si="1534"/>
        <v>8.188781031658017E-2</v>
      </c>
      <c r="I1387" s="1">
        <f t="shared" si="1534"/>
        <v>8.4138673114416015E-2</v>
      </c>
      <c r="J1387" s="1">
        <f t="shared" si="1534"/>
        <v>9.2669307012161209E-2</v>
      </c>
      <c r="K1387" s="1">
        <f t="shared" si="1534"/>
        <v>9.5323090390033977E-2</v>
      </c>
      <c r="L1387" s="1">
        <f t="shared" ref="L1387:O1387" si="1535">IFERROR(L1363/L1334,"-")</f>
        <v>0.10136228187783819</v>
      </c>
      <c r="M1387" s="1">
        <f t="shared" si="1535"/>
        <v>0.10570997566833772</v>
      </c>
      <c r="N1387" s="1">
        <f t="shared" si="1535"/>
        <v>0.10822800158493985</v>
      </c>
      <c r="O1387" s="1">
        <f t="shared" si="1535"/>
        <v>0.10864967662065901</v>
      </c>
      <c r="P1387" s="1">
        <f t="shared" si="1531"/>
        <v>0.10864967662065904</v>
      </c>
      <c r="Q1387" s="1">
        <f t="shared" si="1531"/>
        <v>0.10864967662065908</v>
      </c>
      <c r="S1387" s="3"/>
    </row>
    <row r="1388" spans="2:19" x14ac:dyDescent="0.5">
      <c r="B1388" s="5" t="str">
        <f t="shared" si="1507"/>
        <v>SPS1</v>
      </c>
      <c r="C1388" s="5" t="str">
        <f t="shared" si="1508"/>
        <v>CH</v>
      </c>
      <c r="D1388" t="s">
        <v>1383</v>
      </c>
      <c r="E1388" t="s">
        <v>1229</v>
      </c>
      <c r="F1388" s="1" t="str">
        <f t="shared" ref="F1388:K1388" si="1536">IFERROR(F1364/F1335,"-")</f>
        <v>-</v>
      </c>
      <c r="G1388" s="1">
        <f t="shared" si="1536"/>
        <v>5.2751439830497723E-2</v>
      </c>
      <c r="H1388" s="1">
        <f t="shared" si="1536"/>
        <v>5.3954587764499871E-2</v>
      </c>
      <c r="I1388" s="1">
        <f t="shared" si="1536"/>
        <v>5.7167871963153274E-2</v>
      </c>
      <c r="J1388" s="1">
        <f t="shared" si="1536"/>
        <v>6.3297446577027447E-2</v>
      </c>
      <c r="K1388" s="1">
        <f t="shared" si="1536"/>
        <v>6.5232886160205839E-2</v>
      </c>
      <c r="L1388" s="1">
        <f t="shared" ref="L1388:O1388" si="1537">IFERROR(L1364/L1335,"-")</f>
        <v>6.919505530264182E-2</v>
      </c>
      <c r="M1388" s="1">
        <f t="shared" si="1537"/>
        <v>7.2287632470146287E-2</v>
      </c>
      <c r="N1388" s="1">
        <f t="shared" si="1537"/>
        <v>7.3435402919044809E-2</v>
      </c>
      <c r="O1388" s="1">
        <f t="shared" si="1537"/>
        <v>7.343540291904474E-2</v>
      </c>
      <c r="P1388" s="1">
        <f t="shared" si="1531"/>
        <v>7.3435402919044865E-2</v>
      </c>
      <c r="Q1388" s="1">
        <f t="shared" si="1531"/>
        <v>7.3435402919044768E-2</v>
      </c>
      <c r="S1388" s="3"/>
    </row>
    <row r="1389" spans="2:19" x14ac:dyDescent="0.5">
      <c r="B1389" s="5" t="str">
        <f t="shared" si="1507"/>
        <v>SPS1</v>
      </c>
      <c r="C1389" s="5" t="str">
        <f t="shared" si="1508"/>
        <v>CH</v>
      </c>
      <c r="D1389" t="s">
        <v>2002</v>
      </c>
      <c r="E1389" t="s">
        <v>1229</v>
      </c>
      <c r="F1389" s="1">
        <f>IFERROR(F1365/F1336,"-")</f>
        <v>13.968680714886796</v>
      </c>
      <c r="G1389" s="1">
        <f t="shared" ref="G1389:K1389" si="1538">IFERROR(G1365/G1336,"-")</f>
        <v>11.189596541502645</v>
      </c>
      <c r="H1389" s="1">
        <f t="shared" si="1538"/>
        <v>7.0209702814264157</v>
      </c>
      <c r="I1389" s="1" t="str">
        <f t="shared" si="1538"/>
        <v>-</v>
      </c>
      <c r="J1389" s="1" t="str">
        <f t="shared" si="1538"/>
        <v>-</v>
      </c>
      <c r="K1389" s="1" t="str">
        <f t="shared" si="1538"/>
        <v>-</v>
      </c>
      <c r="L1389" s="1" t="str">
        <f t="shared" ref="L1389:O1389" si="1539">IFERROR(L1365/L1336,"-")</f>
        <v>-</v>
      </c>
      <c r="M1389" s="1" t="str">
        <f t="shared" si="1539"/>
        <v>-</v>
      </c>
      <c r="N1389" s="1" t="str">
        <f t="shared" si="1539"/>
        <v>-</v>
      </c>
      <c r="O1389" s="1" t="str">
        <f t="shared" si="1539"/>
        <v>-</v>
      </c>
      <c r="P1389" s="1" t="str">
        <f t="shared" si="1531"/>
        <v>-</v>
      </c>
      <c r="Q1389" s="1" t="str">
        <f t="shared" si="1531"/>
        <v>-</v>
      </c>
      <c r="S1389" s="3"/>
    </row>
    <row r="1390" spans="2:19" x14ac:dyDescent="0.5">
      <c r="B1390" s="5" t="str">
        <f t="shared" si="1507"/>
        <v>SPS1</v>
      </c>
      <c r="C1390" s="5" t="str">
        <f t="shared" si="1508"/>
        <v>CH</v>
      </c>
      <c r="D1390" t="s">
        <v>1384</v>
      </c>
      <c r="E1390" t="s">
        <v>1229</v>
      </c>
      <c r="F1390" s="1">
        <f t="shared" ref="F1390:K1390" si="1540">IFERROR(F1366/F1337,"-")</f>
        <v>0.12391916748597488</v>
      </c>
      <c r="G1390" s="1">
        <f t="shared" si="1540"/>
        <v>0.1285102844861194</v>
      </c>
      <c r="H1390" s="1">
        <f t="shared" si="1540"/>
        <v>0.13152928473682379</v>
      </c>
      <c r="I1390" s="1">
        <f t="shared" si="1540"/>
        <v>0.12391916748597491</v>
      </c>
      <c r="J1390" s="1" t="str">
        <f t="shared" si="1540"/>
        <v>-</v>
      </c>
      <c r="K1390" s="1" t="str">
        <f t="shared" si="1540"/>
        <v>-</v>
      </c>
      <c r="L1390" s="1" t="str">
        <f t="shared" ref="L1390:O1390" si="1541">IFERROR(L1366/L1337,"-")</f>
        <v>-</v>
      </c>
      <c r="M1390" s="1" t="str">
        <f t="shared" si="1541"/>
        <v>-</v>
      </c>
      <c r="N1390" s="1" t="str">
        <f t="shared" si="1541"/>
        <v>-</v>
      </c>
      <c r="O1390" s="1" t="str">
        <f t="shared" si="1541"/>
        <v>-</v>
      </c>
      <c r="P1390" s="1" t="str">
        <f t="shared" si="1531"/>
        <v>-</v>
      </c>
      <c r="Q1390" s="1" t="str">
        <f t="shared" si="1531"/>
        <v>-</v>
      </c>
      <c r="S1390" s="3"/>
    </row>
    <row r="1391" spans="2:19" x14ac:dyDescent="0.5">
      <c r="B1391" s="5" t="str">
        <f t="shared" si="1507"/>
        <v>SPS1</v>
      </c>
      <c r="C1391" s="5" t="str">
        <f t="shared" si="1508"/>
        <v>CH</v>
      </c>
      <c r="D1391" t="s">
        <v>1385</v>
      </c>
      <c r="E1391" t="s">
        <v>1229</v>
      </c>
      <c r="F1391" s="1">
        <f t="shared" ref="F1391:K1391" si="1542">IFERROR(F1367/F1338,"-")</f>
        <v>8.7465847585616555E-2</v>
      </c>
      <c r="G1391" s="1">
        <f t="shared" si="1542"/>
        <v>8.7826376598245395E-2</v>
      </c>
      <c r="H1391" s="1">
        <f t="shared" si="1542"/>
        <v>9.0692338492724317E-2</v>
      </c>
      <c r="I1391" s="1" t="str">
        <f t="shared" si="1542"/>
        <v>-</v>
      </c>
      <c r="J1391" s="1" t="str">
        <f t="shared" si="1542"/>
        <v>-</v>
      </c>
      <c r="K1391" s="1" t="str">
        <f t="shared" si="1542"/>
        <v>-</v>
      </c>
      <c r="L1391" s="1" t="str">
        <f t="shared" ref="L1391:O1391" si="1543">IFERROR(L1367/L1338,"-")</f>
        <v>-</v>
      </c>
      <c r="M1391" s="1" t="str">
        <f t="shared" si="1543"/>
        <v>-</v>
      </c>
      <c r="N1391" s="1" t="str">
        <f t="shared" si="1543"/>
        <v>-</v>
      </c>
      <c r="O1391" s="1" t="str">
        <f t="shared" si="1543"/>
        <v>-</v>
      </c>
      <c r="P1391" s="1" t="str">
        <f t="shared" si="1531"/>
        <v>-</v>
      </c>
      <c r="Q1391" s="1" t="str">
        <f t="shared" si="1531"/>
        <v>-</v>
      </c>
      <c r="S1391" s="3"/>
    </row>
    <row r="1392" spans="2:19" x14ac:dyDescent="0.5">
      <c r="B1392" s="5" t="str">
        <f t="shared" si="1507"/>
        <v>SPS1</v>
      </c>
      <c r="C1392" s="5" t="str">
        <f t="shared" si="1508"/>
        <v>CH</v>
      </c>
      <c r="D1392" t="s">
        <v>1386</v>
      </c>
      <c r="E1392" t="s">
        <v>1229</v>
      </c>
      <c r="F1392" s="1">
        <f t="shared" ref="F1392:K1392" si="1544">IFERROR(F1368/F1339,"-")</f>
        <v>5.7949527986548524E-2</v>
      </c>
      <c r="G1392" s="1">
        <f t="shared" si="1544"/>
        <v>5.8108446128387677E-2</v>
      </c>
      <c r="H1392" s="1">
        <f t="shared" si="1544"/>
        <v>5.8110421731993163E-2</v>
      </c>
      <c r="I1392" s="1" t="str">
        <f t="shared" si="1544"/>
        <v>-</v>
      </c>
      <c r="J1392" s="1" t="str">
        <f t="shared" si="1544"/>
        <v>-</v>
      </c>
      <c r="K1392" s="1" t="str">
        <f t="shared" si="1544"/>
        <v>-</v>
      </c>
      <c r="L1392" s="1" t="str">
        <f t="shared" ref="L1392:O1392" si="1545">IFERROR(L1368/L1339,"-")</f>
        <v>-</v>
      </c>
      <c r="M1392" s="1" t="str">
        <f t="shared" si="1545"/>
        <v>-</v>
      </c>
      <c r="N1392" s="1" t="str">
        <f t="shared" si="1545"/>
        <v>-</v>
      </c>
      <c r="O1392" s="1" t="str">
        <f t="shared" si="1545"/>
        <v>-</v>
      </c>
      <c r="P1392" s="1" t="str">
        <f t="shared" si="1531"/>
        <v>-</v>
      </c>
      <c r="Q1392" s="1" t="str">
        <f t="shared" si="1531"/>
        <v>-</v>
      </c>
      <c r="S1392" s="3"/>
    </row>
    <row r="1393" spans="2:19" x14ac:dyDescent="0.5">
      <c r="B1393" s="5" t="str">
        <f t="shared" si="1507"/>
        <v>SPS1</v>
      </c>
      <c r="C1393" s="5" t="str">
        <f t="shared" si="1508"/>
        <v>CH</v>
      </c>
      <c r="D1393" t="s">
        <v>1387</v>
      </c>
      <c r="E1393" t="s">
        <v>1229</v>
      </c>
      <c r="F1393" s="1">
        <f t="shared" ref="F1393:K1393" si="1546">IFERROR(F1369/F1340,"-")</f>
        <v>3.8646481387947546E-2</v>
      </c>
      <c r="G1393" s="1">
        <f t="shared" si="1546"/>
        <v>3.8899101040891663E-2</v>
      </c>
      <c r="H1393" s="1">
        <f t="shared" si="1546"/>
        <v>3.9146749585547667E-2</v>
      </c>
      <c r="I1393" s="1" t="str">
        <f t="shared" si="1546"/>
        <v>-</v>
      </c>
      <c r="J1393" s="1" t="str">
        <f t="shared" si="1546"/>
        <v>-</v>
      </c>
      <c r="K1393" s="1" t="str">
        <f t="shared" si="1546"/>
        <v>-</v>
      </c>
      <c r="L1393" s="1" t="str">
        <f t="shared" ref="L1393:O1393" si="1547">IFERROR(L1369/L1340,"-")</f>
        <v>-</v>
      </c>
      <c r="M1393" s="1" t="str">
        <f t="shared" si="1547"/>
        <v>-</v>
      </c>
      <c r="N1393" s="1" t="str">
        <f t="shared" si="1547"/>
        <v>-</v>
      </c>
      <c r="O1393" s="1" t="str">
        <f t="shared" si="1547"/>
        <v>-</v>
      </c>
      <c r="P1393" s="1" t="str">
        <f t="shared" si="1531"/>
        <v>-</v>
      </c>
      <c r="Q1393" s="1" t="str">
        <f t="shared" si="1531"/>
        <v>-</v>
      </c>
      <c r="S1393" s="3"/>
    </row>
    <row r="1394" spans="2:19" x14ac:dyDescent="0.5">
      <c r="B1394" s="5" t="str">
        <f t="shared" si="1507"/>
        <v>SPS1</v>
      </c>
      <c r="C1394" s="5" t="str">
        <f t="shared" si="1508"/>
        <v>CH</v>
      </c>
      <c r="D1394" t="s">
        <v>2006</v>
      </c>
      <c r="E1394" t="s">
        <v>1229</v>
      </c>
      <c r="F1394" s="1">
        <f>IFERROR(F1370/F1346,"-")</f>
        <v>13.968680714886792</v>
      </c>
      <c r="G1394" s="1">
        <f t="shared" ref="G1394:K1394" si="1548">IFERROR(G1370/G1346,"-")</f>
        <v>11.186996076539062</v>
      </c>
      <c r="H1394" s="1">
        <f t="shared" si="1548"/>
        <v>7.0144691190174715</v>
      </c>
      <c r="I1394" s="1" t="str">
        <f t="shared" si="1548"/>
        <v>-</v>
      </c>
      <c r="J1394" s="1" t="str">
        <f t="shared" si="1548"/>
        <v>-</v>
      </c>
      <c r="K1394" s="1" t="str">
        <f t="shared" si="1548"/>
        <v>-</v>
      </c>
      <c r="L1394" s="1" t="str">
        <f t="shared" ref="L1394:O1394" si="1549">IFERROR(L1370/L1346,"-")</f>
        <v>-</v>
      </c>
      <c r="M1394" s="1" t="str">
        <f t="shared" si="1549"/>
        <v>-</v>
      </c>
      <c r="N1394" s="1" t="str">
        <f t="shared" si="1549"/>
        <v>-</v>
      </c>
      <c r="O1394" s="1" t="str">
        <f t="shared" si="1549"/>
        <v>-</v>
      </c>
      <c r="P1394" s="1" t="str">
        <f t="shared" ref="P1394:Q1398" si="1550">IFERROR(P1370/P1346,"-")</f>
        <v>-</v>
      </c>
      <c r="Q1394" s="1" t="str">
        <f t="shared" si="1550"/>
        <v>-</v>
      </c>
      <c r="S1394" s="3"/>
    </row>
    <row r="1395" spans="2:19" x14ac:dyDescent="0.5">
      <c r="B1395" s="5" t="str">
        <f t="shared" si="1507"/>
        <v>SPS1</v>
      </c>
      <c r="C1395" s="5" t="str">
        <f t="shared" si="1508"/>
        <v>CH</v>
      </c>
      <c r="D1395" t="s">
        <v>1388</v>
      </c>
      <c r="E1395" t="s">
        <v>1229</v>
      </c>
      <c r="F1395" s="1" t="str">
        <f t="shared" ref="F1395:K1395" si="1551">IFERROR(F1371/F1347,"-")</f>
        <v>-</v>
      </c>
      <c r="G1395" s="1">
        <f t="shared" si="1551"/>
        <v>0.12023751974847229</v>
      </c>
      <c r="H1395" s="1">
        <f t="shared" si="1551"/>
        <v>0.12614071627384882</v>
      </c>
      <c r="I1395" s="1" t="str">
        <f t="shared" si="1551"/>
        <v>-</v>
      </c>
      <c r="J1395" s="1" t="str">
        <f t="shared" si="1551"/>
        <v>-</v>
      </c>
      <c r="K1395" s="1">
        <f t="shared" si="1551"/>
        <v>0.15290988452940496</v>
      </c>
      <c r="L1395" s="1">
        <f t="shared" ref="L1395:O1395" si="1552">IFERROR(L1371/L1347,"-")</f>
        <v>0.16049525829203687</v>
      </c>
      <c r="M1395" s="1">
        <f t="shared" si="1552"/>
        <v>0.168080632054669</v>
      </c>
      <c r="N1395" s="1">
        <f t="shared" si="1552"/>
        <v>0.16808063205466883</v>
      </c>
      <c r="O1395" s="1">
        <f t="shared" si="1552"/>
        <v>0.16808063205466894</v>
      </c>
      <c r="P1395" s="1">
        <f t="shared" si="1550"/>
        <v>0.16808063205466905</v>
      </c>
      <c r="Q1395" s="1">
        <f t="shared" si="1550"/>
        <v>0.16808063205466917</v>
      </c>
      <c r="S1395" s="3"/>
    </row>
    <row r="1396" spans="2:19" x14ac:dyDescent="0.5">
      <c r="B1396" s="5" t="str">
        <f t="shared" si="1507"/>
        <v>SPS1</v>
      </c>
      <c r="C1396" s="5" t="str">
        <f t="shared" si="1508"/>
        <v>CH</v>
      </c>
      <c r="D1396" t="s">
        <v>1389</v>
      </c>
      <c r="E1396" t="s">
        <v>1229</v>
      </c>
      <c r="F1396" s="1" t="str">
        <f t="shared" ref="F1396:K1396" si="1553">IFERROR(F1372/F1348,"-")</f>
        <v>-</v>
      </c>
      <c r="G1396" s="1">
        <f t="shared" si="1553"/>
        <v>8.4998076233608832E-2</v>
      </c>
      <c r="H1396" s="1">
        <f t="shared" si="1553"/>
        <v>8.9400643341918204E-2</v>
      </c>
      <c r="I1396" s="1" t="str">
        <f t="shared" si="1553"/>
        <v>-</v>
      </c>
      <c r="J1396" s="1" t="str">
        <f t="shared" si="1553"/>
        <v>-</v>
      </c>
      <c r="K1396" s="1" t="str">
        <f t="shared" si="1553"/>
        <v>-</v>
      </c>
      <c r="L1396" s="1" t="str">
        <f t="shared" ref="L1396:O1396" si="1554">IFERROR(L1372/L1348,"-")</f>
        <v>-</v>
      </c>
      <c r="M1396" s="1" t="str">
        <f t="shared" si="1554"/>
        <v>-</v>
      </c>
      <c r="N1396" s="1" t="str">
        <f t="shared" si="1554"/>
        <v>-</v>
      </c>
      <c r="O1396" s="1" t="str">
        <f t="shared" si="1554"/>
        <v>-</v>
      </c>
      <c r="P1396" s="1" t="str">
        <f t="shared" si="1550"/>
        <v>-</v>
      </c>
      <c r="Q1396" s="1" t="str">
        <f t="shared" si="1550"/>
        <v>-</v>
      </c>
      <c r="S1396" s="3"/>
    </row>
    <row r="1397" spans="2:19" x14ac:dyDescent="0.5">
      <c r="B1397" s="5" t="str">
        <f t="shared" si="1507"/>
        <v>SPS1</v>
      </c>
      <c r="C1397" s="5" t="str">
        <f t="shared" si="1508"/>
        <v>CH</v>
      </c>
      <c r="D1397" t="s">
        <v>1390</v>
      </c>
      <c r="E1397" t="s">
        <v>1229</v>
      </c>
      <c r="F1397" s="1" t="str">
        <f t="shared" ref="F1397:K1397" si="1555">IFERROR(F1373/F1349,"-")</f>
        <v>-</v>
      </c>
      <c r="G1397" s="1">
        <f t="shared" si="1555"/>
        <v>5.6422133461237138E-2</v>
      </c>
      <c r="H1397" s="1">
        <f t="shared" si="1555"/>
        <v>5.8811271845933155E-2</v>
      </c>
      <c r="I1397" s="1" t="str">
        <f t="shared" si="1555"/>
        <v>-</v>
      </c>
      <c r="J1397" s="1" t="str">
        <f t="shared" si="1555"/>
        <v>-</v>
      </c>
      <c r="K1397" s="1" t="str">
        <f t="shared" si="1555"/>
        <v>-</v>
      </c>
      <c r="L1397" s="1" t="str">
        <f t="shared" ref="L1397:O1397" si="1556">IFERROR(L1373/L1349,"-")</f>
        <v>-</v>
      </c>
      <c r="M1397" s="1" t="str">
        <f t="shared" si="1556"/>
        <v>-</v>
      </c>
      <c r="N1397" s="1" t="str">
        <f t="shared" si="1556"/>
        <v>-</v>
      </c>
      <c r="O1397" s="1" t="str">
        <f t="shared" si="1556"/>
        <v>-</v>
      </c>
      <c r="P1397" s="1" t="str">
        <f t="shared" si="1550"/>
        <v>-</v>
      </c>
      <c r="Q1397" s="1" t="str">
        <f t="shared" si="1550"/>
        <v>-</v>
      </c>
      <c r="S1397" s="3"/>
    </row>
    <row r="1398" spans="2:19" x14ac:dyDescent="0.5">
      <c r="B1398" s="5" t="str">
        <f t="shared" si="1507"/>
        <v>SPS1</v>
      </c>
      <c r="C1398" s="5" t="str">
        <f t="shared" si="1508"/>
        <v>CH</v>
      </c>
      <c r="D1398" t="s">
        <v>1391</v>
      </c>
      <c r="E1398" t="s">
        <v>1229</v>
      </c>
      <c r="F1398" s="1" t="str">
        <f t="shared" ref="F1398:K1398" si="1557">IFERROR(F1374/F1350,"-")</f>
        <v>-</v>
      </c>
      <c r="G1398" s="1" t="str">
        <f t="shared" si="1557"/>
        <v>-</v>
      </c>
      <c r="H1398" s="1">
        <f t="shared" si="1557"/>
        <v>3.9266357548180274E-2</v>
      </c>
      <c r="I1398" s="1" t="str">
        <f t="shared" si="1557"/>
        <v>-</v>
      </c>
      <c r="J1398" s="1" t="str">
        <f t="shared" si="1557"/>
        <v>-</v>
      </c>
      <c r="K1398" s="1" t="str">
        <f t="shared" si="1557"/>
        <v>-</v>
      </c>
      <c r="L1398" s="1" t="str">
        <f t="shared" ref="L1398:O1398" si="1558">IFERROR(L1374/L1350,"-")</f>
        <v>-</v>
      </c>
      <c r="M1398" s="1" t="str">
        <f t="shared" si="1558"/>
        <v>-</v>
      </c>
      <c r="N1398" s="1" t="str">
        <f t="shared" si="1558"/>
        <v>-</v>
      </c>
      <c r="O1398" s="1" t="str">
        <f t="shared" si="1558"/>
        <v>-</v>
      </c>
      <c r="P1398" s="1" t="str">
        <f t="shared" si="1550"/>
        <v>-</v>
      </c>
      <c r="Q1398" s="1" t="str">
        <f t="shared" si="1550"/>
        <v>-</v>
      </c>
      <c r="S1398" s="3"/>
    </row>
    <row r="1399" spans="2:19" x14ac:dyDescent="0.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0.8146786381012433</v>
      </c>
      <c r="G1399" s="3">
        <f t="shared" ref="G1399" si="1559">G1400+G1406+G1411+G1425</f>
        <v>0.84807760646365182</v>
      </c>
      <c r="H1399" s="3">
        <f t="shared" ref="H1399" si="1560">H1400+H1406+H1411+H1425</f>
        <v>1.0174448255747652</v>
      </c>
      <c r="I1399" s="3">
        <f t="shared" ref="I1399" si="1561">I1400+I1406+I1411+I1425</f>
        <v>0.59847435388223513</v>
      </c>
      <c r="J1399" s="3">
        <f t="shared" ref="J1399" si="1562">J1400+J1406+J1411+J1425</f>
        <v>0.58461962657861832</v>
      </c>
      <c r="K1399" s="3">
        <f t="shared" ref="K1399" si="1563">K1400+K1406+K1411+K1425</f>
        <v>0.54937766517559339</v>
      </c>
      <c r="L1399" s="3">
        <f t="shared" ref="L1399:O1399" si="1564">L1400+L1406+L1411+L1425</f>
        <v>0.53262623538367593</v>
      </c>
      <c r="M1399" s="3">
        <f t="shared" si="1564"/>
        <v>0.50278883321959489</v>
      </c>
      <c r="N1399" s="3">
        <f t="shared" si="1564"/>
        <v>0.51634835122259382</v>
      </c>
      <c r="O1399" s="3">
        <f t="shared" si="1564"/>
        <v>0.53715482306539264</v>
      </c>
      <c r="P1399" s="3">
        <f>P1400+P1406+P1411+P1425</f>
        <v>0.5595194759654567</v>
      </c>
      <c r="Q1399" s="3">
        <f>Q1400+Q1406+Q1411+Q1425</f>
        <v>0.57269171679359743</v>
      </c>
      <c r="S1399" s="3"/>
    </row>
    <row r="1400" spans="2:19" x14ac:dyDescent="0.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1.1554009888920906E-3</v>
      </c>
      <c r="G1400" s="1">
        <f t="shared" ref="G1400" si="1565">SUM(G1401:G1405)</f>
        <v>1.3049077777916266E-3</v>
      </c>
      <c r="H1400" s="1">
        <f t="shared" ref="H1400" si="1566">SUM(H1401:H1405)</f>
        <v>2.0009985595088207E-3</v>
      </c>
      <c r="I1400" s="1">
        <f t="shared" ref="I1400" si="1567">SUM(I1401:I1405)</f>
        <v>0.22997342525087153</v>
      </c>
      <c r="J1400" s="1">
        <f t="shared" ref="J1400" si="1568">SUM(J1401:J1405)</f>
        <v>0.22434430476969666</v>
      </c>
      <c r="K1400" s="1">
        <f t="shared" ref="K1400" si="1569">SUM(K1401:K1405)</f>
        <v>0.21805477181115532</v>
      </c>
      <c r="L1400" s="1">
        <f t="shared" ref="L1400:O1400" si="1570">SUM(L1401:L1405)</f>
        <v>0.21007838607881579</v>
      </c>
      <c r="M1400" s="1">
        <f t="shared" si="1570"/>
        <v>0.19764340268355576</v>
      </c>
      <c r="N1400" s="1">
        <f t="shared" si="1570"/>
        <v>0.1938606069978058</v>
      </c>
      <c r="O1400" s="1">
        <f t="shared" si="1570"/>
        <v>0.19232426801258479</v>
      </c>
      <c r="P1400" s="1">
        <f>SUM(P1401:P1405)</f>
        <v>0.1925841952585812</v>
      </c>
      <c r="Q1400" s="1">
        <f>SUM(Q1401:Q1405)</f>
        <v>0.19868417739871269</v>
      </c>
      <c r="S1400" s="3"/>
    </row>
    <row r="1401" spans="2:19" x14ac:dyDescent="0.5">
      <c r="B1401" s="5" t="str">
        <f t="shared" ref="B1401:B1434" si="1571">B1400</f>
        <v>SPS1</v>
      </c>
      <c r="C1401" s="5" t="str">
        <f t="shared" ref="C1401:C1434" si="1572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SUMPRODUCT(("T_B_c-BeVELCEXT"=[1]OUT_TransportEnergyCons!$A$3:$A$1000)*1,("Var_Fin"=[1]OUT_TransportEnergyCons!$B$3:$B$1000)*1,ISNUMBER(SEARCH("ELC",[1]OUT_TransportEnergyCons!$C$3:$C$1000))*1,[1]OUT_TransportEnergyCons!H$3:H$1000)</f>
        <v>0</v>
      </c>
      <c r="K1401" s="1" cm="1">
        <f t="array" ref="K1401">SUMPRODUCT(("T_B_c-BeVELCEXT"=[1]OUT_TransportEnergyCons!$A$3:$A$1000)*1,("Var_Fin"=[1]OUT_TransportEnergyCons!$B$3:$B$1000)*1,ISNUMBER(SEARCH("ELC",[1]OUT_TransportEnergyCons!$C$3:$C$1000))*1,[1]OUT_TransportEnergyCons!I$3:I$1000)</f>
        <v>0</v>
      </c>
      <c r="L1401" s="1" cm="1">
        <f t="array" ref="L1401">SUMPRODUCT(("T_B_c-BeVELCEXT"=[1]OUT_TransportEnergyCons!$A$3:$A$1000)*1,("Var_Fin"=[1]OUT_TransportEnergyCons!$B$3:$B$1000)*1,ISNUMBER(SEARCH("ELC",[1]OUT_TransportEnergyCons!$C$3:$C$1000))*1,[1]OUT_TransportEnergyCons!J$3:J$1000)</f>
        <v>0</v>
      </c>
      <c r="M1401" s="1" cm="1">
        <f t="array" ref="M1401">SUMPRODUCT(("T_B_c-BeVELCEXT"=[1]OUT_TransportEnergyCons!$A$3:$A$1000)*1,("Var_Fin"=[1]OUT_TransportEnergyCons!$B$3:$B$1000)*1,ISNUMBER(SEARCH("ELC",[1]OUT_TransportEnergyCons!$C$3:$C$1000))*1,[1]OUT_TransportEnergyCons!K$3:K$1000)</f>
        <v>0</v>
      </c>
      <c r="N1401" s="1" cm="1">
        <f t="array" ref="N1401">SUMPRODUCT(("T_B_c-BeVELCEXT"=[1]OUT_TransportEnergyCons!$A$3:$A$1000)*1,("Var_Fin"=[1]OUT_TransportEnergyCons!$B$3:$B$1000)*1,ISNUMBER(SEARCH("ELC",[1]OUT_TransportEnergyCons!$C$3:$C$1000))*1,[1]OUT_TransportEnergyCons!L$3:L$1000)</f>
        <v>0</v>
      </c>
      <c r="O1401" s="1" cm="1">
        <f t="array" ref="O1401">SUMPRODUCT(("T_B_c-BeVELCEXT"=[1]OUT_TransportEnergyCons!$A$3:$A$1000)*1,("Var_Fin"=[1]OUT_TransportEnergyCons!$B$3:$B$1000)*1,ISNUMBER(SEARCH("ELC",[1]OUT_TransportEnergyCons!$C$3:$C$1000))*1,[1]OUT_TransportEnergyCons!M$3:M$1000)</f>
        <v>0</v>
      </c>
      <c r="P1401" s="1" cm="1">
        <f t="array" ref="P1401">SUMPRODUCT(("T_B_c-BeVELCEXT"=[1]OUT_TransportEnergyCons!$A$3:$A$1000)*1,("Var_Fin"=[1]OUT_TransportEnergyCons!$B$3:$B$1000)*1,ISNUMBER(SEARCH("ELC",[1]OUT_TransportEnergyCons!$C$3:$C$1000))*1,[1]OUT_TransportEnergyCons!N$3:N$1000)</f>
        <v>0</v>
      </c>
      <c r="Q1401" s="1" cm="1">
        <f t="array" ref="Q1401">SUMPRODUCT(("T_B_c-BeVELCEXT"=[1]OUT_TransportEnergyCons!$A$3:$A$1000)*1,("Var_Fin"=[1]OUT_TransportEnergyCons!$B$3:$B$1000)*1,ISNUMBER(SEARCH("ELC",[1]OUT_TransportEnergyCons!$C$3:$C$1000))*1,[1]OUT_TransportEnergyCons!O$3:O$1000)</f>
        <v>0</v>
      </c>
      <c r="S1401" s="3"/>
    </row>
    <row r="1402" spans="2:19" x14ac:dyDescent="0.5">
      <c r="B1402" s="5" t="str">
        <f t="shared" si="1571"/>
        <v>SPS1</v>
      </c>
      <c r="C1402" s="5" t="str">
        <f t="shared" si="1572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2.5407017101403465E-4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3.5572929181334838E-4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5.8380416660627082E-4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0.14432377814204242</v>
      </c>
      <c r="J1402" s="1" cm="1">
        <f t="array" ref="J1402">SUMPRODUCT(("T_B_c-BEVELC-S1"=[1]OUT_TransportEnergyCons!$A$3:$A$1000)*1,("Var_Fin"=[1]OUT_TransportEnergyCons!$B$3:$B$1000)*1,ISNUMBER(SEARCH("ELC",[1]OUT_TransportEnergyCons!$C$3:$C$1000))*1,[1]OUT_TransportEnergyCons!H$3:H$1000)</f>
        <v>0.1353428047830251</v>
      </c>
      <c r="K1402" s="1" cm="1">
        <f t="array" ref="K1402">SUMPRODUCT(("T_B_c-BEVELC-S1"=[1]OUT_TransportEnergyCons!$A$3:$A$1000)*1,("Var_Fin"=[1]OUT_TransportEnergyCons!$B$3:$B$1000)*1,ISNUMBER(SEARCH("ELC",[1]OUT_TransportEnergyCons!$C$3:$C$1000))*1,[1]OUT_TransportEnergyCons!I$3:I$1000)</f>
        <v>0.13459725263089181</v>
      </c>
      <c r="L1402" s="1" cm="1">
        <f t="array" ref="L1402">SUMPRODUCT(("T_B_c-BEVELC-S1"=[1]OUT_TransportEnergyCons!$A$3:$A$1000)*1,("Var_Fin"=[1]OUT_TransportEnergyCons!$B$3:$B$1000)*1,ISNUMBER(SEARCH("ELC",[1]OUT_TransportEnergyCons!$C$3:$C$1000))*1,[1]OUT_TransportEnergyCons!J$3:J$1000)</f>
        <v>0.12771556653429936</v>
      </c>
      <c r="M1402" s="1" cm="1">
        <f t="array" ref="M1402">SUMPRODUCT(("T_B_c-BEVELC-S1"=[1]OUT_TransportEnergyCons!$A$3:$A$1000)*1,("Var_Fin"=[1]OUT_TransportEnergyCons!$B$3:$B$1000)*1,ISNUMBER(SEARCH("ELC",[1]OUT_TransportEnergyCons!$C$3:$C$1000))*1,[1]OUT_TransportEnergyCons!K$3:K$1000)</f>
        <v>0.11662859915855771</v>
      </c>
      <c r="N1402" s="1" cm="1">
        <f t="array" ref="N1402">SUMPRODUCT(("T_B_c-BEVELC-S1"=[1]OUT_TransportEnergyCons!$A$3:$A$1000)*1,("Var_Fin"=[1]OUT_TransportEnergyCons!$B$3:$B$1000)*1,ISNUMBER(SEARCH("ELC",[1]OUT_TransportEnergyCons!$C$3:$C$1000))*1,[1]OUT_TransportEnergyCons!L$3:L$1000)</f>
        <v>0.11616669010922633</v>
      </c>
      <c r="O1402" s="1" cm="1">
        <f t="array" ref="O1402">SUMPRODUCT(("T_B_c-BEVELC-S1"=[1]OUT_TransportEnergyCons!$A$3:$A$1000)*1,("Var_Fin"=[1]OUT_TransportEnergyCons!$B$3:$B$1000)*1,ISNUMBER(SEARCH("ELC",[1]OUT_TransportEnergyCons!$C$3:$C$1000))*1,[1]OUT_TransportEnergyCons!M$3:M$1000)</f>
        <v>0.11412658565228846</v>
      </c>
      <c r="P1402" s="1" cm="1">
        <f t="array" ref="P1402">SUMPRODUCT(("T_B_c-BEVELC-S1"=[1]OUT_TransportEnergyCons!$A$3:$A$1000)*1,("Var_Fin"=[1]OUT_TransportEnergyCons!$B$3:$B$1000)*1,ISNUMBER(SEARCH("ELC",[1]OUT_TransportEnergyCons!$C$3:$C$1000))*1,[1]OUT_TransportEnergyCons!N$3:N$1000)</f>
        <v>0.11716414020063216</v>
      </c>
      <c r="Q1402" s="1" cm="1">
        <f t="array" ref="Q1402">SUMPRODUCT(("T_B_c-BEVELC-S1"=[1]OUT_TransportEnergyCons!$A$3:$A$1000)*1,("Var_Fin"=[1]OUT_TransportEnergyCons!$B$3:$B$1000)*1,ISNUMBER(SEARCH("ELC",[1]OUT_TransportEnergyCons!$C$3:$C$1000))*1,[1]OUT_TransportEnergyCons!O$3:O$1000)</f>
        <v>0.11240127590342115</v>
      </c>
      <c r="S1402" s="3"/>
    </row>
    <row r="1403" spans="2:19" x14ac:dyDescent="0.5">
      <c r="B1403" s="5" t="str">
        <f t="shared" si="1571"/>
        <v>SPS1</v>
      </c>
      <c r="C1403" s="5" t="str">
        <f t="shared" si="1572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5.9865102368276317E-4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4.7561035645235104E-4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7.5776389829756183E-4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8.4898413820855903E-2</v>
      </c>
      <c r="J1403" s="1" cm="1">
        <f t="array" ref="J1403">SUMPRODUCT(("T_B_c-BEVELC-S2"=[1]OUT_TransportEnergyCons!$A$3:$A$1000)*1,("Var_Fin"=[1]OUT_TransportEnergyCons!$B$3:$B$1000)*1,ISNUMBER(SEARCH("ELC",[1]OUT_TransportEnergyCons!$C$3:$C$1000))*1,[1]OUT_TransportEnergyCons!H$3:H$1000)</f>
        <v>8.7579928034993315E-2</v>
      </c>
      <c r="K1403" s="1" cm="1">
        <f t="array" ref="K1403">SUMPRODUCT(("T_B_c-BEVELC-S2"=[1]OUT_TransportEnergyCons!$A$3:$A$1000)*1,("Var_Fin"=[1]OUT_TransportEnergyCons!$B$3:$B$1000)*1,ISNUMBER(SEARCH("ELC",[1]OUT_TransportEnergyCons!$C$3:$C$1000))*1,[1]OUT_TransportEnergyCons!I$3:I$1000)</f>
        <v>8.1214061525676728E-2</v>
      </c>
      <c r="L1403" s="1" cm="1">
        <f t="array" ref="L1403">SUMPRODUCT(("T_B_c-BEVELC-S2"=[1]OUT_TransportEnergyCons!$A$3:$A$1000)*1,("Var_Fin"=[1]OUT_TransportEnergyCons!$B$3:$B$1000)*1,ISNUMBER(SEARCH("ELC",[1]OUT_TransportEnergyCons!$C$3:$C$1000))*1,[1]OUT_TransportEnergyCons!J$3:J$1000)</f>
        <v>7.9427640487877912E-2</v>
      </c>
      <c r="M1403" s="1" cm="1">
        <f t="array" ref="M1403">SUMPRODUCT(("T_B_c-BEVELC-S2"=[1]OUT_TransportEnergyCons!$A$3:$A$1000)*1,("Var_Fin"=[1]OUT_TransportEnergyCons!$B$3:$B$1000)*1,ISNUMBER(SEARCH("ELC",[1]OUT_TransportEnergyCons!$C$3:$C$1000))*1,[1]OUT_TransportEnergyCons!K$3:K$1000)</f>
        <v>7.7075284833788824E-2</v>
      </c>
      <c r="N1403" s="1" cm="1">
        <f t="array" ref="N1403">SUMPRODUCT(("T_B_c-BEVELC-S2"=[1]OUT_TransportEnergyCons!$A$3:$A$1000)*1,("Var_Fin"=[1]OUT_TransportEnergyCons!$B$3:$B$1000)*1,ISNUMBER(SEARCH("ELC",[1]OUT_TransportEnergyCons!$C$3:$C$1000))*1,[1]OUT_TransportEnergyCons!L$3:L$1000)</f>
        <v>7.3144366998757607E-2</v>
      </c>
      <c r="O1403" s="1" cm="1">
        <f t="array" ref="O1403">SUMPRODUCT(("T_B_c-BEVELC-S2"=[1]OUT_TransportEnergyCons!$A$3:$A$1000)*1,("Var_Fin"=[1]OUT_TransportEnergyCons!$B$3:$B$1000)*1,ISNUMBER(SEARCH("ELC",[1]OUT_TransportEnergyCons!$C$3:$C$1000))*1,[1]OUT_TransportEnergyCons!M$3:M$1000)</f>
        <v>7.1785297000637474E-2</v>
      </c>
      <c r="P1403" s="1" cm="1">
        <f t="array" ref="P1403">SUMPRODUCT(("T_B_c-BEVELC-S2"=[1]OUT_TransportEnergyCons!$A$3:$A$1000)*1,("Var_Fin"=[1]OUT_TransportEnergyCons!$B$3:$B$1000)*1,ISNUMBER(SEARCH("ELC",[1]OUT_TransportEnergyCons!$C$3:$C$1000))*1,[1]OUT_TransportEnergyCons!N$3:N$1000)</f>
        <v>6.4899004692514806E-2</v>
      </c>
      <c r="Q1403" s="1" cm="1">
        <f t="array" ref="Q1403">SUMPRODUCT(("T_B_c-BEVELC-S2"=[1]OUT_TransportEnergyCons!$A$3:$A$1000)*1,("Var_Fin"=[1]OUT_TransportEnergyCons!$B$3:$B$1000)*1,ISNUMBER(SEARCH("ELC",[1]OUT_TransportEnergyCons!$C$3:$C$1000))*1,[1]OUT_TransportEnergyCons!O$3:O$1000)</f>
        <v>6.2538501110281239E-2</v>
      </c>
      <c r="S1403" s="3"/>
    </row>
    <row r="1404" spans="2:19" x14ac:dyDescent="0.5">
      <c r="B1404" s="5" t="str">
        <f t="shared" si="1571"/>
        <v>SPS1</v>
      </c>
      <c r="C1404" s="5" t="str">
        <f t="shared" si="1572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3.0267979419529273E-4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4.2049837095079124E-4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5.4835222457882353E-4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6.5930491987478213E-4</v>
      </c>
      <c r="J1404" s="1" cm="1">
        <f t="array" ref="J1404">SUMPRODUCT(("T_B_c-BEVELC-S3"=[1]OUT_TransportEnergyCons!$A$3:$A$1000)*1,("Var_Fin"=[1]OUT_TransportEnergyCons!$B$3:$B$1000)*1,ISNUMBER(SEARCH("ELC",[1]OUT_TransportEnergyCons!$C$3:$C$1000))*1,[1]OUT_TransportEnergyCons!H$3:H$1000)</f>
        <v>1.3175953867906279E-3</v>
      </c>
      <c r="K1404" s="1" cm="1">
        <f t="array" ref="K1404">SUMPRODUCT(("T_B_c-BEVELC-S3"=[1]OUT_TransportEnergyCons!$A$3:$A$1000)*1,("Var_Fin"=[1]OUT_TransportEnergyCons!$B$3:$B$1000)*1,ISNUMBER(SEARCH("ELC",[1]OUT_TransportEnergyCons!$C$3:$C$1000))*1,[1]OUT_TransportEnergyCons!I$3:I$1000)</f>
        <v>2.0835483232121096E-3</v>
      </c>
      <c r="L1404" s="1" cm="1">
        <f t="array" ref="L1404">SUMPRODUCT(("T_B_c-BEVELC-S3"=[1]OUT_TransportEnergyCons!$A$3:$A$1000)*1,("Var_Fin"=[1]OUT_TransportEnergyCons!$B$3:$B$1000)*1,ISNUMBER(SEARCH("ELC",[1]OUT_TransportEnergyCons!$C$3:$C$1000))*1,[1]OUT_TransportEnergyCons!J$3:J$1000)</f>
        <v>2.7905516544652633E-3</v>
      </c>
      <c r="M1404" s="1" cm="1">
        <f t="array" ref="M1404">SUMPRODUCT(("T_B_c-BEVELC-S3"=[1]OUT_TransportEnergyCons!$A$3:$A$1000)*1,("Var_Fin"=[1]OUT_TransportEnergyCons!$B$3:$B$1000)*1,ISNUMBER(SEARCH("ELC",[1]OUT_TransportEnergyCons!$C$3:$C$1000))*1,[1]OUT_TransportEnergyCons!K$3:K$1000)</f>
        <v>3.7454634253884641E-3</v>
      </c>
      <c r="N1404" s="1" cm="1">
        <f t="array" ref="N1404">SUMPRODUCT(("T_B_c-BEVELC-S3"=[1]OUT_TransportEnergyCons!$A$3:$A$1000)*1,("Var_Fin"=[1]OUT_TransportEnergyCons!$B$3:$B$1000)*1,ISNUMBER(SEARCH("ELC",[1]OUT_TransportEnergyCons!$C$3:$C$1000))*1,[1]OUT_TransportEnergyCons!L$3:L$1000)</f>
        <v>4.3635083397109576E-3</v>
      </c>
      <c r="O1404" s="1" cm="1">
        <f t="array" ref="O1404">SUMPRODUCT(("T_B_c-BEVELC-S3"=[1]OUT_TransportEnergyCons!$A$3:$A$1000)*1,("Var_Fin"=[1]OUT_TransportEnergyCons!$B$3:$B$1000)*1,ISNUMBER(SEARCH("ELC",[1]OUT_TransportEnergyCons!$C$3:$C$1000))*1,[1]OUT_TransportEnergyCons!M$3:M$1000)</f>
        <v>6.2280933241291555E-3</v>
      </c>
      <c r="P1404" s="1" cm="1">
        <f t="array" ref="P1404">SUMPRODUCT(("T_B_c-BEVELC-S3"=[1]OUT_TransportEnergyCons!$A$3:$A$1000)*1,("Var_Fin"=[1]OUT_TransportEnergyCons!$B$3:$B$1000)*1,ISNUMBER(SEARCH("ELC",[1]OUT_TransportEnergyCons!$C$3:$C$1000))*1,[1]OUT_TransportEnergyCons!N$3:N$1000)</f>
        <v>1.0264337215401849E-2</v>
      </c>
      <c r="Q1404" s="1" cm="1">
        <f t="array" ref="Q1404">SUMPRODUCT(("T_B_c-BEVELC-S3"=[1]OUT_TransportEnergyCons!$A$3:$A$1000)*1,("Var_Fin"=[1]OUT_TransportEnergyCons!$B$3:$B$1000)*1,ISNUMBER(SEARCH("ELC",[1]OUT_TransportEnergyCons!$C$3:$C$1000))*1,[1]OUT_TransportEnergyCons!O$3:O$1000)</f>
        <v>2.339885458904661E-2</v>
      </c>
      <c r="S1404" s="3"/>
    </row>
    <row r="1405" spans="2:19" x14ac:dyDescent="0.5">
      <c r="B1405" s="5" t="str">
        <f t="shared" si="1571"/>
        <v>SPS1</v>
      </c>
      <c r="C1405" s="5" t="str">
        <f t="shared" si="1572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5.3069758575135876E-5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1.1107827002616437E-4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9.1928368098392985E-5</v>
      </c>
      <c r="J1405" s="1" cm="1">
        <f t="array" ref="J1405">SUMPRODUCT(("T_B_c-BEVELC-S4"=[1]OUT_TransportEnergyCons!$A$3:$A$1000)*1,("Var_Fin"=[1]OUT_TransportEnergyCons!$B$3:$B$1000)*1,ISNUMBER(SEARCH("ELC",[1]OUT_TransportEnergyCons!$C$3:$C$1000))*1,[1]OUT_TransportEnergyCons!H$3:H$1000)</f>
        <v>1.0397656488762003E-4</v>
      </c>
      <c r="K1405" s="1" cm="1">
        <f t="array" ref="K1405">SUMPRODUCT(("T_B_c-BEVELC-S4"=[1]OUT_TransportEnergyCons!$A$3:$A$1000)*1,("Var_Fin"=[1]OUT_TransportEnergyCons!$B$3:$B$1000)*1,ISNUMBER(SEARCH("ELC",[1]OUT_TransportEnergyCons!$C$3:$C$1000))*1,[1]OUT_TransportEnergyCons!I$3:I$1000)</f>
        <v>1.599093313746659E-4</v>
      </c>
      <c r="L1405" s="1" cm="1">
        <f t="array" ref="L1405">SUMPRODUCT(("T_B_c-BEVELC-S4"=[1]OUT_TransportEnergyCons!$A$3:$A$1000)*1,("Var_Fin"=[1]OUT_TransportEnergyCons!$B$3:$B$1000)*1,ISNUMBER(SEARCH("ELC",[1]OUT_TransportEnergyCons!$C$3:$C$1000))*1,[1]OUT_TransportEnergyCons!J$3:J$1000)</f>
        <v>1.4462740217328055E-4</v>
      </c>
      <c r="M1405" s="1" cm="1">
        <f t="array" ref="M1405">SUMPRODUCT(("T_B_c-BEVELC-S4"=[1]OUT_TransportEnergyCons!$A$3:$A$1000)*1,("Var_Fin"=[1]OUT_TransportEnergyCons!$B$3:$B$1000)*1,ISNUMBER(SEARCH("ELC",[1]OUT_TransportEnergyCons!$C$3:$C$1000))*1,[1]OUT_TransportEnergyCons!K$3:K$1000)</f>
        <v>1.9405526582077644E-4</v>
      </c>
      <c r="N1405" s="1" cm="1">
        <f t="array" ref="N1405">SUMPRODUCT(("T_B_c-BEVELC-S4"=[1]OUT_TransportEnergyCons!$A$3:$A$1000)*1,("Var_Fin"=[1]OUT_TransportEnergyCons!$B$3:$B$1000)*1,ISNUMBER(SEARCH("ELC",[1]OUT_TransportEnergyCons!$C$3:$C$1000))*1,[1]OUT_TransportEnergyCons!L$3:L$1000)</f>
        <v>1.8604155011090452E-4</v>
      </c>
      <c r="O1405" s="1" cm="1">
        <f t="array" ref="O1405">SUMPRODUCT(("T_B_c-BEVELC-S4"=[1]OUT_TransportEnergyCons!$A$3:$A$1000)*1,("Var_Fin"=[1]OUT_TransportEnergyCons!$B$3:$B$1000)*1,ISNUMBER(SEARCH("ELC",[1]OUT_TransportEnergyCons!$C$3:$C$1000))*1,[1]OUT_TransportEnergyCons!M$3:M$1000)</f>
        <v>1.8429203552970585E-4</v>
      </c>
      <c r="P1405" s="1" cm="1">
        <f t="array" ref="P1405">SUMPRODUCT(("T_B_c-BEVELC-S4"=[1]OUT_TransportEnergyCons!$A$3:$A$1000)*1,("Var_Fin"=[1]OUT_TransportEnergyCons!$B$3:$B$1000)*1,ISNUMBER(SEARCH("ELC",[1]OUT_TransportEnergyCons!$C$3:$C$1000))*1,[1]OUT_TransportEnergyCons!N$3:N$1000)</f>
        <v>2.5671315003238533E-4</v>
      </c>
      <c r="Q1405" s="1" cm="1">
        <f t="array" ref="Q1405">SUMPRODUCT(("T_B_c-BEVELC-S4"=[1]OUT_TransportEnergyCons!$A$3:$A$1000)*1,("Var_Fin"=[1]OUT_TransportEnergyCons!$B$3:$B$1000)*1,ISNUMBER(SEARCH("ELC",[1]OUT_TransportEnergyCons!$C$3:$C$1000))*1,[1]OUT_TransportEnergyCons!O$3:O$1000)</f>
        <v>3.4554579596367615E-4</v>
      </c>
      <c r="S1405" s="3"/>
    </row>
    <row r="1406" spans="2:19" x14ac:dyDescent="0.5">
      <c r="B1406" s="5" t="str">
        <f t="shared" si="1571"/>
        <v>SPS1</v>
      </c>
      <c r="C1406" s="5" t="str">
        <f t="shared" si="1572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573">SUM(G1407:G1410)</f>
        <v>0</v>
      </c>
      <c r="H1406" s="1">
        <f t="shared" ref="H1406" si="1574">SUM(H1407:H1410)</f>
        <v>0</v>
      </c>
      <c r="I1406" s="1">
        <f t="shared" ref="I1406" si="1575">SUM(I1407:I1410)</f>
        <v>1.4469646763108664E-6</v>
      </c>
      <c r="J1406" s="1">
        <f t="shared" ref="J1406" si="1576">SUM(J1407:J1410)</f>
        <v>0</v>
      </c>
      <c r="K1406" s="1">
        <f t="shared" ref="K1406" si="1577">SUM(K1407:K1410)</f>
        <v>0</v>
      </c>
      <c r="L1406" s="1">
        <f t="shared" ref="L1406:O1406" si="1578">SUM(L1407:L1410)</f>
        <v>0</v>
      </c>
      <c r="M1406" s="1">
        <f t="shared" si="1578"/>
        <v>0</v>
      </c>
      <c r="N1406" s="1">
        <f t="shared" si="1578"/>
        <v>0</v>
      </c>
      <c r="O1406" s="1">
        <f t="shared" si="1578"/>
        <v>0</v>
      </c>
      <c r="P1406" s="1">
        <f>SUM(P1407:P1410)</f>
        <v>0</v>
      </c>
      <c r="Q1406" s="1">
        <f>SUM(Q1407:Q1410)</f>
        <v>0</v>
      </c>
      <c r="S1406" s="3"/>
    </row>
    <row r="1407" spans="2:19" x14ac:dyDescent="0.5">
      <c r="B1407" s="5" t="str">
        <f t="shared" si="1571"/>
        <v>SPS1</v>
      </c>
      <c r="C1407" s="5" t="str">
        <f t="shared" si="1572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SUMPRODUCT(("T_B_c-FCLH2O-S1"=[1]OUT_TransportEnergyCons!$A$3:$A$1000)*1,("Var_Fin"=[1]OUT_TransportEnergyCons!$B$3:$B$1000)*1,ISNUMBER(SEARCH("H2",[1]OUT_TransportEnergyCons!$C$3:$C$1000))*1,[1]OUT_TransportEnergyCons!H$3:H$1000)</f>
        <v>0</v>
      </c>
      <c r="K1407" s="1" cm="1">
        <f t="array" ref="K1407">SUMPRODUCT(("T_B_c-FCLH2O-S1"=[1]OUT_TransportEnergyCons!$A$3:$A$1000)*1,("Var_Fin"=[1]OUT_TransportEnergyCons!$B$3:$B$1000)*1,ISNUMBER(SEARCH("H2",[1]OUT_TransportEnergyCons!$C$3:$C$1000))*1,[1]OUT_TransportEnergyCons!I$3:I$1000)</f>
        <v>0</v>
      </c>
      <c r="L1407" s="1" cm="1">
        <f t="array" ref="L1407">SUMPRODUCT(("T_B_c-FCLH2O-S1"=[1]OUT_TransportEnergyCons!$A$3:$A$1000)*1,("Var_Fin"=[1]OUT_TransportEnergyCons!$B$3:$B$1000)*1,ISNUMBER(SEARCH("H2",[1]OUT_TransportEnergyCons!$C$3:$C$1000))*1,[1]OUT_TransportEnergyCons!J$3:J$1000)</f>
        <v>0</v>
      </c>
      <c r="M1407" s="1" cm="1">
        <f t="array" ref="M1407">SUMPRODUCT(("T_B_c-FCLH2O-S1"=[1]OUT_TransportEnergyCons!$A$3:$A$1000)*1,("Var_Fin"=[1]OUT_TransportEnergyCons!$B$3:$B$1000)*1,ISNUMBER(SEARCH("H2",[1]OUT_TransportEnergyCons!$C$3:$C$1000))*1,[1]OUT_TransportEnergyCons!K$3:K$1000)</f>
        <v>0</v>
      </c>
      <c r="N1407" s="1" cm="1">
        <f t="array" ref="N1407">SUMPRODUCT(("T_B_c-FCLH2O-S1"=[1]OUT_TransportEnergyCons!$A$3:$A$1000)*1,("Var_Fin"=[1]OUT_TransportEnergyCons!$B$3:$B$1000)*1,ISNUMBER(SEARCH("H2",[1]OUT_TransportEnergyCons!$C$3:$C$1000))*1,[1]OUT_TransportEnergyCons!L$3:L$1000)</f>
        <v>0</v>
      </c>
      <c r="O1407" s="1" cm="1">
        <f t="array" ref="O1407">SUMPRODUCT(("T_B_c-FCLH2O-S1"=[1]OUT_TransportEnergyCons!$A$3:$A$1000)*1,("Var_Fin"=[1]OUT_TransportEnergyCons!$B$3:$B$1000)*1,ISNUMBER(SEARCH("H2",[1]OUT_TransportEnergyCons!$C$3:$C$1000))*1,[1]OUT_TransportEnergyCons!M$3:M$1000)</f>
        <v>0</v>
      </c>
      <c r="P1407" s="1" cm="1">
        <f t="array" ref="P1407">SUMPRODUCT(("T_B_c-FCLH2O-S1"=[1]OUT_TransportEnergyCons!$A$3:$A$1000)*1,("Var_Fin"=[1]OUT_TransportEnergyCons!$B$3:$B$1000)*1,ISNUMBER(SEARCH("H2",[1]OUT_TransportEnergyCons!$C$3:$C$1000))*1,[1]OUT_TransportEnergyCons!N$3:N$1000)</f>
        <v>0</v>
      </c>
      <c r="Q1407" s="1" cm="1">
        <f t="array" ref="Q1407">SUMPRODUCT(("T_B_c-FCLH2O-S1"=[1]OUT_TransportEnergyCons!$A$3:$A$1000)*1,("Var_Fin"=[1]OUT_TransportEnergyCons!$B$3:$B$1000)*1,ISNUMBER(SEARCH("H2",[1]OUT_TransportEnergyCons!$C$3:$C$1000))*1,[1]OUT_TransportEnergyCons!O$3:O$1000)</f>
        <v>0</v>
      </c>
      <c r="S1407" s="3"/>
    </row>
    <row r="1408" spans="2:19" x14ac:dyDescent="0.5">
      <c r="B1408" s="5" t="str">
        <f t="shared" si="1571"/>
        <v>SPS1</v>
      </c>
      <c r="C1408" s="5" t="str">
        <f t="shared" si="1572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2.4802876221206162E-7</v>
      </c>
      <c r="J1408" s="1" cm="1">
        <f t="array" ref="J1408">SUMPRODUCT(("T_B_c-FCLH2O-S2"=[1]OUT_TransportEnergyCons!$A$3:$A$1000)*1,("Var_Fin"=[1]OUT_TransportEnergyCons!$B$3:$B$1000)*1,ISNUMBER(SEARCH("H2",[1]OUT_TransportEnergyCons!$C$3:$C$1000))*1,[1]OUT_TransportEnergyCons!H$3:H$1000)</f>
        <v>0</v>
      </c>
      <c r="K1408" s="1" cm="1">
        <f t="array" ref="K1408">SUMPRODUCT(("T_B_c-FCLH2O-S2"=[1]OUT_TransportEnergyCons!$A$3:$A$1000)*1,("Var_Fin"=[1]OUT_TransportEnergyCons!$B$3:$B$1000)*1,ISNUMBER(SEARCH("H2",[1]OUT_TransportEnergyCons!$C$3:$C$1000))*1,[1]OUT_TransportEnergyCons!I$3:I$1000)</f>
        <v>0</v>
      </c>
      <c r="L1408" s="1" cm="1">
        <f t="array" ref="L1408">SUMPRODUCT(("T_B_c-FCLH2O-S2"=[1]OUT_TransportEnergyCons!$A$3:$A$1000)*1,("Var_Fin"=[1]OUT_TransportEnergyCons!$B$3:$B$1000)*1,ISNUMBER(SEARCH("H2",[1]OUT_TransportEnergyCons!$C$3:$C$1000))*1,[1]OUT_TransportEnergyCons!J$3:J$1000)</f>
        <v>0</v>
      </c>
      <c r="M1408" s="1" cm="1">
        <f t="array" ref="M1408">SUMPRODUCT(("T_B_c-FCLH2O-S2"=[1]OUT_TransportEnergyCons!$A$3:$A$1000)*1,("Var_Fin"=[1]OUT_TransportEnergyCons!$B$3:$B$1000)*1,ISNUMBER(SEARCH("H2",[1]OUT_TransportEnergyCons!$C$3:$C$1000))*1,[1]OUT_TransportEnergyCons!K$3:K$1000)</f>
        <v>0</v>
      </c>
      <c r="N1408" s="1" cm="1">
        <f t="array" ref="N1408">SUMPRODUCT(("T_B_c-FCLH2O-S2"=[1]OUT_TransportEnergyCons!$A$3:$A$1000)*1,("Var_Fin"=[1]OUT_TransportEnergyCons!$B$3:$B$1000)*1,ISNUMBER(SEARCH("H2",[1]OUT_TransportEnergyCons!$C$3:$C$1000))*1,[1]OUT_TransportEnergyCons!L$3:L$1000)</f>
        <v>0</v>
      </c>
      <c r="O1408" s="1" cm="1">
        <f t="array" ref="O1408">SUMPRODUCT(("T_B_c-FCLH2O-S2"=[1]OUT_TransportEnergyCons!$A$3:$A$1000)*1,("Var_Fin"=[1]OUT_TransportEnergyCons!$B$3:$B$1000)*1,ISNUMBER(SEARCH("H2",[1]OUT_TransportEnergyCons!$C$3:$C$1000))*1,[1]OUT_TransportEnergyCons!M$3:M$1000)</f>
        <v>0</v>
      </c>
      <c r="P1408" s="1" cm="1">
        <f t="array" ref="P1408">SUMPRODUCT(("T_B_c-FCLH2O-S2"=[1]OUT_TransportEnergyCons!$A$3:$A$1000)*1,("Var_Fin"=[1]OUT_TransportEnergyCons!$B$3:$B$1000)*1,ISNUMBER(SEARCH("H2",[1]OUT_TransportEnergyCons!$C$3:$C$1000))*1,[1]OUT_TransportEnergyCons!N$3:N$1000)</f>
        <v>0</v>
      </c>
      <c r="Q1408" s="1" cm="1">
        <f t="array" ref="Q1408">SUMPRODUCT(("T_B_c-FCLH2O-S2"=[1]OUT_TransportEnergyCons!$A$3:$A$1000)*1,("Var_Fin"=[1]OUT_TransportEnergyCons!$B$3:$B$1000)*1,ISNUMBER(SEARCH("H2",[1]OUT_TransportEnergyCons!$C$3:$C$1000))*1,[1]OUT_TransportEnergyCons!O$3:O$1000)</f>
        <v>0</v>
      </c>
      <c r="S1408" s="3"/>
    </row>
    <row r="1409" spans="2:19" x14ac:dyDescent="0.5">
      <c r="B1409" s="5" t="str">
        <f t="shared" si="1571"/>
        <v>SPS1</v>
      </c>
      <c r="C1409" s="5" t="str">
        <f t="shared" si="1572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1.1989359140988048E-6</v>
      </c>
      <c r="J1409" s="1" cm="1">
        <f t="array" ref="J1409">SUMPRODUCT(("T_B_c-FCLH2O-S3"=[1]OUT_TransportEnergyCons!$A$3:$A$1000)*1,("Var_Fin"=[1]OUT_TransportEnergyCons!$B$3:$B$1000)*1,ISNUMBER(SEARCH("H2",[1]OUT_TransportEnergyCons!$C$3:$C$1000))*1,[1]OUT_TransportEnergyCons!H$3:H$1000)</f>
        <v>0</v>
      </c>
      <c r="K1409" s="1" cm="1">
        <f t="array" ref="K1409">SUMPRODUCT(("T_B_c-FCLH2O-S3"=[1]OUT_TransportEnergyCons!$A$3:$A$1000)*1,("Var_Fin"=[1]OUT_TransportEnergyCons!$B$3:$B$1000)*1,ISNUMBER(SEARCH("H2",[1]OUT_TransportEnergyCons!$C$3:$C$1000))*1,[1]OUT_TransportEnergyCons!I$3:I$1000)</f>
        <v>0</v>
      </c>
      <c r="L1409" s="1" cm="1">
        <f t="array" ref="L1409">SUMPRODUCT(("T_B_c-FCLH2O-S3"=[1]OUT_TransportEnergyCons!$A$3:$A$1000)*1,("Var_Fin"=[1]OUT_TransportEnergyCons!$B$3:$B$1000)*1,ISNUMBER(SEARCH("H2",[1]OUT_TransportEnergyCons!$C$3:$C$1000))*1,[1]OUT_TransportEnergyCons!J$3:J$1000)</f>
        <v>0</v>
      </c>
      <c r="M1409" s="1" cm="1">
        <f t="array" ref="M1409">SUMPRODUCT(("T_B_c-FCLH2O-S3"=[1]OUT_TransportEnergyCons!$A$3:$A$1000)*1,("Var_Fin"=[1]OUT_TransportEnergyCons!$B$3:$B$1000)*1,ISNUMBER(SEARCH("H2",[1]OUT_TransportEnergyCons!$C$3:$C$1000))*1,[1]OUT_TransportEnergyCons!K$3:K$1000)</f>
        <v>0</v>
      </c>
      <c r="N1409" s="1" cm="1">
        <f t="array" ref="N1409">SUMPRODUCT(("T_B_c-FCLH2O-S3"=[1]OUT_TransportEnergyCons!$A$3:$A$1000)*1,("Var_Fin"=[1]OUT_TransportEnergyCons!$B$3:$B$1000)*1,ISNUMBER(SEARCH("H2",[1]OUT_TransportEnergyCons!$C$3:$C$1000))*1,[1]OUT_TransportEnergyCons!L$3:L$1000)</f>
        <v>0</v>
      </c>
      <c r="O1409" s="1" cm="1">
        <f t="array" ref="O1409">SUMPRODUCT(("T_B_c-FCLH2O-S3"=[1]OUT_TransportEnergyCons!$A$3:$A$1000)*1,("Var_Fin"=[1]OUT_TransportEnergyCons!$B$3:$B$1000)*1,ISNUMBER(SEARCH("H2",[1]OUT_TransportEnergyCons!$C$3:$C$1000))*1,[1]OUT_TransportEnergyCons!M$3:M$1000)</f>
        <v>0</v>
      </c>
      <c r="P1409" s="1" cm="1">
        <f t="array" ref="P1409">SUMPRODUCT(("T_B_c-FCLH2O-S3"=[1]OUT_TransportEnergyCons!$A$3:$A$1000)*1,("Var_Fin"=[1]OUT_TransportEnergyCons!$B$3:$B$1000)*1,ISNUMBER(SEARCH("H2",[1]OUT_TransportEnergyCons!$C$3:$C$1000))*1,[1]OUT_TransportEnergyCons!N$3:N$1000)</f>
        <v>0</v>
      </c>
      <c r="Q1409" s="1" cm="1">
        <f t="array" ref="Q1409">SUMPRODUCT(("T_B_c-FCLH2O-S3"=[1]OUT_TransportEnergyCons!$A$3:$A$1000)*1,("Var_Fin"=[1]OUT_TransportEnergyCons!$B$3:$B$1000)*1,ISNUMBER(SEARCH("H2",[1]OUT_TransportEnergyCons!$C$3:$C$1000))*1,[1]OUT_TransportEnergyCons!O$3:O$1000)</f>
        <v>0</v>
      </c>
      <c r="S1409" s="3"/>
    </row>
    <row r="1410" spans="2:19" x14ac:dyDescent="0.5">
      <c r="B1410" s="5" t="str">
        <f t="shared" si="1571"/>
        <v>SPS1</v>
      </c>
      <c r="C1410" s="5" t="str">
        <f t="shared" si="1572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SUMPRODUCT(("T_B_c-FCLH2O-S4"=[1]OUT_TransportEnergyCons!$A$3:$A$1000)*1,("Var_Fin"=[1]OUT_TransportEnergyCons!$B$3:$B$1000)*1,ISNUMBER(SEARCH("H2",[1]OUT_TransportEnergyCons!$C$3:$C$1000))*1,[1]OUT_TransportEnergyCons!H$3:H$1000)</f>
        <v>0</v>
      </c>
      <c r="K1410" s="1" cm="1">
        <f t="array" ref="K1410">SUMPRODUCT(("T_B_c-FCLH2O-S4"=[1]OUT_TransportEnergyCons!$A$3:$A$1000)*1,("Var_Fin"=[1]OUT_TransportEnergyCons!$B$3:$B$1000)*1,ISNUMBER(SEARCH("H2",[1]OUT_TransportEnergyCons!$C$3:$C$1000))*1,[1]OUT_TransportEnergyCons!I$3:I$1000)</f>
        <v>0</v>
      </c>
      <c r="L1410" s="1" cm="1">
        <f t="array" ref="L1410">SUMPRODUCT(("T_B_c-FCLH2O-S4"=[1]OUT_TransportEnergyCons!$A$3:$A$1000)*1,("Var_Fin"=[1]OUT_TransportEnergyCons!$B$3:$B$1000)*1,ISNUMBER(SEARCH("H2",[1]OUT_TransportEnergyCons!$C$3:$C$1000))*1,[1]OUT_TransportEnergyCons!J$3:J$1000)</f>
        <v>0</v>
      </c>
      <c r="M1410" s="1" cm="1">
        <f t="array" ref="M1410">SUMPRODUCT(("T_B_c-FCLH2O-S4"=[1]OUT_TransportEnergyCons!$A$3:$A$1000)*1,("Var_Fin"=[1]OUT_TransportEnergyCons!$B$3:$B$1000)*1,ISNUMBER(SEARCH("H2",[1]OUT_TransportEnergyCons!$C$3:$C$1000))*1,[1]OUT_TransportEnergyCons!K$3:K$1000)</f>
        <v>0</v>
      </c>
      <c r="N1410" s="1" cm="1">
        <f t="array" ref="N1410">SUMPRODUCT(("T_B_c-FCLH2O-S4"=[1]OUT_TransportEnergyCons!$A$3:$A$1000)*1,("Var_Fin"=[1]OUT_TransportEnergyCons!$B$3:$B$1000)*1,ISNUMBER(SEARCH("H2",[1]OUT_TransportEnergyCons!$C$3:$C$1000))*1,[1]OUT_TransportEnergyCons!L$3:L$1000)</f>
        <v>0</v>
      </c>
      <c r="O1410" s="1" cm="1">
        <f t="array" ref="O1410">SUMPRODUCT(("T_B_c-FCLH2O-S4"=[1]OUT_TransportEnergyCons!$A$3:$A$1000)*1,("Var_Fin"=[1]OUT_TransportEnergyCons!$B$3:$B$1000)*1,ISNUMBER(SEARCH("H2",[1]OUT_TransportEnergyCons!$C$3:$C$1000))*1,[1]OUT_TransportEnergyCons!M$3:M$1000)</f>
        <v>0</v>
      </c>
      <c r="P1410" s="1" cm="1">
        <f t="array" ref="P1410">SUMPRODUCT(("T_B_c-FCLH2O-S4"=[1]OUT_TransportEnergyCons!$A$3:$A$1000)*1,("Var_Fin"=[1]OUT_TransportEnergyCons!$B$3:$B$1000)*1,ISNUMBER(SEARCH("H2",[1]OUT_TransportEnergyCons!$C$3:$C$1000))*1,[1]OUT_TransportEnergyCons!N$3:N$1000)</f>
        <v>0</v>
      </c>
      <c r="Q1410" s="1" cm="1">
        <f t="array" ref="Q1410">SUMPRODUCT(("T_B_c-FCLH2O-S4"=[1]OUT_TransportEnergyCons!$A$3:$A$1000)*1,("Var_Fin"=[1]OUT_TransportEnergyCons!$B$3:$B$1000)*1,ISNUMBER(SEARCH("H2",[1]OUT_TransportEnergyCons!$C$3:$C$1000))*1,[1]OUT_TransportEnergyCons!O$3:O$1000)</f>
        <v>0</v>
      </c>
      <c r="S1410" s="3"/>
    </row>
    <row r="1411" spans="2:19" x14ac:dyDescent="0.5">
      <c r="B1411" s="5" t="str">
        <f t="shared" si="1571"/>
        <v>SPS1</v>
      </c>
      <c r="C1411" s="5" t="str">
        <f t="shared" si="1572"/>
        <v>CH</v>
      </c>
      <c r="D1411" t="s">
        <v>1406</v>
      </c>
      <c r="E1411" t="s">
        <v>8</v>
      </c>
      <c r="F1411" s="1">
        <f>SUM(F1416:F1424)</f>
        <v>0.81338501253916129</v>
      </c>
      <c r="G1411" s="1">
        <f t="shared" ref="G1411:K1411" si="1579">SUM(G1416:G1424)</f>
        <v>0.84641860807907543</v>
      </c>
      <c r="H1411" s="1">
        <f t="shared" si="1579"/>
        <v>1.0137338420937896</v>
      </c>
      <c r="I1411" s="1">
        <f t="shared" si="1579"/>
        <v>0.36849948166668728</v>
      </c>
      <c r="J1411" s="1">
        <f t="shared" si="1579"/>
        <v>0.36027532180892169</v>
      </c>
      <c r="K1411" s="1">
        <f t="shared" si="1579"/>
        <v>0.3313228933644381</v>
      </c>
      <c r="L1411" s="1">
        <f t="shared" ref="L1411:O1411" si="1580">SUM(L1416:L1424)</f>
        <v>0.32254784930486013</v>
      </c>
      <c r="M1411" s="1">
        <f t="shared" si="1580"/>
        <v>0.30514543053603915</v>
      </c>
      <c r="N1411" s="1">
        <f t="shared" si="1580"/>
        <v>0.32248774422478799</v>
      </c>
      <c r="O1411" s="1">
        <f t="shared" si="1580"/>
        <v>0.34483055505280785</v>
      </c>
      <c r="P1411" s="1">
        <f>SUM(P1416:P1424)</f>
        <v>0.36693528070687548</v>
      </c>
      <c r="Q1411" s="1">
        <f>SUM(Q1416:Q1424)</f>
        <v>0.37400753939488479</v>
      </c>
      <c r="S1411" s="3"/>
    </row>
    <row r="1412" spans="2:19" x14ac:dyDescent="0.5">
      <c r="B1412" s="5" t="str">
        <f t="shared" si="1571"/>
        <v>SPS1</v>
      </c>
      <c r="C1412" s="5" t="str">
        <f t="shared" si="1572"/>
        <v>CH</v>
      </c>
      <c r="D1412" t="s">
        <v>1407</v>
      </c>
      <c r="E1412" t="s">
        <v>8</v>
      </c>
      <c r="F1412" s="1">
        <f>IF(F1411-F1413&lt;0,0,F1411-F1413)</f>
        <v>0.79319904977892586</v>
      </c>
      <c r="G1412" s="1">
        <f t="shared" ref="G1412:K1412" si="1581">IF(G1411-G1413&lt;0,0,G1411-G1413)</f>
        <v>0.82425593319679791</v>
      </c>
      <c r="H1412" s="1">
        <f t="shared" si="1581"/>
        <v>0.96825465382669218</v>
      </c>
      <c r="I1412" s="1">
        <f t="shared" si="1581"/>
        <v>0.35661216631727993</v>
      </c>
      <c r="J1412" s="1">
        <f t="shared" si="1581"/>
        <v>0.34757878277386689</v>
      </c>
      <c r="K1412" s="1">
        <f t="shared" si="1581"/>
        <v>0.31838490937333352</v>
      </c>
      <c r="L1412" s="1">
        <f t="shared" ref="L1412:O1412" si="1582">IF(L1411-L1413&lt;0,0,L1411-L1413)</f>
        <v>0.30981593210965302</v>
      </c>
      <c r="M1412" s="1">
        <f t="shared" si="1582"/>
        <v>0.29291444345959572</v>
      </c>
      <c r="N1412" s="1">
        <f t="shared" si="1582"/>
        <v>0.30943093750433004</v>
      </c>
      <c r="O1412" s="1">
        <f t="shared" si="1582"/>
        <v>0.32852688102670585</v>
      </c>
      <c r="P1412" s="1">
        <f>IF(P1411-P1413&lt;0,0,P1411-P1413)</f>
        <v>0.34588110582310327</v>
      </c>
      <c r="Q1412" s="1">
        <f>IF(Q1411-Q1413&lt;0,0,Q1411-Q1413)</f>
        <v>0.3512916597999583</v>
      </c>
      <c r="S1412" s="3"/>
    </row>
    <row r="1413" spans="2:19" x14ac:dyDescent="0.5">
      <c r="B1413" s="5" t="str">
        <f t="shared" si="1571"/>
        <v>SPS1</v>
      </c>
      <c r="C1413" s="5" t="str">
        <f t="shared" si="1572"/>
        <v>CH</v>
      </c>
      <c r="D1413" t="s">
        <v>1408</v>
      </c>
      <c r="E1413" t="s">
        <v>8</v>
      </c>
      <c r="F1413" s="1">
        <f>SUM(F1414:F1415)</f>
        <v>2.0185962760235463E-2</v>
      </c>
      <c r="G1413" s="1">
        <f t="shared" ref="G1413" si="1583">SUM(G1414:G1415)</f>
        <v>2.2162674882277515E-2</v>
      </c>
      <c r="H1413" s="1">
        <f t="shared" ref="H1413" si="1584">SUM(H1414:H1415)</f>
        <v>4.5479188267097452E-2</v>
      </c>
      <c r="I1413" s="1">
        <f t="shared" ref="I1413" si="1585">SUM(I1414:I1415)</f>
        <v>1.1887315349407335E-2</v>
      </c>
      <c r="J1413" s="1">
        <f t="shared" ref="J1413" si="1586">SUM(J1414:J1415)</f>
        <v>1.2696539035054796E-2</v>
      </c>
      <c r="K1413" s="1">
        <f t="shared" ref="K1413" si="1587">SUM(K1414:K1415)</f>
        <v>1.2937983991104591E-2</v>
      </c>
      <c r="L1413" s="1">
        <f t="shared" ref="L1413:O1413" si="1588">SUM(L1414:L1415)</f>
        <v>1.2731917195207103E-2</v>
      </c>
      <c r="M1413" s="1">
        <f t="shared" si="1588"/>
        <v>1.2230987076443434E-2</v>
      </c>
      <c r="N1413" s="1">
        <f t="shared" si="1588"/>
        <v>1.3056806720457947E-2</v>
      </c>
      <c r="O1413" s="1">
        <f t="shared" si="1588"/>
        <v>1.6303674026101979E-2</v>
      </c>
      <c r="P1413" s="1">
        <f>SUM(P1414:P1415)</f>
        <v>2.1054174883772207E-2</v>
      </c>
      <c r="Q1413" s="1">
        <f>SUM(Q1414:Q1415)</f>
        <v>2.2715879594926495E-2</v>
      </c>
      <c r="S1413" s="3"/>
    </row>
    <row r="1414" spans="2:19" x14ac:dyDescent="0.5">
      <c r="B1414" s="5" t="str">
        <f t="shared" si="1571"/>
        <v>SPS1</v>
      </c>
      <c r="C1414" s="5" t="str">
        <f t="shared" si="1572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2.0185962760235463E-2</v>
      </c>
      <c r="G1414" s="1">
        <f>[1]Transport!C$26/SUM([1]Transport!C$22,[1]Transport!C$26)*G1411*(G$34+G$582)/(G$34+G$582+G$38)</f>
        <v>2.2162674882277515E-2</v>
      </c>
      <c r="H1414" s="1">
        <f>[1]Transport!D$26/SUM([1]Transport!D$22,[1]Transport!D$26)*H1411*(H$34+H$582)/(H$34+H$582+H$38)</f>
        <v>4.5479188267097452E-2</v>
      </c>
      <c r="I1414" s="1">
        <f>[1]Transport!E$26/SUM([1]Transport!E$22,[1]Transport!E$26)*I1411*(I$34+I$582)/(I$34+I$582+I$38)</f>
        <v>1.1887315349407335E-2</v>
      </c>
      <c r="J1414" s="1">
        <f>[1]Transport!F$26/SUM([1]Transport!F$22,[1]Transport!F$26)*J1411*(J$34+J$582)/(J$34+J$582+J$38)</f>
        <v>1.2696539035054796E-2</v>
      </c>
      <c r="K1414" s="1">
        <f>[1]Transport!G$26/SUM([1]Transport!G$22,[1]Transport!G$26)*K1411*(K$34+K$582)/(K$34+K$582+K$38)</f>
        <v>1.2937983991104591E-2</v>
      </c>
      <c r="L1414" s="1">
        <f>[1]Transport!H$26/SUM([1]Transport!H$22,[1]Transport!H$26)*L1411*(L$34+L$582)/(L$34+L$582+L$38)</f>
        <v>1.2731917195207103E-2</v>
      </c>
      <c r="M1414" s="1">
        <f>[1]Transport!I$26/SUM([1]Transport!I$22,[1]Transport!I$26)*M1411*(M$34+M$582)/(M$34+M$582+M$38)</f>
        <v>1.2230987076443434E-2</v>
      </c>
      <c r="N1414" s="1">
        <f>[1]Transport!J$26/SUM([1]Transport!J$22,[1]Transport!J$26)*N1411*(N$34+N$582)/(N$34+N$582+N$38)</f>
        <v>1.3056806720457947E-2</v>
      </c>
      <c r="O1414" s="1">
        <f>[1]Transport!K$26/SUM([1]Transport!K$22,[1]Transport!K$26)*O1411*(O$34+O$582)/(O$34+O$582+O$38)</f>
        <v>1.6303674026101979E-2</v>
      </c>
      <c r="P1414" s="1">
        <f>[1]Transport!L$26/SUM([1]Transport!L$22,[1]Transport!L$26)*P1411*(P$34+P$582)/(P$34+P$582+P$38)</f>
        <v>2.1054174883772207E-2</v>
      </c>
      <c r="Q1414" s="1">
        <f>[1]Transport!M$26/SUM([1]Transport!M$22,[1]Transport!M$26)*Q1411*(Q$34+Q$582)/(Q$34+Q$582+Q$38)</f>
        <v>2.2715879594926495E-2</v>
      </c>
      <c r="S1414" s="3"/>
    </row>
    <row r="1415" spans="2:19" x14ac:dyDescent="0.5">
      <c r="B1415" s="5" t="str">
        <f t="shared" si="1571"/>
        <v>SPS1</v>
      </c>
      <c r="C1415" s="5" t="str">
        <f t="shared" si="1572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(J$38+J$718)/([1]Transport!F$22+[1]Transport!F$26)*J1411</f>
        <v>0</v>
      </c>
      <c r="K1415" s="1">
        <f>(K$38+K$718)/([1]Transport!G$22+[1]Transport!G$26)*K1411</f>
        <v>0</v>
      </c>
      <c r="L1415" s="1">
        <f>(L$38+L$718)/([1]Transport!H$22+[1]Transport!H$26)*L1411</f>
        <v>0</v>
      </c>
      <c r="M1415" s="1">
        <f>(M$38+M$718)/([1]Transport!I$22+[1]Transport!I$26)*M1411</f>
        <v>0</v>
      </c>
      <c r="N1415" s="1">
        <f>(N$38+N$718)/([1]Transport!J$22+[1]Transport!J$26)*N1411</f>
        <v>0</v>
      </c>
      <c r="O1415" s="1">
        <f>(O$38+O$718)/([1]Transport!K$22+[1]Transport!K$26)*O1411</f>
        <v>0</v>
      </c>
      <c r="P1415" s="1">
        <f>(P$38+P$718)/([1]Transport!L$22+[1]Transport!L$26)*P1411</f>
        <v>0</v>
      </c>
      <c r="Q1415" s="1">
        <f>(Q$38+Q$718)/([1]Transport!M$22+[1]Transport!M$26)*Q1411</f>
        <v>0</v>
      </c>
      <c r="S1415" s="3"/>
    </row>
    <row r="1416" spans="2:19" x14ac:dyDescent="0.5">
      <c r="B1416" s="5" t="str">
        <f t="shared" si="1571"/>
        <v>SPS1</v>
      </c>
      <c r="C1416" s="5" t="str">
        <f t="shared" si="1572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1.5391170825164481E-3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1.9383415396717239E-3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9.8626352872477948E-4</v>
      </c>
      <c r="J1416" s="1" cm="1">
        <f t="array" ref="J1416">SUMPRODUCT(("T_B_c-HYBDSL-S1"=[1]OUT_TransportEnergyCons!$A$3:$A$1000)*1,("Var_Fin"=[1]OUT_TransportEnergyCons!$B$3:$B$1000)*1,ISNUMBER(SEARCH("DSL",[1]OUT_TransportEnergyCons!$C$3:$C$1000))*1,[1]OUT_TransportEnergyCons!H$3:H$1000)</f>
        <v>5.9463941215717455E-3</v>
      </c>
      <c r="K1416" s="1" cm="1">
        <f t="array" ref="K1416">SUMPRODUCT(("T_B_c-HYBDSL-S1"=[1]OUT_TransportEnergyCons!$A$3:$A$1000)*1,("Var_Fin"=[1]OUT_TransportEnergyCons!$B$3:$B$1000)*1,ISNUMBER(SEARCH("DSL",[1]OUT_TransportEnergyCons!$C$3:$C$1000))*1,[1]OUT_TransportEnergyCons!I$3:I$1000)</f>
        <v>7.0056218601483736E-3</v>
      </c>
      <c r="L1416" s="1" cm="1">
        <f t="array" ref="L1416">SUMPRODUCT(("T_B_c-HYBDSL-S1"=[1]OUT_TransportEnergyCons!$A$3:$A$1000)*1,("Var_Fin"=[1]OUT_TransportEnergyCons!$B$3:$B$1000)*1,ISNUMBER(SEARCH("DSL",[1]OUT_TransportEnergyCons!$C$3:$C$1000))*1,[1]OUT_TransportEnergyCons!J$3:J$1000)</f>
        <v>1.0013974564970022E-2</v>
      </c>
      <c r="M1416" s="1" cm="1">
        <f t="array" ref="M1416">SUMPRODUCT(("T_B_c-HYBDSL-S1"=[1]OUT_TransportEnergyCons!$A$3:$A$1000)*1,("Var_Fin"=[1]OUT_TransportEnergyCons!$B$3:$B$1000)*1,ISNUMBER(SEARCH("DSL",[1]OUT_TransportEnergyCons!$C$3:$C$1000))*1,[1]OUT_TransportEnergyCons!K$3:K$1000)</f>
        <v>1.4888788844597248E-2</v>
      </c>
      <c r="N1416" s="1" cm="1">
        <f t="array" ref="N1416">SUMPRODUCT(("T_B_c-HYBDSL-S1"=[1]OUT_TransportEnergyCons!$A$3:$A$1000)*1,("Var_Fin"=[1]OUT_TransportEnergyCons!$B$3:$B$1000)*1,ISNUMBER(SEARCH("DSL",[1]OUT_TransportEnergyCons!$C$3:$C$1000))*1,[1]OUT_TransportEnergyCons!L$3:L$1000)</f>
        <v>2.1546995771726352E-2</v>
      </c>
      <c r="O1416" s="1" cm="1">
        <f t="array" ref="O1416">SUMPRODUCT(("T_B_c-HYBDSL-S1"=[1]OUT_TransportEnergyCons!$A$3:$A$1000)*1,("Var_Fin"=[1]OUT_TransportEnergyCons!$B$3:$B$1000)*1,ISNUMBER(SEARCH("DSL",[1]OUT_TransportEnergyCons!$C$3:$C$1000))*1,[1]OUT_TransportEnergyCons!M$3:M$1000)</f>
        <v>3.2547249853579832E-2</v>
      </c>
      <c r="P1416" s="1" cm="1">
        <f t="array" ref="P1416">SUMPRODUCT(("T_B_c-HYBDSL-S1"=[1]OUT_TransportEnergyCons!$A$3:$A$1000)*1,("Var_Fin"=[1]OUT_TransportEnergyCons!$B$3:$B$1000)*1,ISNUMBER(SEARCH("DSL",[1]OUT_TransportEnergyCons!$C$3:$C$1000))*1,[1]OUT_TransportEnergyCons!N$3:N$1000)</f>
        <v>3.3670503650741049E-2</v>
      </c>
      <c r="Q1416" s="1" cm="1">
        <f t="array" ref="Q1416">SUMPRODUCT(("T_B_c-HYBDSL-S1"=[1]OUT_TransportEnergyCons!$A$3:$A$1000)*1,("Var_Fin"=[1]OUT_TransportEnergyCons!$B$3:$B$1000)*1,ISNUMBER(SEARCH("DSL",[1]OUT_TransportEnergyCons!$C$3:$C$1000))*1,[1]OUT_TransportEnergyCons!O$3:O$1000)</f>
        <v>5.3269742672333781E-2</v>
      </c>
      <c r="S1416" s="3"/>
    </row>
    <row r="1417" spans="2:19" x14ac:dyDescent="0.5">
      <c r="B1417" s="5" t="str">
        <f t="shared" si="1571"/>
        <v>SPS1</v>
      </c>
      <c r="C1417" s="5" t="str">
        <f t="shared" si="1572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4.0541429268564101E-4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5.6688238477825198E-2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0.23046669885388579</v>
      </c>
      <c r="J1417" s="1" cm="1">
        <f t="array" ref="J1417">SUMPRODUCT(("T_B_c-HYBDSL-S2"=[1]OUT_TransportEnergyCons!$A$3:$A$1000)*1,("Var_Fin"=[1]OUT_TransportEnergyCons!$B$3:$B$1000)*1,ISNUMBER(SEARCH("DSL",[1]OUT_TransportEnergyCons!$C$3:$C$1000))*1,[1]OUT_TransportEnergyCons!H$3:H$1000)</f>
        <v>0.22093208399562181</v>
      </c>
      <c r="K1417" s="1" cm="1">
        <f t="array" ref="K1417">SUMPRODUCT(("T_B_c-HYBDSL-S2"=[1]OUT_TransportEnergyCons!$A$3:$A$1000)*1,("Var_Fin"=[1]OUT_TransportEnergyCons!$B$3:$B$1000)*1,ISNUMBER(SEARCH("DSL",[1]OUT_TransportEnergyCons!$C$3:$C$1000))*1,[1]OUT_TransportEnergyCons!I$3:I$1000)</f>
        <v>0.20288768551762951</v>
      </c>
      <c r="L1417" s="1" cm="1">
        <f t="array" ref="L1417">SUMPRODUCT(("T_B_c-HYBDSL-S2"=[1]OUT_TransportEnergyCons!$A$3:$A$1000)*1,("Var_Fin"=[1]OUT_TransportEnergyCons!$B$3:$B$1000)*1,ISNUMBER(SEARCH("DSL",[1]OUT_TransportEnergyCons!$C$3:$C$1000))*1,[1]OUT_TransportEnergyCons!J$3:J$1000)</f>
        <v>0.19593673235492257</v>
      </c>
      <c r="M1417" s="1" cm="1">
        <f t="array" ref="M1417">SUMPRODUCT(("T_B_c-HYBDSL-S2"=[1]OUT_TransportEnergyCons!$A$3:$A$1000)*1,("Var_Fin"=[1]OUT_TransportEnergyCons!$B$3:$B$1000)*1,ISNUMBER(SEARCH("DSL",[1]OUT_TransportEnergyCons!$C$3:$C$1000))*1,[1]OUT_TransportEnergyCons!K$3:K$1000)</f>
        <v>0.18354056190439352</v>
      </c>
      <c r="N1417" s="1" cm="1">
        <f t="array" ref="N1417">SUMPRODUCT(("T_B_c-HYBDSL-S2"=[1]OUT_TransportEnergyCons!$A$3:$A$1000)*1,("Var_Fin"=[1]OUT_TransportEnergyCons!$B$3:$B$1000)*1,ISNUMBER(SEARCH("DSL",[1]OUT_TransportEnergyCons!$C$3:$C$1000))*1,[1]OUT_TransportEnergyCons!L$3:L$1000)</f>
        <v>0.19362477728929231</v>
      </c>
      <c r="O1417" s="1" cm="1">
        <f t="array" ref="O1417">SUMPRODUCT(("T_B_c-HYBDSL-S2"=[1]OUT_TransportEnergyCons!$A$3:$A$1000)*1,("Var_Fin"=[1]OUT_TransportEnergyCons!$B$3:$B$1000)*1,ISNUMBER(SEARCH("DSL",[1]OUT_TransportEnergyCons!$C$3:$C$1000))*1,[1]OUT_TransportEnergyCons!M$3:M$1000)</f>
        <v>0.20628089590300938</v>
      </c>
      <c r="P1417" s="1" cm="1">
        <f t="array" ref="P1417">SUMPRODUCT(("T_B_c-HYBDSL-S2"=[1]OUT_TransportEnergyCons!$A$3:$A$1000)*1,("Var_Fin"=[1]OUT_TransportEnergyCons!$B$3:$B$1000)*1,ISNUMBER(SEARCH("DSL",[1]OUT_TransportEnergyCons!$C$3:$C$1000))*1,[1]OUT_TransportEnergyCons!N$3:N$1000)</f>
        <v>0.23359087357062602</v>
      </c>
      <c r="Q1417" s="1" cm="1">
        <f t="array" ref="Q1417">SUMPRODUCT(("T_B_c-HYBDSL-S2"=[1]OUT_TransportEnergyCons!$A$3:$A$1000)*1,("Var_Fin"=[1]OUT_TransportEnergyCons!$B$3:$B$1000)*1,ISNUMBER(SEARCH("DSL",[1]OUT_TransportEnergyCons!$C$3:$C$1000))*1,[1]OUT_TransportEnergyCons!O$3:O$1000)</f>
        <v>0.24948594184878209</v>
      </c>
      <c r="S1417" s="3"/>
    </row>
    <row r="1418" spans="2:19" x14ac:dyDescent="0.5">
      <c r="B1418" s="5" t="str">
        <f t="shared" si="1571"/>
        <v>SPS1</v>
      </c>
      <c r="C1418" s="5" t="str">
        <f t="shared" si="1572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2.6643117229157887E-4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3.6223526489396018E-3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0.13698383946734052</v>
      </c>
      <c r="J1418" s="1" cm="1">
        <f t="array" ref="J1418">SUMPRODUCT(("T_B_c-HYBDSL-S3"=[1]OUT_TransportEnergyCons!$A$3:$A$1000)*1,("Var_Fin"=[1]OUT_TransportEnergyCons!$B$3:$B$1000)*1,ISNUMBER(SEARCH("DSL",[1]OUT_TransportEnergyCons!$C$3:$C$1000))*1,[1]OUT_TransportEnergyCons!H$3:H$1000)</f>
        <v>0.13333753911277019</v>
      </c>
      <c r="K1418" s="1" cm="1">
        <f t="array" ref="K1418">SUMPRODUCT(("T_B_c-HYBDSL-S3"=[1]OUT_TransportEnergyCons!$A$3:$A$1000)*1,("Var_Fin"=[1]OUT_TransportEnergyCons!$B$3:$B$1000)*1,ISNUMBER(SEARCH("DSL",[1]OUT_TransportEnergyCons!$C$3:$C$1000))*1,[1]OUT_TransportEnergyCons!I$3:I$1000)</f>
        <v>0.1213266362579309</v>
      </c>
      <c r="L1418" s="1" cm="1">
        <f t="array" ref="L1418">SUMPRODUCT(("T_B_c-HYBDSL-S3"=[1]OUT_TransportEnergyCons!$A$3:$A$1000)*1,("Var_Fin"=[1]OUT_TransportEnergyCons!$B$3:$B$1000)*1,ISNUMBER(SEARCH("DSL",[1]OUT_TransportEnergyCons!$C$3:$C$1000))*1,[1]OUT_TransportEnergyCons!J$3:J$1000)</f>
        <v>0.11650680655342251</v>
      </c>
      <c r="M1418" s="1" cm="1">
        <f t="array" ref="M1418">SUMPRODUCT(("T_B_c-HYBDSL-S3"=[1]OUT_TransportEnergyCons!$A$3:$A$1000)*1,("Var_Fin"=[1]OUT_TransportEnergyCons!$B$3:$B$1000)*1,ISNUMBER(SEARCH("DSL",[1]OUT_TransportEnergyCons!$C$3:$C$1000))*1,[1]OUT_TransportEnergyCons!K$3:K$1000)</f>
        <v>0.10659026181633015</v>
      </c>
      <c r="N1418" s="1" cm="1">
        <f t="array" ref="N1418">SUMPRODUCT(("T_B_c-HYBDSL-S3"=[1]OUT_TransportEnergyCons!$A$3:$A$1000)*1,("Var_Fin"=[1]OUT_TransportEnergyCons!$B$3:$B$1000)*1,ISNUMBER(SEARCH("DSL",[1]OUT_TransportEnergyCons!$C$3:$C$1000))*1,[1]OUT_TransportEnergyCons!L$3:L$1000)</f>
        <v>0.10717884945626034</v>
      </c>
      <c r="O1418" s="1" cm="1">
        <f t="array" ref="O1418">SUMPRODUCT(("T_B_c-HYBDSL-S3"=[1]OUT_TransportEnergyCons!$A$3:$A$1000)*1,("Var_Fin"=[1]OUT_TransportEnergyCons!$B$3:$B$1000)*1,ISNUMBER(SEARCH("DSL",[1]OUT_TransportEnergyCons!$C$3:$C$1000))*1,[1]OUT_TransportEnergyCons!M$3:M$1000)</f>
        <v>0.10588112191279569</v>
      </c>
      <c r="P1418" s="1" cm="1">
        <f t="array" ref="P1418">SUMPRODUCT(("T_B_c-HYBDSL-S3"=[1]OUT_TransportEnergyCons!$A$3:$A$1000)*1,("Var_Fin"=[1]OUT_TransportEnergyCons!$B$3:$B$1000)*1,ISNUMBER(SEARCH("DSL",[1]OUT_TransportEnergyCons!$C$3:$C$1000))*1,[1]OUT_TransportEnergyCons!N$3:N$1000)</f>
        <v>9.9486780365983712E-2</v>
      </c>
      <c r="Q1418" s="1" cm="1">
        <f t="array" ref="Q1418">SUMPRODUCT(("T_B_c-HYBDSL-S3"=[1]OUT_TransportEnergyCons!$A$3:$A$1000)*1,("Var_Fin"=[1]OUT_TransportEnergyCons!$B$3:$B$1000)*1,ISNUMBER(SEARCH("DSL",[1]OUT_TransportEnergyCons!$C$3:$C$1000))*1,[1]OUT_TransportEnergyCons!O$3:O$1000)</f>
        <v>7.1016766892998712E-2</v>
      </c>
      <c r="S1418" s="3"/>
    </row>
    <row r="1419" spans="2:19" x14ac:dyDescent="0.5">
      <c r="B1419" s="5" t="str">
        <f t="shared" si="1571"/>
        <v>SPS1</v>
      </c>
      <c r="C1419" s="5" t="str">
        <f t="shared" si="1572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4.4975749623143604E-5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8.1052142223543363E-5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6.2679816736167793E-5</v>
      </c>
      <c r="J1419" s="1" cm="1">
        <f t="array" ref="J1419">SUMPRODUCT(("T_B_c-HYBDSL-S4"=[1]OUT_TransportEnergyCons!$A$3:$A$1000)*1,("Var_Fin"=[1]OUT_TransportEnergyCons!$B$3:$B$1000)*1,ISNUMBER(SEARCH("DSL",[1]OUT_TransportEnergyCons!$C$3:$C$1000))*1,[1]OUT_TransportEnergyCons!H$3:H$1000)</f>
        <v>5.9304578957940962E-5</v>
      </c>
      <c r="K1419" s="1" cm="1">
        <f t="array" ref="K1419">SUMPRODUCT(("T_B_c-HYBDSL-S4"=[1]OUT_TransportEnergyCons!$A$3:$A$1000)*1,("Var_Fin"=[1]OUT_TransportEnergyCons!$B$3:$B$1000)*1,ISNUMBER(SEARCH("DSL",[1]OUT_TransportEnergyCons!$C$3:$C$1000))*1,[1]OUT_TransportEnergyCons!I$3:I$1000)</f>
        <v>1.0294972872929581E-4</v>
      </c>
      <c r="L1419" s="1" cm="1">
        <f t="array" ref="L1419">SUMPRODUCT(("T_B_c-HYBDSL-S4"=[1]OUT_TransportEnergyCons!$A$3:$A$1000)*1,("Var_Fin"=[1]OUT_TransportEnergyCons!$B$3:$B$1000)*1,ISNUMBER(SEARCH("DSL",[1]OUT_TransportEnergyCons!$C$3:$C$1000))*1,[1]OUT_TransportEnergyCons!J$3:J$1000)</f>
        <v>9.0335831545026746E-5</v>
      </c>
      <c r="M1419" s="1" cm="1">
        <f t="array" ref="M1419">SUMPRODUCT(("T_B_c-HYBDSL-S4"=[1]OUT_TransportEnergyCons!$A$3:$A$1000)*1,("Var_Fin"=[1]OUT_TransportEnergyCons!$B$3:$B$1000)*1,ISNUMBER(SEARCH("DSL",[1]OUT_TransportEnergyCons!$C$3:$C$1000))*1,[1]OUT_TransportEnergyCons!K$3:K$1000)</f>
        <v>1.2581797071825983E-4</v>
      </c>
      <c r="N1419" s="1" cm="1">
        <f t="array" ref="N1419">SUMPRODUCT(("T_B_c-HYBDSL-S4"=[1]OUT_TransportEnergyCons!$A$3:$A$1000)*1,("Var_Fin"=[1]OUT_TransportEnergyCons!$B$3:$B$1000)*1,ISNUMBER(SEARCH("DSL",[1]OUT_TransportEnergyCons!$C$3:$C$1000))*1,[1]OUT_TransportEnergyCons!L$3:L$1000)</f>
        <v>1.3712170750898378E-4</v>
      </c>
      <c r="O1419" s="1" cm="1">
        <f t="array" ref="O1419">SUMPRODUCT(("T_B_c-HYBDSL-S4"=[1]OUT_TransportEnergyCons!$A$3:$A$1000)*1,("Var_Fin"=[1]OUT_TransportEnergyCons!$B$3:$B$1000)*1,ISNUMBER(SEARCH("DSL",[1]OUT_TransportEnergyCons!$C$3:$C$1000))*1,[1]OUT_TransportEnergyCons!M$3:M$1000)</f>
        <v>1.2128738342292497E-4</v>
      </c>
      <c r="P1419" s="1" cm="1">
        <f t="array" ref="P1419">SUMPRODUCT(("T_B_c-HYBDSL-S4"=[1]OUT_TransportEnergyCons!$A$3:$A$1000)*1,("Var_Fin"=[1]OUT_TransportEnergyCons!$B$3:$B$1000)*1,ISNUMBER(SEARCH("DSL",[1]OUT_TransportEnergyCons!$C$3:$C$1000))*1,[1]OUT_TransportEnergyCons!N$3:N$1000)</f>
        <v>1.8712311952466472E-4</v>
      </c>
      <c r="Q1419" s="1" cm="1">
        <f t="array" ref="Q1419">SUMPRODUCT(("T_B_c-HYBDSL-S4"=[1]OUT_TransportEnergyCons!$A$3:$A$1000)*1,("Var_Fin"=[1]OUT_TransportEnergyCons!$B$3:$B$1000)*1,ISNUMBER(SEARCH("DSL",[1]OUT_TransportEnergyCons!$C$3:$C$1000))*1,[1]OUT_TransportEnergyCons!O$3:O$1000)</f>
        <v>2.3508798077017838E-4</v>
      </c>
      <c r="S1419" s="3"/>
    </row>
    <row r="1420" spans="2:19" x14ac:dyDescent="0.5">
      <c r="B1420" s="5" t="str">
        <f t="shared" si="1571"/>
        <v>SPS1</v>
      </c>
      <c r="C1420" s="5" t="str">
        <f t="shared" si="1572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6.0285532102299141E-3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6.0135362872492781E-3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5.9699111235096787E-3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SUMPRODUCT(("T_B_c-ICEDSLEXT"=[1]OUT_TransportEnergyCons!$A$3:$A$1000)*1,("Var_Fin"=[1]OUT_TransportEnergyCons!$B$3:$B$1000)*1,ISNUMBER(SEARCH("DSL",[1]OUT_TransportEnergyCons!$C$3:$C$1000))*1,[1]OUT_TransportEnergyCons!H$3:H$1000)</f>
        <v>0</v>
      </c>
      <c r="K1420" s="1" cm="1">
        <f t="array" ref="K1420">SUMPRODUCT(("T_B_c-ICEDSLEXT"=[1]OUT_TransportEnergyCons!$A$3:$A$1000)*1,("Var_Fin"=[1]OUT_TransportEnergyCons!$B$3:$B$1000)*1,ISNUMBER(SEARCH("DSL",[1]OUT_TransportEnergyCons!$C$3:$C$1000))*1,[1]OUT_TransportEnergyCons!I$3:I$1000)</f>
        <v>0</v>
      </c>
      <c r="L1420" s="1" cm="1">
        <f t="array" ref="L1420">SUMPRODUCT(("T_B_c-ICEDSLEXT"=[1]OUT_TransportEnergyCons!$A$3:$A$1000)*1,("Var_Fin"=[1]OUT_TransportEnergyCons!$B$3:$B$1000)*1,ISNUMBER(SEARCH("DSL",[1]OUT_TransportEnergyCons!$C$3:$C$1000))*1,[1]OUT_TransportEnergyCons!J$3:J$1000)</f>
        <v>0</v>
      </c>
      <c r="M1420" s="1" cm="1">
        <f t="array" ref="M1420">SUMPRODUCT(("T_B_c-ICEDSLEXT"=[1]OUT_TransportEnergyCons!$A$3:$A$1000)*1,("Var_Fin"=[1]OUT_TransportEnergyCons!$B$3:$B$1000)*1,ISNUMBER(SEARCH("DSL",[1]OUT_TransportEnergyCons!$C$3:$C$1000))*1,[1]OUT_TransportEnergyCons!K$3:K$1000)</f>
        <v>0</v>
      </c>
      <c r="N1420" s="1" cm="1">
        <f t="array" ref="N1420">SUMPRODUCT(("T_B_c-ICEDSLEXT"=[1]OUT_TransportEnergyCons!$A$3:$A$1000)*1,("Var_Fin"=[1]OUT_TransportEnergyCons!$B$3:$B$1000)*1,ISNUMBER(SEARCH("DSL",[1]OUT_TransportEnergyCons!$C$3:$C$1000))*1,[1]OUT_TransportEnergyCons!L$3:L$1000)</f>
        <v>0</v>
      </c>
      <c r="O1420" s="1" cm="1">
        <f t="array" ref="O1420">SUMPRODUCT(("T_B_c-ICEDSLEXT"=[1]OUT_TransportEnergyCons!$A$3:$A$1000)*1,("Var_Fin"=[1]OUT_TransportEnergyCons!$B$3:$B$1000)*1,ISNUMBER(SEARCH("DSL",[1]OUT_TransportEnergyCons!$C$3:$C$1000))*1,[1]OUT_TransportEnergyCons!M$3:M$1000)</f>
        <v>0</v>
      </c>
      <c r="P1420" s="1" cm="1">
        <f t="array" ref="P1420">SUMPRODUCT(("T_B_c-ICEDSLEXT"=[1]OUT_TransportEnergyCons!$A$3:$A$1000)*1,("Var_Fin"=[1]OUT_TransportEnergyCons!$B$3:$B$1000)*1,ISNUMBER(SEARCH("DSL",[1]OUT_TransportEnergyCons!$C$3:$C$1000))*1,[1]OUT_TransportEnergyCons!N$3:N$1000)</f>
        <v>0</v>
      </c>
      <c r="Q1420" s="1" cm="1">
        <f t="array" ref="Q1420">SUMPRODUCT(("T_B_c-ICEDSLEXT"=[1]OUT_TransportEnergyCons!$A$3:$A$1000)*1,("Var_Fin"=[1]OUT_TransportEnergyCons!$B$3:$B$1000)*1,ISNUMBER(SEARCH("DSL",[1]OUT_TransportEnergyCons!$C$3:$C$1000))*1,[1]OUT_TransportEnergyCons!O$3:O$1000)</f>
        <v>0</v>
      </c>
      <c r="S1420" s="3"/>
    </row>
    <row r="1421" spans="2:19" x14ac:dyDescent="0.5">
      <c r="B1421" s="5" t="str">
        <f t="shared" si="1571"/>
        <v>SPS1</v>
      </c>
      <c r="C1421" s="5" t="str">
        <f t="shared" si="1572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0.11338611368815898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0.31044493246472893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0.37763688297726528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SUMPRODUCT(("T_B_c-ICEDSL-S1"=[1]OUT_TransportEnergyCons!$A$3:$A$1000)*1,("Var_Fin"=[1]OUT_TransportEnergyCons!$B$3:$B$1000)*1,ISNUMBER(SEARCH("DSL",[1]OUT_TransportEnergyCons!$C$3:$C$1000))*1,[1]OUT_TransportEnergyCons!H$3:H$1000)</f>
        <v>0</v>
      </c>
      <c r="K1421" s="1" cm="1">
        <f t="array" ref="K1421">SUMPRODUCT(("T_B_c-ICEDSL-S1"=[1]OUT_TransportEnergyCons!$A$3:$A$1000)*1,("Var_Fin"=[1]OUT_TransportEnergyCons!$B$3:$B$1000)*1,ISNUMBER(SEARCH("DSL",[1]OUT_TransportEnergyCons!$C$3:$C$1000))*1,[1]OUT_TransportEnergyCons!I$3:I$1000)</f>
        <v>0</v>
      </c>
      <c r="L1421" s="1" cm="1">
        <f t="array" ref="L1421">SUMPRODUCT(("T_B_c-ICEDSL-S1"=[1]OUT_TransportEnergyCons!$A$3:$A$1000)*1,("Var_Fin"=[1]OUT_TransportEnergyCons!$B$3:$B$1000)*1,ISNUMBER(SEARCH("DSL",[1]OUT_TransportEnergyCons!$C$3:$C$1000))*1,[1]OUT_TransportEnergyCons!J$3:J$1000)</f>
        <v>0</v>
      </c>
      <c r="M1421" s="1" cm="1">
        <f t="array" ref="M1421">SUMPRODUCT(("T_B_c-ICEDSL-S1"=[1]OUT_TransportEnergyCons!$A$3:$A$1000)*1,("Var_Fin"=[1]OUT_TransportEnergyCons!$B$3:$B$1000)*1,ISNUMBER(SEARCH("DSL",[1]OUT_TransportEnergyCons!$C$3:$C$1000))*1,[1]OUT_TransportEnergyCons!K$3:K$1000)</f>
        <v>0</v>
      </c>
      <c r="N1421" s="1" cm="1">
        <f t="array" ref="N1421">SUMPRODUCT(("T_B_c-ICEDSL-S1"=[1]OUT_TransportEnergyCons!$A$3:$A$1000)*1,("Var_Fin"=[1]OUT_TransportEnergyCons!$B$3:$B$1000)*1,ISNUMBER(SEARCH("DSL",[1]OUT_TransportEnergyCons!$C$3:$C$1000))*1,[1]OUT_TransportEnergyCons!L$3:L$1000)</f>
        <v>0</v>
      </c>
      <c r="O1421" s="1" cm="1">
        <f t="array" ref="O1421">SUMPRODUCT(("T_B_c-ICEDSL-S1"=[1]OUT_TransportEnergyCons!$A$3:$A$1000)*1,("Var_Fin"=[1]OUT_TransportEnergyCons!$B$3:$B$1000)*1,ISNUMBER(SEARCH("DSL",[1]OUT_TransportEnergyCons!$C$3:$C$1000))*1,[1]OUT_TransportEnergyCons!M$3:M$1000)</f>
        <v>0</v>
      </c>
      <c r="P1421" s="1" cm="1">
        <f t="array" ref="P1421">SUMPRODUCT(("T_B_c-ICEDSL-S1"=[1]OUT_TransportEnergyCons!$A$3:$A$1000)*1,("Var_Fin"=[1]OUT_TransportEnergyCons!$B$3:$B$1000)*1,ISNUMBER(SEARCH("DSL",[1]OUT_TransportEnergyCons!$C$3:$C$1000))*1,[1]OUT_TransportEnergyCons!N$3:N$1000)</f>
        <v>0</v>
      </c>
      <c r="Q1421" s="1" cm="1">
        <f t="array" ref="Q1421">SUMPRODUCT(("T_B_c-ICEDSL-S1"=[1]OUT_TransportEnergyCons!$A$3:$A$1000)*1,("Var_Fin"=[1]OUT_TransportEnergyCons!$B$3:$B$1000)*1,ISNUMBER(SEARCH("DSL",[1]OUT_TransportEnergyCons!$C$3:$C$1000))*1,[1]OUT_TransportEnergyCons!O$3:O$1000)</f>
        <v>0</v>
      </c>
      <c r="S1421" s="3"/>
    </row>
    <row r="1422" spans="2:19" x14ac:dyDescent="0.5">
      <c r="B1422" s="5" t="str">
        <f t="shared" si="1571"/>
        <v>SPS1</v>
      </c>
      <c r="C1422" s="5" t="str">
        <f t="shared" si="1572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0.51935131748532493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0.39944276440216636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0.41427126375074386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SUMPRODUCT(("T_B_c-ICEDSL-S2"=[1]OUT_TransportEnergyCons!$A$3:$A$1000)*1,("Var_Fin"=[1]OUT_TransportEnergyCons!$B$3:$B$1000)*1,ISNUMBER(SEARCH("DSL",[1]OUT_TransportEnergyCons!$C$3:$C$1000))*1,[1]OUT_TransportEnergyCons!H$3:H$1000)</f>
        <v>0</v>
      </c>
      <c r="K1422" s="1" cm="1">
        <f t="array" ref="K1422">SUMPRODUCT(("T_B_c-ICEDSL-S2"=[1]OUT_TransportEnergyCons!$A$3:$A$1000)*1,("Var_Fin"=[1]OUT_TransportEnergyCons!$B$3:$B$1000)*1,ISNUMBER(SEARCH("DSL",[1]OUT_TransportEnergyCons!$C$3:$C$1000))*1,[1]OUT_TransportEnergyCons!I$3:I$1000)</f>
        <v>0</v>
      </c>
      <c r="L1422" s="1" cm="1">
        <f t="array" ref="L1422">SUMPRODUCT(("T_B_c-ICEDSL-S2"=[1]OUT_TransportEnergyCons!$A$3:$A$1000)*1,("Var_Fin"=[1]OUT_TransportEnergyCons!$B$3:$B$1000)*1,ISNUMBER(SEARCH("DSL",[1]OUT_TransportEnergyCons!$C$3:$C$1000))*1,[1]OUT_TransportEnergyCons!J$3:J$1000)</f>
        <v>0</v>
      </c>
      <c r="M1422" s="1" cm="1">
        <f t="array" ref="M1422">SUMPRODUCT(("T_B_c-ICEDSL-S2"=[1]OUT_TransportEnergyCons!$A$3:$A$1000)*1,("Var_Fin"=[1]OUT_TransportEnergyCons!$B$3:$B$1000)*1,ISNUMBER(SEARCH("DSL",[1]OUT_TransportEnergyCons!$C$3:$C$1000))*1,[1]OUT_TransportEnergyCons!K$3:K$1000)</f>
        <v>0</v>
      </c>
      <c r="N1422" s="1" cm="1">
        <f t="array" ref="N1422">SUMPRODUCT(("T_B_c-ICEDSL-S2"=[1]OUT_TransportEnergyCons!$A$3:$A$1000)*1,("Var_Fin"=[1]OUT_TransportEnergyCons!$B$3:$B$1000)*1,ISNUMBER(SEARCH("DSL",[1]OUT_TransportEnergyCons!$C$3:$C$1000))*1,[1]OUT_TransportEnergyCons!L$3:L$1000)</f>
        <v>0</v>
      </c>
      <c r="O1422" s="1" cm="1">
        <f t="array" ref="O1422">SUMPRODUCT(("T_B_c-ICEDSL-S2"=[1]OUT_TransportEnergyCons!$A$3:$A$1000)*1,("Var_Fin"=[1]OUT_TransportEnergyCons!$B$3:$B$1000)*1,ISNUMBER(SEARCH("DSL",[1]OUT_TransportEnergyCons!$C$3:$C$1000))*1,[1]OUT_TransportEnergyCons!M$3:M$1000)</f>
        <v>0</v>
      </c>
      <c r="P1422" s="1" cm="1">
        <f t="array" ref="P1422">SUMPRODUCT(("T_B_c-ICEDSL-S2"=[1]OUT_TransportEnergyCons!$A$3:$A$1000)*1,("Var_Fin"=[1]OUT_TransportEnergyCons!$B$3:$B$1000)*1,ISNUMBER(SEARCH("DSL",[1]OUT_TransportEnergyCons!$C$3:$C$1000))*1,[1]OUT_TransportEnergyCons!N$3:N$1000)</f>
        <v>0</v>
      </c>
      <c r="Q1422" s="1" cm="1">
        <f t="array" ref="Q1422">SUMPRODUCT(("T_B_c-ICEDSL-S2"=[1]OUT_TransportEnergyCons!$A$3:$A$1000)*1,("Var_Fin"=[1]OUT_TransportEnergyCons!$B$3:$B$1000)*1,ISNUMBER(SEARCH("DSL",[1]OUT_TransportEnergyCons!$C$3:$C$1000))*1,[1]OUT_TransportEnergyCons!O$3:O$1000)</f>
        <v>0</v>
      </c>
      <c r="S1422" s="3"/>
    </row>
    <row r="1423" spans="2:19" x14ac:dyDescent="0.5">
      <c r="B1423" s="5" t="str">
        <f t="shared" si="1571"/>
        <v>SPS1</v>
      </c>
      <c r="C1423" s="5" t="str">
        <f t="shared" si="1572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0.1602757289167418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0.12789926380506131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0.15309576489633842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SUMPRODUCT(("T_B_c-ICEDSL-S3"=[1]OUT_TransportEnergyCons!$A$3:$A$1000)*1,("Var_Fin"=[1]OUT_TransportEnergyCons!$B$3:$B$1000)*1,ISNUMBER(SEARCH("DSL",[1]OUT_TransportEnergyCons!$C$3:$C$1000))*1,[1]OUT_TransportEnergyCons!H$3:H$1000)</f>
        <v>0</v>
      </c>
      <c r="K1423" s="1" cm="1">
        <f t="array" ref="K1423">SUMPRODUCT(("T_B_c-ICEDSL-S3"=[1]OUT_TransportEnergyCons!$A$3:$A$1000)*1,("Var_Fin"=[1]OUT_TransportEnergyCons!$B$3:$B$1000)*1,ISNUMBER(SEARCH("DSL",[1]OUT_TransportEnergyCons!$C$3:$C$1000))*1,[1]OUT_TransportEnergyCons!I$3:I$1000)</f>
        <v>0</v>
      </c>
      <c r="L1423" s="1" cm="1">
        <f t="array" ref="L1423">SUMPRODUCT(("T_B_c-ICEDSL-S3"=[1]OUT_TransportEnergyCons!$A$3:$A$1000)*1,("Var_Fin"=[1]OUT_TransportEnergyCons!$B$3:$B$1000)*1,ISNUMBER(SEARCH("DSL",[1]OUT_TransportEnergyCons!$C$3:$C$1000))*1,[1]OUT_TransportEnergyCons!J$3:J$1000)</f>
        <v>0</v>
      </c>
      <c r="M1423" s="1" cm="1">
        <f t="array" ref="M1423">SUMPRODUCT(("T_B_c-ICEDSL-S3"=[1]OUT_TransportEnergyCons!$A$3:$A$1000)*1,("Var_Fin"=[1]OUT_TransportEnergyCons!$B$3:$B$1000)*1,ISNUMBER(SEARCH("DSL",[1]OUT_TransportEnergyCons!$C$3:$C$1000))*1,[1]OUT_TransportEnergyCons!K$3:K$1000)</f>
        <v>0</v>
      </c>
      <c r="N1423" s="1" cm="1">
        <f t="array" ref="N1423">SUMPRODUCT(("T_B_c-ICEDSL-S3"=[1]OUT_TransportEnergyCons!$A$3:$A$1000)*1,("Var_Fin"=[1]OUT_TransportEnergyCons!$B$3:$B$1000)*1,ISNUMBER(SEARCH("DSL",[1]OUT_TransportEnergyCons!$C$3:$C$1000))*1,[1]OUT_TransportEnergyCons!L$3:L$1000)</f>
        <v>0</v>
      </c>
      <c r="O1423" s="1" cm="1">
        <f t="array" ref="O1423">SUMPRODUCT(("T_B_c-ICEDSL-S3"=[1]OUT_TransportEnergyCons!$A$3:$A$1000)*1,("Var_Fin"=[1]OUT_TransportEnergyCons!$B$3:$B$1000)*1,ISNUMBER(SEARCH("DSL",[1]OUT_TransportEnergyCons!$C$3:$C$1000))*1,[1]OUT_TransportEnergyCons!M$3:M$1000)</f>
        <v>0</v>
      </c>
      <c r="P1423" s="1" cm="1">
        <f t="array" ref="P1423">SUMPRODUCT(("T_B_c-ICEDSL-S3"=[1]OUT_TransportEnergyCons!$A$3:$A$1000)*1,("Var_Fin"=[1]OUT_TransportEnergyCons!$B$3:$B$1000)*1,ISNUMBER(SEARCH("DSL",[1]OUT_TransportEnergyCons!$C$3:$C$1000))*1,[1]OUT_TransportEnergyCons!N$3:N$1000)</f>
        <v>0</v>
      </c>
      <c r="Q1423" s="1" cm="1">
        <f t="array" ref="Q1423">SUMPRODUCT(("T_B_c-ICEDSL-S3"=[1]OUT_TransportEnergyCons!$A$3:$A$1000)*1,("Var_Fin"=[1]OUT_TransportEnergyCons!$B$3:$B$1000)*1,ISNUMBER(SEARCH("DSL",[1]OUT_TransportEnergyCons!$C$3:$C$1000))*1,[1]OUT_TransportEnergyCons!O$3:O$1000)</f>
        <v>0</v>
      </c>
      <c r="S1423" s="3"/>
    </row>
    <row r="1424" spans="2:19" x14ac:dyDescent="0.5">
      <c r="B1424" s="5" t="str">
        <f t="shared" si="1571"/>
        <v>SPS1</v>
      </c>
      <c r="C1424" s="5" t="str">
        <f t="shared" si="1572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1.4343299238705684E-2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3.6217282275280427E-4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4.3003453727235132E-4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SUMPRODUCT(("T_B_c-ICEDSL-S4"=[1]OUT_TransportEnergyCons!$A$3:$A$1000)*1,("Var_Fin"=[1]OUT_TransportEnergyCons!$B$3:$B$1000)*1,ISNUMBER(SEARCH("DSL",[1]OUT_TransportEnergyCons!$C$3:$C$1000))*1,[1]OUT_TransportEnergyCons!H$3:H$1000)</f>
        <v>0</v>
      </c>
      <c r="K1424" s="1" cm="1">
        <f t="array" ref="K1424">SUMPRODUCT(("T_B_c-ICEDSL-S4"=[1]OUT_TransportEnergyCons!$A$3:$A$1000)*1,("Var_Fin"=[1]OUT_TransportEnergyCons!$B$3:$B$1000)*1,ISNUMBER(SEARCH("DSL",[1]OUT_TransportEnergyCons!$C$3:$C$1000))*1,[1]OUT_TransportEnergyCons!I$3:I$1000)</f>
        <v>0</v>
      </c>
      <c r="L1424" s="1" cm="1">
        <f t="array" ref="L1424">SUMPRODUCT(("T_B_c-ICEDSL-S4"=[1]OUT_TransportEnergyCons!$A$3:$A$1000)*1,("Var_Fin"=[1]OUT_TransportEnergyCons!$B$3:$B$1000)*1,ISNUMBER(SEARCH("DSL",[1]OUT_TransportEnergyCons!$C$3:$C$1000))*1,[1]OUT_TransportEnergyCons!J$3:J$1000)</f>
        <v>0</v>
      </c>
      <c r="M1424" s="1" cm="1">
        <f t="array" ref="M1424">SUMPRODUCT(("T_B_c-ICEDSL-S4"=[1]OUT_TransportEnergyCons!$A$3:$A$1000)*1,("Var_Fin"=[1]OUT_TransportEnergyCons!$B$3:$B$1000)*1,ISNUMBER(SEARCH("DSL",[1]OUT_TransportEnergyCons!$C$3:$C$1000))*1,[1]OUT_TransportEnergyCons!K$3:K$1000)</f>
        <v>0</v>
      </c>
      <c r="N1424" s="1" cm="1">
        <f t="array" ref="N1424">SUMPRODUCT(("T_B_c-ICEDSL-S4"=[1]OUT_TransportEnergyCons!$A$3:$A$1000)*1,("Var_Fin"=[1]OUT_TransportEnergyCons!$B$3:$B$1000)*1,ISNUMBER(SEARCH("DSL",[1]OUT_TransportEnergyCons!$C$3:$C$1000))*1,[1]OUT_TransportEnergyCons!L$3:L$1000)</f>
        <v>0</v>
      </c>
      <c r="O1424" s="1" cm="1">
        <f t="array" ref="O1424">SUMPRODUCT(("T_B_c-ICEDSL-S4"=[1]OUT_TransportEnergyCons!$A$3:$A$1000)*1,("Var_Fin"=[1]OUT_TransportEnergyCons!$B$3:$B$1000)*1,ISNUMBER(SEARCH("DSL",[1]OUT_TransportEnergyCons!$C$3:$C$1000))*1,[1]OUT_TransportEnergyCons!M$3:M$1000)</f>
        <v>0</v>
      </c>
      <c r="P1424" s="1" cm="1">
        <f t="array" ref="P1424">SUMPRODUCT(("T_B_c-ICEDSL-S4"=[1]OUT_TransportEnergyCons!$A$3:$A$1000)*1,("Var_Fin"=[1]OUT_TransportEnergyCons!$B$3:$B$1000)*1,ISNUMBER(SEARCH("DSL",[1]OUT_TransportEnergyCons!$C$3:$C$1000))*1,[1]OUT_TransportEnergyCons!N$3:N$1000)</f>
        <v>0</v>
      </c>
      <c r="Q1424" s="1" cm="1">
        <f t="array" ref="Q1424">SUMPRODUCT(("T_B_c-ICEDSL-S4"=[1]OUT_TransportEnergyCons!$A$3:$A$1000)*1,("Var_Fin"=[1]OUT_TransportEnergyCons!$B$3:$B$1000)*1,ISNUMBER(SEARCH("DSL",[1]OUT_TransportEnergyCons!$C$3:$C$1000))*1,[1]OUT_TransportEnergyCons!O$3:O$1000)</f>
        <v>0</v>
      </c>
      <c r="S1424" s="3"/>
    </row>
    <row r="1425" spans="2:19" x14ac:dyDescent="0.5">
      <c r="B1425" s="5" t="str">
        <f t="shared" si="1571"/>
        <v>SPS1</v>
      </c>
      <c r="C1425" s="5" t="str">
        <f t="shared" si="1572"/>
        <v>CH</v>
      </c>
      <c r="D1425" t="s">
        <v>1419</v>
      </c>
      <c r="E1425" t="s">
        <v>8</v>
      </c>
      <c r="F1425" s="1">
        <f>SUM(F1430:F1434)</f>
        <v>1.3822457318995716E-4</v>
      </c>
      <c r="G1425" s="1">
        <f t="shared" ref="G1425" si="1589">SUM(G1430:G1434)</f>
        <v>3.5409060678479124E-4</v>
      </c>
      <c r="H1425" s="1">
        <f t="shared" ref="H1425" si="1590">SUM(H1430:H1434)</f>
        <v>1.7099849214667333E-3</v>
      </c>
      <c r="I1425" s="1">
        <f t="shared" ref="I1425" si="1591">SUM(I1430:I1434)</f>
        <v>0</v>
      </c>
      <c r="J1425" s="1">
        <f t="shared" ref="J1425" si="1592">SUM(J1430:J1434)</f>
        <v>0</v>
      </c>
      <c r="K1425" s="1">
        <f t="shared" ref="K1425" si="1593">SUM(K1430:K1434)</f>
        <v>0</v>
      </c>
      <c r="L1425" s="1">
        <f t="shared" ref="L1425:O1425" si="1594">SUM(L1430:L1434)</f>
        <v>0</v>
      </c>
      <c r="M1425" s="1">
        <f t="shared" si="1594"/>
        <v>0</v>
      </c>
      <c r="N1425" s="1">
        <f t="shared" si="1594"/>
        <v>0</v>
      </c>
      <c r="O1425" s="1">
        <f t="shared" si="1594"/>
        <v>0</v>
      </c>
      <c r="P1425" s="1">
        <f>SUM(P1430:P1434)</f>
        <v>0</v>
      </c>
      <c r="Q1425" s="1">
        <f>SUM(Q1430:Q1434)</f>
        <v>0</v>
      </c>
      <c r="S1425" s="3"/>
    </row>
    <row r="1426" spans="2:19" x14ac:dyDescent="0.5">
      <c r="B1426" s="5" t="str">
        <f t="shared" si="1571"/>
        <v>SPS1</v>
      </c>
      <c r="C1426" s="5" t="str">
        <f t="shared" si="1572"/>
        <v>CH</v>
      </c>
      <c r="D1426" t="s">
        <v>1420</v>
      </c>
      <c r="E1426" t="s">
        <v>8</v>
      </c>
      <c r="F1426" s="1">
        <f>IF(F1425-F1427&lt;0,0,F1425-F1427)</f>
        <v>1.277070830232716E-4</v>
      </c>
      <c r="G1426" s="1">
        <f t="shared" ref="G1426:K1426" si="1595">IF(G1425-G1427&lt;0,0,G1425-G1427)</f>
        <v>3.102654335818294E-4</v>
      </c>
      <c r="H1426" s="1">
        <f t="shared" si="1595"/>
        <v>1.6747550456973034E-3</v>
      </c>
      <c r="I1426" s="1">
        <f t="shared" si="1595"/>
        <v>0</v>
      </c>
      <c r="J1426" s="1">
        <f t="shared" si="1595"/>
        <v>0</v>
      </c>
      <c r="K1426" s="1">
        <f t="shared" si="1595"/>
        <v>0</v>
      </c>
      <c r="L1426" s="1">
        <f t="shared" ref="L1426:O1426" si="1596">IF(L1425-L1427&lt;0,0,L1425-L1427)</f>
        <v>0</v>
      </c>
      <c r="M1426" s="1">
        <f t="shared" si="1596"/>
        <v>0</v>
      </c>
      <c r="N1426" s="1">
        <f t="shared" si="1596"/>
        <v>0</v>
      </c>
      <c r="O1426" s="1">
        <f t="shared" si="1596"/>
        <v>0</v>
      </c>
      <c r="P1426" s="1">
        <f>IF(P1425-P1427&lt;0,0,P1425-P1427)</f>
        <v>0</v>
      </c>
      <c r="Q1426" s="1">
        <f>IF(Q1425-Q1427&lt;0,0,Q1425-Q1427)</f>
        <v>0</v>
      </c>
      <c r="S1426" s="3"/>
    </row>
    <row r="1427" spans="2:19" x14ac:dyDescent="0.5">
      <c r="B1427" s="5" t="str">
        <f t="shared" si="1571"/>
        <v>SPS1</v>
      </c>
      <c r="C1427" s="5" t="str">
        <f t="shared" si="1572"/>
        <v>CH</v>
      </c>
      <c r="D1427" t="s">
        <v>1421</v>
      </c>
      <c r="E1427" t="s">
        <v>8</v>
      </c>
      <c r="F1427" s="1">
        <f>SUM(F1428:F1429)</f>
        <v>1.0517490166685555E-5</v>
      </c>
      <c r="G1427" s="1">
        <f t="shared" ref="G1427" si="1597">SUM(G1428:G1429)</f>
        <v>4.3825173202961869E-5</v>
      </c>
      <c r="H1427" s="1">
        <f t="shared" ref="H1427" si="1598">SUM(H1428:H1429)</f>
        <v>3.5229875769429941E-5</v>
      </c>
      <c r="I1427" s="1">
        <f t="shared" ref="I1427" si="1599">SUM(I1428:I1429)</f>
        <v>0</v>
      </c>
      <c r="J1427" s="1">
        <f t="shared" ref="J1427" si="1600">SUM(J1428:J1429)</f>
        <v>0</v>
      </c>
      <c r="K1427" s="1">
        <f t="shared" ref="K1427" si="1601">SUM(K1428:K1429)</f>
        <v>0</v>
      </c>
      <c r="L1427" s="1">
        <f t="shared" ref="L1427:O1427" si="1602">SUM(L1428:L1429)</f>
        <v>0</v>
      </c>
      <c r="M1427" s="1">
        <f t="shared" si="1602"/>
        <v>0</v>
      </c>
      <c r="N1427" s="1">
        <f t="shared" si="1602"/>
        <v>0</v>
      </c>
      <c r="O1427" s="1">
        <f t="shared" si="1602"/>
        <v>0</v>
      </c>
      <c r="P1427" s="1">
        <f>SUM(P1428:P1429)</f>
        <v>0</v>
      </c>
      <c r="Q1427" s="1">
        <f>SUM(Q1428:Q1429)</f>
        <v>0</v>
      </c>
      <c r="S1427" s="3"/>
    </row>
    <row r="1428" spans="2:19" x14ac:dyDescent="0.5">
      <c r="B1428" s="5" t="str">
        <f t="shared" si="1571"/>
        <v>SPS1</v>
      </c>
      <c r="C1428" s="5" t="str">
        <f t="shared" si="1572"/>
        <v>CH</v>
      </c>
      <c r="D1428" t="s">
        <v>1422</v>
      </c>
      <c r="E1428" t="s">
        <v>8</v>
      </c>
      <c r="F1428" s="1">
        <f>IF(SUM([1]Transport!B$24,[1]Transport!B$27)=0,0,[1]Transport!B$27/SUM([1]Transport!B$24,[1]Transport!B$27)*F1425*(F$47+F$614)/(F$47+F$614+F$49))</f>
        <v>1.0517490166685555E-5</v>
      </c>
      <c r="G1428" s="1">
        <f>IF(SUM([1]Transport!C$24,[1]Transport!C$27)=0,0,[1]Transport!C$27/SUM([1]Transport!C$24,[1]Transport!C$27)*G1425*(G$47+G$614)/(G$47+G$614+G$49))</f>
        <v>4.3825173202961869E-5</v>
      </c>
      <c r="H1428" s="1">
        <f>IF(SUM([1]Transport!D$24,[1]Transport!D$27)=0,0,[1]Transport!D$27/SUM([1]Transport!D$24,[1]Transport!D$27)*H1425*(H$47+H$614)/(H$47+H$614+H$49))</f>
        <v>3.5229875769429941E-5</v>
      </c>
      <c r="I1428" s="1">
        <f>IF(SUM([1]Transport!E$24,[1]Transport!E$27)=0,0,[1]Transport!E$27/SUM([1]Transport!E$24,[1]Transport!E$27)*I1425*(I$47+I$614)/(I$47+I$614+I$49))</f>
        <v>0</v>
      </c>
      <c r="J1428" s="1">
        <f>IF(SUM([1]Transport!F$24,[1]Transport!F$27)=0,0,[1]Transport!F$27/SUM([1]Transport!F$24,[1]Transport!F$27)*J1425*(J$47+J$614)/(J$47+J$614+J$49))</f>
        <v>0</v>
      </c>
      <c r="K1428" s="1">
        <f>IF(SUM([1]Transport!G$24,[1]Transport!G$27)=0,0,[1]Transport!G$27/SUM([1]Transport!G$24,[1]Transport!G$27)*K1425*(K$47+K$614)/(K$47+K$614+K$49))</f>
        <v>0</v>
      </c>
      <c r="L1428" s="1">
        <f>IF(SUM([1]Transport!H$24,[1]Transport!H$27)=0,0,[1]Transport!H$27/SUM([1]Transport!H$24,[1]Transport!H$27)*L1425*(L$47+L$614)/(L$47+L$614+L$49))</f>
        <v>0</v>
      </c>
      <c r="M1428" s="1">
        <f>IF(SUM([1]Transport!I$24,[1]Transport!I$27)=0,0,[1]Transport!I$27/SUM([1]Transport!I$24,[1]Transport!I$27)*M1425*(M$47+M$614)/(M$47+M$614+M$49))</f>
        <v>0</v>
      </c>
      <c r="N1428" s="1">
        <f>IF(SUM([1]Transport!J$24,[1]Transport!J$27)=0,0,[1]Transport!J$27/SUM([1]Transport!J$24,[1]Transport!J$27)*N1425*(N$47+N$614)/(N$47+N$614+N$49))</f>
        <v>0</v>
      </c>
      <c r="O1428" s="1">
        <f>IF(SUM([1]Transport!K$24,[1]Transport!K$27)=0,0,[1]Transport!K$27/SUM([1]Transport!K$24,[1]Transport!K$27)*O1425*(O$47+O$614)/(O$47+O$614+O$49))</f>
        <v>0</v>
      </c>
      <c r="P1428" s="1">
        <f>IF(SUM([1]Transport!L$24,[1]Transport!L$27)=0,0,[1]Transport!L$27/SUM([1]Transport!L$24,[1]Transport!L$27)*P1425*(P$47+P$614)/(P$47+P$614+P$49))</f>
        <v>0</v>
      </c>
      <c r="Q1428" s="1">
        <f>IF(SUM([1]Transport!M$24,[1]Transport!M$27)=0,0,[1]Transport!M$27/SUM([1]Transport!M$24,[1]Transport!M$27)*Q1425*(Q$47+Q$614)/(Q$47+Q$614+Q$49))</f>
        <v>0</v>
      </c>
      <c r="S1428" s="3"/>
    </row>
    <row r="1429" spans="2:19" x14ac:dyDescent="0.5">
      <c r="B1429" s="5" t="str">
        <f t="shared" si="1571"/>
        <v>SPS1</v>
      </c>
      <c r="C1429" s="5" t="str">
        <f t="shared" si="1572"/>
        <v>CH</v>
      </c>
      <c r="D1429" t="s">
        <v>1423</v>
      </c>
      <c r="E1429" t="s">
        <v>8</v>
      </c>
      <c r="F1429" s="1">
        <f>IF(([1]Transport!B$24+[1]Transport!B$27)=0,0,(F$49+F$716)/([1]Transport!B$24+[1]Transport!B$27)*F1425)</f>
        <v>0</v>
      </c>
      <c r="G1429" s="1">
        <f>IF(([1]Transport!C$24+[1]Transport!C$27)=0,0,(G$49+G$716)/([1]Transport!C$24+[1]Transport!C$27)*G1425)</f>
        <v>0</v>
      </c>
      <c r="H1429" s="1">
        <f>IF(([1]Transport!D$24+[1]Transport!D$27)=0,0,(H$49+H$716)/([1]Transport!D$24+[1]Transport!D$27)*H1425)</f>
        <v>0</v>
      </c>
      <c r="I1429" s="1">
        <f>IF(([1]Transport!E$24+[1]Transport!E$27)=0,0,(I$49+I$716)/([1]Transport!E$24+[1]Transport!E$27)*I1425)</f>
        <v>0</v>
      </c>
      <c r="J1429" s="1">
        <f>IF(([1]Transport!F$24+[1]Transport!F$27)=0,0,(J$49+J$716)/([1]Transport!F$24+[1]Transport!F$27)*J1425)</f>
        <v>0</v>
      </c>
      <c r="K1429" s="1">
        <f>IF(([1]Transport!G$24+[1]Transport!G$27)=0,0,(K$49+K$716)/([1]Transport!G$24+[1]Transport!G$27)*K1425)</f>
        <v>0</v>
      </c>
      <c r="L1429" s="1">
        <f>IF(([1]Transport!H$24+[1]Transport!H$27)=0,0,(L$49+L$716)/([1]Transport!H$24+[1]Transport!H$27)*L1425)</f>
        <v>0</v>
      </c>
      <c r="M1429" s="1">
        <f>IF(([1]Transport!I$24+[1]Transport!I$27)=0,0,(M$49+M$716)/([1]Transport!I$24+[1]Transport!I$27)*M1425)</f>
        <v>0</v>
      </c>
      <c r="N1429" s="1">
        <f>IF(([1]Transport!J$24+[1]Transport!J$27)=0,0,(N$49+N$716)/([1]Transport!J$24+[1]Transport!J$27)*N1425)</f>
        <v>0</v>
      </c>
      <c r="O1429" s="1">
        <f>IF(([1]Transport!K$24+[1]Transport!K$27)=0,0,(O$49+O$716)/([1]Transport!K$24+[1]Transport!K$27)*O1425)</f>
        <v>0</v>
      </c>
      <c r="P1429" s="1">
        <f>IF(([1]Transport!L$24+[1]Transport!L$27)=0,0,(P$49+P$716)/([1]Transport!L$24+[1]Transport!L$27)*P1425)</f>
        <v>0</v>
      </c>
      <c r="Q1429" s="1">
        <f>IF(([1]Transport!M$24+[1]Transport!M$27)=0,0,(Q$49+Q$716)/([1]Transport!M$24+[1]Transport!M$27)*Q1425)</f>
        <v>0</v>
      </c>
      <c r="S1429" s="3"/>
    </row>
    <row r="1430" spans="2:19" x14ac:dyDescent="0.5">
      <c r="B1430" s="5" t="str">
        <f t="shared" si="1571"/>
        <v>SPS1</v>
      </c>
      <c r="C1430" s="5" t="str">
        <f t="shared" si="1572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1.3822457318995716E-4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1.3769546210910203E-4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1.3701456403647868E-4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SUMPRODUCT(("T_B_c-ICEngaEXT"=[1]OUT_TransportEnergyCons!$A$3:$A$1000)*1,("Var_Fin"=[1]OUT_TransportEnergyCons!$B$3:$B$1000)*1,ISNUMBER(SEARCH("nga",[1]OUT_TransportEnergyCons!$C$3:$C$1000))*1,[1]OUT_TransportEnergyCons!H$3:H$1000)</f>
        <v>0</v>
      </c>
      <c r="K1430" s="1" cm="1">
        <f t="array" ref="K1430">SUMPRODUCT(("T_B_c-ICEngaEXT"=[1]OUT_TransportEnergyCons!$A$3:$A$1000)*1,("Var_Fin"=[1]OUT_TransportEnergyCons!$B$3:$B$1000)*1,ISNUMBER(SEARCH("nga",[1]OUT_TransportEnergyCons!$C$3:$C$1000))*1,[1]OUT_TransportEnergyCons!I$3:I$1000)</f>
        <v>0</v>
      </c>
      <c r="L1430" s="1" cm="1">
        <f t="array" ref="L1430">SUMPRODUCT(("T_B_c-ICEngaEXT"=[1]OUT_TransportEnergyCons!$A$3:$A$1000)*1,("Var_Fin"=[1]OUT_TransportEnergyCons!$B$3:$B$1000)*1,ISNUMBER(SEARCH("nga",[1]OUT_TransportEnergyCons!$C$3:$C$1000))*1,[1]OUT_TransportEnergyCons!J$3:J$1000)</f>
        <v>0</v>
      </c>
      <c r="M1430" s="1" cm="1">
        <f t="array" ref="M1430">SUMPRODUCT(("T_B_c-ICEngaEXT"=[1]OUT_TransportEnergyCons!$A$3:$A$1000)*1,("Var_Fin"=[1]OUT_TransportEnergyCons!$B$3:$B$1000)*1,ISNUMBER(SEARCH("nga",[1]OUT_TransportEnergyCons!$C$3:$C$1000))*1,[1]OUT_TransportEnergyCons!K$3:K$1000)</f>
        <v>0</v>
      </c>
      <c r="N1430" s="1" cm="1">
        <f t="array" ref="N1430">SUMPRODUCT(("T_B_c-ICEngaEXT"=[1]OUT_TransportEnergyCons!$A$3:$A$1000)*1,("Var_Fin"=[1]OUT_TransportEnergyCons!$B$3:$B$1000)*1,ISNUMBER(SEARCH("nga",[1]OUT_TransportEnergyCons!$C$3:$C$1000))*1,[1]OUT_TransportEnergyCons!L$3:L$1000)</f>
        <v>0</v>
      </c>
      <c r="O1430" s="1" cm="1">
        <f t="array" ref="O1430">SUMPRODUCT(("T_B_c-ICEngaEXT"=[1]OUT_TransportEnergyCons!$A$3:$A$1000)*1,("Var_Fin"=[1]OUT_TransportEnergyCons!$B$3:$B$1000)*1,ISNUMBER(SEARCH("nga",[1]OUT_TransportEnergyCons!$C$3:$C$1000))*1,[1]OUT_TransportEnergyCons!M$3:M$1000)</f>
        <v>0</v>
      </c>
      <c r="P1430" s="1" cm="1">
        <f t="array" ref="P1430">SUMPRODUCT(("T_B_c-ICEngaEXT"=[1]OUT_TransportEnergyCons!$A$3:$A$1000)*1,("Var_Fin"=[1]OUT_TransportEnergyCons!$B$3:$B$1000)*1,ISNUMBER(SEARCH("nga",[1]OUT_TransportEnergyCons!$C$3:$C$1000))*1,[1]OUT_TransportEnergyCons!N$3:N$1000)</f>
        <v>0</v>
      </c>
      <c r="Q1430" s="1" cm="1">
        <f t="array" ref="Q1430">SUMPRODUCT(("T_B_c-ICEngaEXT"=[1]OUT_TransportEnergyCons!$A$3:$A$1000)*1,("Var_Fin"=[1]OUT_TransportEnergyCons!$B$3:$B$1000)*1,ISNUMBER(SEARCH("nga",[1]OUT_TransportEnergyCons!$C$3:$C$1000))*1,[1]OUT_TransportEnergyCons!O$3:O$1000)</f>
        <v>0</v>
      </c>
      <c r="S1430" s="3"/>
    </row>
    <row r="1431" spans="2:19" x14ac:dyDescent="0.5">
      <c r="B1431" s="5" t="str">
        <f t="shared" si="1571"/>
        <v>SPS1</v>
      </c>
      <c r="C1431" s="5" t="str">
        <f t="shared" si="1572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9.2718174750463316E-5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7.9583723472555906E-4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SUMPRODUCT(("T_B_c-ICEnga-S1"=[1]OUT_TransportEnergyCons!$A$3:$A$1000)*1,("Var_Fin"=[1]OUT_TransportEnergyCons!$B$3:$B$1000)*1,ISNUMBER(SEARCH("nga",[1]OUT_TransportEnergyCons!$C$3:$C$1000))*1,[1]OUT_TransportEnergyCons!H$3:H$1000)</f>
        <v>0</v>
      </c>
      <c r="K1431" s="1" cm="1">
        <f t="array" ref="K1431">SUMPRODUCT(("T_B_c-ICEnga-S1"=[1]OUT_TransportEnergyCons!$A$3:$A$1000)*1,("Var_Fin"=[1]OUT_TransportEnergyCons!$B$3:$B$1000)*1,ISNUMBER(SEARCH("nga",[1]OUT_TransportEnergyCons!$C$3:$C$1000))*1,[1]OUT_TransportEnergyCons!I$3:I$1000)</f>
        <v>0</v>
      </c>
      <c r="L1431" s="1" cm="1">
        <f t="array" ref="L1431">SUMPRODUCT(("T_B_c-ICEnga-S1"=[1]OUT_TransportEnergyCons!$A$3:$A$1000)*1,("Var_Fin"=[1]OUT_TransportEnergyCons!$B$3:$B$1000)*1,ISNUMBER(SEARCH("nga",[1]OUT_TransportEnergyCons!$C$3:$C$1000))*1,[1]OUT_TransportEnergyCons!J$3:J$1000)</f>
        <v>0</v>
      </c>
      <c r="M1431" s="1" cm="1">
        <f t="array" ref="M1431">SUMPRODUCT(("T_B_c-ICEnga-S1"=[1]OUT_TransportEnergyCons!$A$3:$A$1000)*1,("Var_Fin"=[1]OUT_TransportEnergyCons!$B$3:$B$1000)*1,ISNUMBER(SEARCH("nga",[1]OUT_TransportEnergyCons!$C$3:$C$1000))*1,[1]OUT_TransportEnergyCons!K$3:K$1000)</f>
        <v>0</v>
      </c>
      <c r="N1431" s="1" cm="1">
        <f t="array" ref="N1431">SUMPRODUCT(("T_B_c-ICEnga-S1"=[1]OUT_TransportEnergyCons!$A$3:$A$1000)*1,("Var_Fin"=[1]OUT_TransportEnergyCons!$B$3:$B$1000)*1,ISNUMBER(SEARCH("nga",[1]OUT_TransportEnergyCons!$C$3:$C$1000))*1,[1]OUT_TransportEnergyCons!L$3:L$1000)</f>
        <v>0</v>
      </c>
      <c r="O1431" s="1" cm="1">
        <f t="array" ref="O1431">SUMPRODUCT(("T_B_c-ICEnga-S1"=[1]OUT_TransportEnergyCons!$A$3:$A$1000)*1,("Var_Fin"=[1]OUT_TransportEnergyCons!$B$3:$B$1000)*1,ISNUMBER(SEARCH("nga",[1]OUT_TransportEnergyCons!$C$3:$C$1000))*1,[1]OUT_TransportEnergyCons!M$3:M$1000)</f>
        <v>0</v>
      </c>
      <c r="P1431" s="1" cm="1">
        <f t="array" ref="P1431">SUMPRODUCT(("T_B_c-ICEnga-S1"=[1]OUT_TransportEnergyCons!$A$3:$A$1000)*1,("Var_Fin"=[1]OUT_TransportEnergyCons!$B$3:$B$1000)*1,ISNUMBER(SEARCH("nga",[1]OUT_TransportEnergyCons!$C$3:$C$1000))*1,[1]OUT_TransportEnergyCons!N$3:N$1000)</f>
        <v>0</v>
      </c>
      <c r="Q1431" s="1" cm="1">
        <f t="array" ref="Q1431">SUMPRODUCT(("T_B_c-ICEnga-S1"=[1]OUT_TransportEnergyCons!$A$3:$A$1000)*1,("Var_Fin"=[1]OUT_TransportEnergyCons!$B$3:$B$1000)*1,ISNUMBER(SEARCH("nga",[1]OUT_TransportEnergyCons!$C$3:$C$1000))*1,[1]OUT_TransportEnergyCons!O$3:O$1000)</f>
        <v>0</v>
      </c>
      <c r="S1431" s="3"/>
    </row>
    <row r="1432" spans="2:19" x14ac:dyDescent="0.5">
      <c r="B1432" s="5" t="str">
        <f t="shared" si="1571"/>
        <v>SPS1</v>
      </c>
      <c r="C1432" s="5" t="str">
        <f t="shared" si="1572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6.5545490318557616E-5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4.5471336363052622E-4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SUMPRODUCT(("T_B_c-ICEnga-S2"=[1]OUT_TransportEnergyCons!$A$3:$A$1000)*1,("Var_Fin"=[1]OUT_TransportEnergyCons!$B$3:$B$1000)*1,ISNUMBER(SEARCH("nga",[1]OUT_TransportEnergyCons!$C$3:$C$1000))*1,[1]OUT_TransportEnergyCons!H$3:H$1000)</f>
        <v>0</v>
      </c>
      <c r="K1432" s="1" cm="1">
        <f t="array" ref="K1432">SUMPRODUCT(("T_B_c-ICEnga-S2"=[1]OUT_TransportEnergyCons!$A$3:$A$1000)*1,("Var_Fin"=[1]OUT_TransportEnergyCons!$B$3:$B$1000)*1,ISNUMBER(SEARCH("nga",[1]OUT_TransportEnergyCons!$C$3:$C$1000))*1,[1]OUT_TransportEnergyCons!I$3:I$1000)</f>
        <v>0</v>
      </c>
      <c r="L1432" s="1" cm="1">
        <f t="array" ref="L1432">SUMPRODUCT(("T_B_c-ICEnga-S2"=[1]OUT_TransportEnergyCons!$A$3:$A$1000)*1,("Var_Fin"=[1]OUT_TransportEnergyCons!$B$3:$B$1000)*1,ISNUMBER(SEARCH("nga",[1]OUT_TransportEnergyCons!$C$3:$C$1000))*1,[1]OUT_TransportEnergyCons!J$3:J$1000)</f>
        <v>0</v>
      </c>
      <c r="M1432" s="1" cm="1">
        <f t="array" ref="M1432">SUMPRODUCT(("T_B_c-ICEnga-S2"=[1]OUT_TransportEnergyCons!$A$3:$A$1000)*1,("Var_Fin"=[1]OUT_TransportEnergyCons!$B$3:$B$1000)*1,ISNUMBER(SEARCH("nga",[1]OUT_TransportEnergyCons!$C$3:$C$1000))*1,[1]OUT_TransportEnergyCons!K$3:K$1000)</f>
        <v>0</v>
      </c>
      <c r="N1432" s="1" cm="1">
        <f t="array" ref="N1432">SUMPRODUCT(("T_B_c-ICEnga-S2"=[1]OUT_TransportEnergyCons!$A$3:$A$1000)*1,("Var_Fin"=[1]OUT_TransportEnergyCons!$B$3:$B$1000)*1,ISNUMBER(SEARCH("nga",[1]OUT_TransportEnergyCons!$C$3:$C$1000))*1,[1]OUT_TransportEnergyCons!L$3:L$1000)</f>
        <v>0</v>
      </c>
      <c r="O1432" s="1" cm="1">
        <f t="array" ref="O1432">SUMPRODUCT(("T_B_c-ICEnga-S2"=[1]OUT_TransportEnergyCons!$A$3:$A$1000)*1,("Var_Fin"=[1]OUT_TransportEnergyCons!$B$3:$B$1000)*1,ISNUMBER(SEARCH("nga",[1]OUT_TransportEnergyCons!$C$3:$C$1000))*1,[1]OUT_TransportEnergyCons!M$3:M$1000)</f>
        <v>0</v>
      </c>
      <c r="P1432" s="1" cm="1">
        <f t="array" ref="P1432">SUMPRODUCT(("T_B_c-ICEnga-S2"=[1]OUT_TransportEnergyCons!$A$3:$A$1000)*1,("Var_Fin"=[1]OUT_TransportEnergyCons!$B$3:$B$1000)*1,ISNUMBER(SEARCH("nga",[1]OUT_TransportEnergyCons!$C$3:$C$1000))*1,[1]OUT_TransportEnergyCons!N$3:N$1000)</f>
        <v>0</v>
      </c>
      <c r="Q1432" s="1" cm="1">
        <f t="array" ref="Q1432">SUMPRODUCT(("T_B_c-ICEnga-S2"=[1]OUT_TransportEnergyCons!$A$3:$A$1000)*1,("Var_Fin"=[1]OUT_TransportEnergyCons!$B$3:$B$1000)*1,ISNUMBER(SEARCH("nga",[1]OUT_TransportEnergyCons!$C$3:$C$1000))*1,[1]OUT_TransportEnergyCons!O$3:O$1000)</f>
        <v>0</v>
      </c>
      <c r="S1432" s="3"/>
    </row>
    <row r="1433" spans="2:19" x14ac:dyDescent="0.5">
      <c r="B1433" s="5" t="str">
        <f t="shared" si="1571"/>
        <v>SPS1</v>
      </c>
      <c r="C1433" s="5" t="str">
        <f t="shared" si="1572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5.2633646837567526E-5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2.795358851318036E-4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SUMPRODUCT(("T_B_c-ICEnga-S3"=[1]OUT_TransportEnergyCons!$A$3:$A$1000)*1,("Var_Fin"=[1]OUT_TransportEnergyCons!$B$3:$B$1000)*1,ISNUMBER(SEARCH("nga",[1]OUT_TransportEnergyCons!$C$3:$C$1000))*1,[1]OUT_TransportEnergyCons!H$3:H$1000)</f>
        <v>0</v>
      </c>
      <c r="K1433" s="1" cm="1">
        <f t="array" ref="K1433">SUMPRODUCT(("T_B_c-ICEnga-S3"=[1]OUT_TransportEnergyCons!$A$3:$A$1000)*1,("Var_Fin"=[1]OUT_TransportEnergyCons!$B$3:$B$1000)*1,ISNUMBER(SEARCH("nga",[1]OUT_TransportEnergyCons!$C$3:$C$1000))*1,[1]OUT_TransportEnergyCons!I$3:I$1000)</f>
        <v>0</v>
      </c>
      <c r="L1433" s="1" cm="1">
        <f t="array" ref="L1433">SUMPRODUCT(("T_B_c-ICEnga-S3"=[1]OUT_TransportEnergyCons!$A$3:$A$1000)*1,("Var_Fin"=[1]OUT_TransportEnergyCons!$B$3:$B$1000)*1,ISNUMBER(SEARCH("nga",[1]OUT_TransportEnergyCons!$C$3:$C$1000))*1,[1]OUT_TransportEnergyCons!J$3:J$1000)</f>
        <v>0</v>
      </c>
      <c r="M1433" s="1" cm="1">
        <f t="array" ref="M1433">SUMPRODUCT(("T_B_c-ICEnga-S3"=[1]OUT_TransportEnergyCons!$A$3:$A$1000)*1,("Var_Fin"=[1]OUT_TransportEnergyCons!$B$3:$B$1000)*1,ISNUMBER(SEARCH("nga",[1]OUT_TransportEnergyCons!$C$3:$C$1000))*1,[1]OUT_TransportEnergyCons!K$3:K$1000)</f>
        <v>0</v>
      </c>
      <c r="N1433" s="1" cm="1">
        <f t="array" ref="N1433">SUMPRODUCT(("T_B_c-ICEnga-S3"=[1]OUT_TransportEnergyCons!$A$3:$A$1000)*1,("Var_Fin"=[1]OUT_TransportEnergyCons!$B$3:$B$1000)*1,ISNUMBER(SEARCH("nga",[1]OUT_TransportEnergyCons!$C$3:$C$1000))*1,[1]OUT_TransportEnergyCons!L$3:L$1000)</f>
        <v>0</v>
      </c>
      <c r="O1433" s="1" cm="1">
        <f t="array" ref="O1433">SUMPRODUCT(("T_B_c-ICEnga-S3"=[1]OUT_TransportEnergyCons!$A$3:$A$1000)*1,("Var_Fin"=[1]OUT_TransportEnergyCons!$B$3:$B$1000)*1,ISNUMBER(SEARCH("nga",[1]OUT_TransportEnergyCons!$C$3:$C$1000))*1,[1]OUT_TransportEnergyCons!M$3:M$1000)</f>
        <v>0</v>
      </c>
      <c r="P1433" s="1" cm="1">
        <f t="array" ref="P1433">SUMPRODUCT(("T_B_c-ICEnga-S3"=[1]OUT_TransportEnergyCons!$A$3:$A$1000)*1,("Var_Fin"=[1]OUT_TransportEnergyCons!$B$3:$B$1000)*1,ISNUMBER(SEARCH("nga",[1]OUT_TransportEnergyCons!$C$3:$C$1000))*1,[1]OUT_TransportEnergyCons!N$3:N$1000)</f>
        <v>0</v>
      </c>
      <c r="Q1433" s="1" cm="1">
        <f t="array" ref="Q1433">SUMPRODUCT(("T_B_c-ICEnga-S3"=[1]OUT_TransportEnergyCons!$A$3:$A$1000)*1,("Var_Fin"=[1]OUT_TransportEnergyCons!$B$3:$B$1000)*1,ISNUMBER(SEARCH("nga",[1]OUT_TransportEnergyCons!$C$3:$C$1000))*1,[1]OUT_TransportEnergyCons!O$3:O$1000)</f>
        <v>0</v>
      </c>
      <c r="S1433" s="3"/>
    </row>
    <row r="1434" spans="2:19" x14ac:dyDescent="0.5">
      <c r="B1434" s="5" t="str">
        <f t="shared" si="1571"/>
        <v>SPS1</v>
      </c>
      <c r="C1434" s="5" t="str">
        <f t="shared" si="1572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5.4978327691007197E-6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4.2883873942365541E-5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SUMPRODUCT(("T_B_c-ICEnga-S4"=[1]OUT_TransportEnergyCons!$A$3:$A$1000)*1,("Var_Fin"=[1]OUT_TransportEnergyCons!$B$3:$B$1000)*1,ISNUMBER(SEARCH("nga",[1]OUT_TransportEnergyCons!$C$3:$C$1000))*1,[1]OUT_TransportEnergyCons!H$3:H$1000)</f>
        <v>0</v>
      </c>
      <c r="K1434" s="1" cm="1">
        <f t="array" ref="K1434">SUMPRODUCT(("T_B_c-ICEnga-S4"=[1]OUT_TransportEnergyCons!$A$3:$A$1000)*1,("Var_Fin"=[1]OUT_TransportEnergyCons!$B$3:$B$1000)*1,ISNUMBER(SEARCH("nga",[1]OUT_TransportEnergyCons!$C$3:$C$1000))*1,[1]OUT_TransportEnergyCons!I$3:I$1000)</f>
        <v>0</v>
      </c>
      <c r="L1434" s="1" cm="1">
        <f t="array" ref="L1434">SUMPRODUCT(("T_B_c-ICEnga-S4"=[1]OUT_TransportEnergyCons!$A$3:$A$1000)*1,("Var_Fin"=[1]OUT_TransportEnergyCons!$B$3:$B$1000)*1,ISNUMBER(SEARCH("nga",[1]OUT_TransportEnergyCons!$C$3:$C$1000))*1,[1]OUT_TransportEnergyCons!J$3:J$1000)</f>
        <v>0</v>
      </c>
      <c r="M1434" s="1" cm="1">
        <f t="array" ref="M1434">SUMPRODUCT(("T_B_c-ICEnga-S4"=[1]OUT_TransportEnergyCons!$A$3:$A$1000)*1,("Var_Fin"=[1]OUT_TransportEnergyCons!$B$3:$B$1000)*1,ISNUMBER(SEARCH("nga",[1]OUT_TransportEnergyCons!$C$3:$C$1000))*1,[1]OUT_TransportEnergyCons!K$3:K$1000)</f>
        <v>0</v>
      </c>
      <c r="N1434" s="1" cm="1">
        <f t="array" ref="N1434">SUMPRODUCT(("T_B_c-ICEnga-S4"=[1]OUT_TransportEnergyCons!$A$3:$A$1000)*1,("Var_Fin"=[1]OUT_TransportEnergyCons!$B$3:$B$1000)*1,ISNUMBER(SEARCH("nga",[1]OUT_TransportEnergyCons!$C$3:$C$1000))*1,[1]OUT_TransportEnergyCons!L$3:L$1000)</f>
        <v>0</v>
      </c>
      <c r="O1434" s="1" cm="1">
        <f t="array" ref="O1434">SUMPRODUCT(("T_B_c-ICEnga-S4"=[1]OUT_TransportEnergyCons!$A$3:$A$1000)*1,("Var_Fin"=[1]OUT_TransportEnergyCons!$B$3:$B$1000)*1,ISNUMBER(SEARCH("nga",[1]OUT_TransportEnergyCons!$C$3:$C$1000))*1,[1]OUT_TransportEnergyCons!M$3:M$1000)</f>
        <v>0</v>
      </c>
      <c r="P1434" s="1" cm="1">
        <f t="array" ref="P1434">SUMPRODUCT(("T_B_c-ICEnga-S4"=[1]OUT_TransportEnergyCons!$A$3:$A$1000)*1,("Var_Fin"=[1]OUT_TransportEnergyCons!$B$3:$B$1000)*1,ISNUMBER(SEARCH("nga",[1]OUT_TransportEnergyCons!$C$3:$C$1000))*1,[1]OUT_TransportEnergyCons!N$3:N$1000)</f>
        <v>0</v>
      </c>
      <c r="Q1434" s="1" cm="1">
        <f t="array" ref="Q1434">SUMPRODUCT(("T_B_c-ICEnga-S4"=[1]OUT_TransportEnergyCons!$A$3:$A$1000)*1,("Var_Fin"=[1]OUT_TransportEnergyCons!$B$3:$B$1000)*1,ISNUMBER(SEARCH("nga",[1]OUT_TransportEnergyCons!$C$3:$C$1000))*1,[1]OUT_TransportEnergyCons!O$3:O$1000)</f>
        <v>0</v>
      </c>
      <c r="S1434" s="3"/>
    </row>
    <row r="1435" spans="2:19" x14ac:dyDescent="0.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0.13099574832004149</v>
      </c>
      <c r="G1435" s="3">
        <f t="shared" ref="G1435" si="1603">SUM(G1436:G1458)</f>
        <v>0.13164153046668711</v>
      </c>
      <c r="H1435" s="3">
        <f t="shared" ref="H1435" si="1604">SUM(H1436:H1458)</f>
        <v>0.13268369935812829</v>
      </c>
      <c r="I1435" s="3">
        <f t="shared" ref="I1435" si="1605">SUM(I1436:I1458)</f>
        <v>0.13441388422418313</v>
      </c>
      <c r="J1435" s="3">
        <f t="shared" ref="J1435" si="1606">SUM(J1436:J1458)</f>
        <v>0.1346368712477734</v>
      </c>
      <c r="K1435" s="3">
        <f t="shared" ref="K1435" si="1607">SUM(K1436:K1458)</f>
        <v>0.13472913834055109</v>
      </c>
      <c r="L1435" s="3">
        <f t="shared" ref="L1435:O1435" si="1608">SUM(L1436:L1458)</f>
        <v>0.13505923329829905</v>
      </c>
      <c r="M1435" s="3">
        <f t="shared" si="1608"/>
        <v>0.13539284267532897</v>
      </c>
      <c r="N1435" s="3">
        <f t="shared" si="1608"/>
        <v>0.13968753302879774</v>
      </c>
      <c r="O1435" s="3">
        <f t="shared" si="1608"/>
        <v>0.14382224355134501</v>
      </c>
      <c r="P1435" s="3">
        <f>SUM(P1436:P1458)</f>
        <v>0.14780380433718626</v>
      </c>
      <c r="Q1435" s="3">
        <f>SUM(Q1436:Q1458)</f>
        <v>0.15163440150046489</v>
      </c>
      <c r="S1435" s="3"/>
    </row>
    <row r="1436" spans="2:19" x14ac:dyDescent="0.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SUMPRODUCT(("T_B_c-BeVELCEXT"=[1]OUT_TransportEnergyCons!$A$3:$A$1000)*1,("var_fout"=[1]OUT_TransportEnergyCons!$B$3:$B$1000)*1,ISNUMBER(SEARCH("TPBSc",[1]OUT_TransportEnergyCons!$C$3:$C$1000))*1,[1]OUT_TransportEnergyCons!H$3:H$1000)</f>
        <v>0</v>
      </c>
      <c r="K1436" s="1" cm="1">
        <f t="array" ref="K1436">SUMPRODUCT(("T_B_c-BeVELCEXT"=[1]OUT_TransportEnergyCons!$A$3:$A$1000)*1,("var_fout"=[1]OUT_TransportEnergyCons!$B$3:$B$1000)*1,ISNUMBER(SEARCH("TPBSc",[1]OUT_TransportEnergyCons!$C$3:$C$1000))*1,[1]OUT_TransportEnergyCons!I$3:I$1000)</f>
        <v>0</v>
      </c>
      <c r="L1436" s="1" cm="1">
        <f t="array" ref="L1436">SUMPRODUCT(("T_B_c-BeVELCEXT"=[1]OUT_TransportEnergyCons!$A$3:$A$1000)*1,("var_fout"=[1]OUT_TransportEnergyCons!$B$3:$B$1000)*1,ISNUMBER(SEARCH("TPBSc",[1]OUT_TransportEnergyCons!$C$3:$C$1000))*1,[1]OUT_TransportEnergyCons!J$3:J$1000)</f>
        <v>0</v>
      </c>
      <c r="M1436" s="1" cm="1">
        <f t="array" ref="M1436">SUMPRODUCT(("T_B_c-BeVELCEXT"=[1]OUT_TransportEnergyCons!$A$3:$A$1000)*1,("var_fout"=[1]OUT_TransportEnergyCons!$B$3:$B$1000)*1,ISNUMBER(SEARCH("TPBSc",[1]OUT_TransportEnergyCons!$C$3:$C$1000))*1,[1]OUT_TransportEnergyCons!K$3:K$1000)</f>
        <v>0</v>
      </c>
      <c r="N1436" s="1" cm="1">
        <f t="array" ref="N1436">SUMPRODUCT(("T_B_c-BeVELCEXT"=[1]OUT_TransportEnergyCons!$A$3:$A$1000)*1,("var_fout"=[1]OUT_TransportEnergyCons!$B$3:$B$1000)*1,ISNUMBER(SEARCH("TPBSc",[1]OUT_TransportEnergyCons!$C$3:$C$1000))*1,[1]OUT_TransportEnergyCons!L$3:L$1000)</f>
        <v>0</v>
      </c>
      <c r="O1436" s="1" cm="1">
        <f t="array" ref="O1436">SUMPRODUCT(("T_B_c-BeVELCEXT"=[1]OUT_TransportEnergyCons!$A$3:$A$1000)*1,("var_fout"=[1]OUT_TransportEnergyCons!$B$3:$B$1000)*1,ISNUMBER(SEARCH("TPBSc",[1]OUT_TransportEnergyCons!$C$3:$C$1000))*1,[1]OUT_TransportEnergyCons!M$3:M$1000)</f>
        <v>0</v>
      </c>
      <c r="P1436" s="1" cm="1">
        <f t="array" ref="P1436">SUMPRODUCT(("T_B_c-BeVELCEXT"=[1]OUT_TransportEnergyCons!$A$3:$A$1000)*1,("var_fout"=[1]OUT_TransportEnergyCons!$B$3:$B$1000)*1,ISNUMBER(SEARCH("TPBSc",[1]OUT_TransportEnergyCons!$C$3:$C$1000))*1,[1]OUT_TransportEnergyCons!N$3:N$1000)</f>
        <v>0</v>
      </c>
      <c r="Q1436" s="1" cm="1">
        <f t="array" ref="Q1436">SUMPRODUCT(("T_B_c-BeVELCEXT"=[1]OUT_TransportEnergyCons!$A$3:$A$1000)*1,("var_fout"=[1]OUT_TransportEnergyCons!$B$3:$B$1000)*1,ISNUMBER(SEARCH("TPBSc",[1]OUT_TransportEnergyCons!$C$3:$C$1000))*1,[1]OUT_TransportEnergyCons!O$3:O$1000)</f>
        <v>0</v>
      </c>
      <c r="S1436" s="3"/>
    </row>
    <row r="1437" spans="2:19" x14ac:dyDescent="0.5">
      <c r="B1437" s="5" t="str">
        <f t="shared" ref="B1437:B1458" si="1609">B1436</f>
        <v>SPS1</v>
      </c>
      <c r="C1437" s="5" t="str">
        <f t="shared" ref="C1437:C1458" si="1610">C1436</f>
        <v>CH</v>
      </c>
      <c r="D1437" t="s">
        <v>1429</v>
      </c>
      <c r="E1437" t="str">
        <f t="shared" ref="E1437:E1458" si="1611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9.62146504098006E-5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1.3674303113055819E-4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2.3140050808858259E-4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6.4539777203519222E-2</v>
      </c>
      <c r="J1437" s="1" cm="1">
        <f t="array" ref="J1437">SUMPRODUCT(("T_B_c-BEVELC-S1"=[1]OUT_TransportEnergyCons!$A$3:$A$1000)*1,("var_fout"=[1]OUT_TransportEnergyCons!$B$3:$B$1000)*1,ISNUMBER(SEARCH("TPBSc",[1]OUT_TransportEnergyCons!$C$3:$C$1000))*1,[1]OUT_TransportEnergyCons!H$3:H$1000)</f>
        <v>6.3669240087447801E-2</v>
      </c>
      <c r="K1437" s="1" cm="1">
        <f t="array" ref="K1437">SUMPRODUCT(("T_B_c-BEVELC-S1"=[1]OUT_TransportEnergyCons!$A$3:$A$1000)*1,("var_fout"=[1]OUT_TransportEnergyCons!$B$3:$B$1000)*1,ISNUMBER(SEARCH("TPBSc",[1]OUT_TransportEnergyCons!$C$3:$C$1000))*1,[1]OUT_TransportEnergyCons!I$3:I$1000)</f>
        <v>6.3470675487393782E-2</v>
      </c>
      <c r="L1437" s="1" cm="1">
        <f t="array" ref="L1437">SUMPRODUCT(("T_B_c-BEVELC-S1"=[1]OUT_TransportEnergyCons!$A$3:$A$1000)*1,("var_fout"=[1]OUT_TransportEnergyCons!$B$3:$B$1000)*1,ISNUMBER(SEARCH("TPBSc",[1]OUT_TransportEnergyCons!$C$3:$C$1000))*1,[1]OUT_TransportEnergyCons!J$3:J$1000)</f>
        <v>6.2927946929026174E-2</v>
      </c>
      <c r="M1437" s="1" cm="1">
        <f t="array" ref="M1437">SUMPRODUCT(("T_B_c-BEVELC-S1"=[1]OUT_TransportEnergyCons!$A$3:$A$1000)*1,("var_fout"=[1]OUT_TransportEnergyCons!$B$3:$B$1000)*1,ISNUMBER(SEARCH("TPBSc",[1]OUT_TransportEnergyCons!$C$3:$C$1000))*1,[1]OUT_TransportEnergyCons!K$3:K$1000)</f>
        <v>6.1870590175745747E-2</v>
      </c>
      <c r="N1437" s="1" cm="1">
        <f t="array" ref="N1437">SUMPRODUCT(("T_B_c-BEVELC-S1"=[1]OUT_TransportEnergyCons!$A$3:$A$1000)*1,("var_fout"=[1]OUT_TransportEnergyCons!$B$3:$B$1000)*1,ISNUMBER(SEARCH("TPBSc",[1]OUT_TransportEnergyCons!$C$3:$C$1000))*1,[1]OUT_TransportEnergyCons!L$3:L$1000)</f>
        <v>6.2402917475240904E-2</v>
      </c>
      <c r="O1437" s="1" cm="1">
        <f t="array" ref="O1437">SUMPRODUCT(("T_B_c-BEVELC-S1"=[1]OUT_TransportEnergyCons!$A$3:$A$1000)*1,("var_fout"=[1]OUT_TransportEnergyCons!$B$3:$B$1000)*1,ISNUMBER(SEARCH("TPBSc",[1]OUT_TransportEnergyCons!$C$3:$C$1000))*1,[1]OUT_TransportEnergyCons!M$3:M$1000)</f>
        <v>6.1897371198653017E-2</v>
      </c>
      <c r="P1437" s="1" cm="1">
        <f t="array" ref="P1437">SUMPRODUCT(("T_B_c-BEVELC-S1"=[1]OUT_TransportEnergyCons!$A$3:$A$1000)*1,("var_fout"=[1]OUT_TransportEnergyCons!$B$3:$B$1000)*1,ISNUMBER(SEARCH("TPBSc",[1]OUT_TransportEnergyCons!$C$3:$C$1000))*1,[1]OUT_TransportEnergyCons!N$3:N$1000)</f>
        <v>6.3544810665455462E-2</v>
      </c>
      <c r="Q1437" s="1" cm="1">
        <f t="array" ref="Q1437">SUMPRODUCT(("T_B_c-BEVELC-S1"=[1]OUT_TransportEnergyCons!$A$3:$A$1000)*1,("var_fout"=[1]OUT_TransportEnergyCons!$B$3:$B$1000)*1,ISNUMBER(SEARCH("TPBSc",[1]OUT_TransportEnergyCons!$C$3:$C$1000))*1,[1]OUT_TransportEnergyCons!O$3:O$1000)</f>
        <v>6.0961637098242316E-2</v>
      </c>
      <c r="S1437" s="3"/>
    </row>
    <row r="1438" spans="2:19" x14ac:dyDescent="0.5">
      <c r="B1438" s="5" t="str">
        <f t="shared" si="1609"/>
        <v>SPS1</v>
      </c>
      <c r="C1438" s="5" t="str">
        <f t="shared" si="1610"/>
        <v>CH</v>
      </c>
      <c r="D1438" t="s">
        <v>1430</v>
      </c>
      <c r="E1438" t="str">
        <f t="shared" si="1611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1.6473721072498591E-4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1.3255763536484968E-4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2.1659865814393527E-4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2.7513485420767498E-2</v>
      </c>
      <c r="J1438" s="1" cm="1">
        <f t="array" ref="J1438">SUMPRODUCT(("T_B_c-BEVELC-S2"=[1]OUT_TransportEnergyCons!$A$3:$A$1000)*1,("var_fout"=[1]OUT_TransportEnergyCons!$B$3:$B$1000)*1,ISNUMBER(SEARCH("TPBSc",[1]OUT_TransportEnergyCons!$C$3:$C$1000))*1,[1]OUT_TransportEnergyCons!H$3:H$1000)</f>
        <v>2.8459641445882405E-2</v>
      </c>
      <c r="K1438" s="1" cm="1">
        <f t="array" ref="K1438">SUMPRODUCT(("T_B_c-BEVELC-S2"=[1]OUT_TransportEnergyCons!$A$3:$A$1000)*1,("var_fout"=[1]OUT_TransportEnergyCons!$B$3:$B$1000)*1,ISNUMBER(SEARCH("TPBSc",[1]OUT_TransportEnergyCons!$C$3:$C$1000))*1,[1]OUT_TransportEnergyCons!I$3:I$1000)</f>
        <v>2.8448832654171481E-2</v>
      </c>
      <c r="L1438" s="1" cm="1">
        <f t="array" ref="L1438">SUMPRODUCT(("T_B_c-BEVELC-S2"=[1]OUT_TransportEnergyCons!$A$3:$A$1000)*1,("var_fout"=[1]OUT_TransportEnergyCons!$B$3:$B$1000)*1,ISNUMBER(SEARCH("TPBSc",[1]OUT_TransportEnergyCons!$C$3:$C$1000))*1,[1]OUT_TransportEnergyCons!J$3:J$1000)</f>
        <v>2.8734276170704426E-2</v>
      </c>
      <c r="M1438" s="1" cm="1">
        <f t="array" ref="M1438">SUMPRODUCT(("T_B_c-BEVELC-S2"=[1]OUT_TransportEnergyCons!$A$3:$A$1000)*1,("var_fout"=[1]OUT_TransportEnergyCons!$B$3:$B$1000)*1,ISNUMBER(SEARCH("TPBSc",[1]OUT_TransportEnergyCons!$C$3:$C$1000))*1,[1]OUT_TransportEnergyCons!K$3:K$1000)</f>
        <v>2.9249014975480589E-2</v>
      </c>
      <c r="N1438" s="1" cm="1">
        <f t="array" ref="N1438">SUMPRODUCT(("T_B_c-BEVELC-S2"=[1]OUT_TransportEnergyCons!$A$3:$A$1000)*1,("var_fout"=[1]OUT_TransportEnergyCons!$B$3:$B$1000)*1,ISNUMBER(SEARCH("TPBSc",[1]OUT_TransportEnergyCons!$C$3:$C$1000))*1,[1]OUT_TransportEnergyCons!L$3:L$1000)</f>
        <v>2.8569455674237548E-2</v>
      </c>
      <c r="O1438" s="1" cm="1">
        <f t="array" ref="O1438">SUMPRODUCT(("T_B_c-BEVELC-S2"=[1]OUT_TransportEnergyCons!$A$3:$A$1000)*1,("var_fout"=[1]OUT_TransportEnergyCons!$B$3:$B$1000)*1,ISNUMBER(SEARCH("TPBSc",[1]OUT_TransportEnergyCons!$C$3:$C$1000))*1,[1]OUT_TransportEnergyCons!M$3:M$1000)</f>
        <v>2.8169703782267616E-2</v>
      </c>
      <c r="P1438" s="1" cm="1">
        <f t="array" ref="P1438">SUMPRODUCT(("T_B_c-BEVELC-S2"=[1]OUT_TransportEnergyCons!$A$3:$A$1000)*1,("var_fout"=[1]OUT_TransportEnergyCons!$B$3:$B$1000)*1,ISNUMBER(SEARCH("TPBSc",[1]OUT_TransportEnergyCons!$C$3:$C$1000))*1,[1]OUT_TransportEnergyCons!N$3:N$1000)</f>
        <v>2.5467412051466506E-2</v>
      </c>
      <c r="Q1438" s="1" cm="1">
        <f t="array" ref="Q1438">SUMPRODUCT(("T_B_c-BEVELC-S2"=[1]OUT_TransportEnergyCons!$A$3:$A$1000)*1,("var_fout"=[1]OUT_TransportEnergyCons!$B$3:$B$1000)*1,ISNUMBER(SEARCH("TPBSc",[1]OUT_TransportEnergyCons!$C$3:$C$1000))*1,[1]OUT_TransportEnergyCons!O$3:O$1000)</f>
        <v>2.4541112524031086E-2</v>
      </c>
      <c r="S1438" s="3"/>
    </row>
    <row r="1439" spans="2:19" x14ac:dyDescent="0.5">
      <c r="B1439" s="5" t="str">
        <f t="shared" si="1609"/>
        <v>SPS1</v>
      </c>
      <c r="C1439" s="5" t="str">
        <f t="shared" si="1610"/>
        <v>CH</v>
      </c>
      <c r="D1439" t="s">
        <v>1431</v>
      </c>
      <c r="E1439" t="str">
        <f t="shared" si="1611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5.5381445175268716E-5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7.760539560193607E-5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1.0268275876569263E-4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1.3470369746570215E-4</v>
      </c>
      <c r="J1439" s="1" cm="1">
        <f t="array" ref="J1439">SUMPRODUCT(("T_B_c-BEVELC-S3"=[1]OUT_TransportEnergyCons!$A$3:$A$1000)*1,("var_fout"=[1]OUT_TransportEnergyCons!$B$3:$B$1000)*1,ISNUMBER(SEARCH("TPBSc",[1]OUT_TransportEnergyCons!$C$3:$C$1000))*1,[1]OUT_TransportEnergyCons!H$3:H$1000)</f>
        <v>2.9671781656263532E-4</v>
      </c>
      <c r="K1439" s="1" cm="1">
        <f t="array" ref="K1439">SUMPRODUCT(("T_B_c-BEVELC-S3"=[1]OUT_TransportEnergyCons!$A$3:$A$1000)*1,("var_fout"=[1]OUT_TransportEnergyCons!$B$3:$B$1000)*1,ISNUMBER(SEARCH("TPBSc",[1]OUT_TransportEnergyCons!$C$3:$C$1000))*1,[1]OUT_TransportEnergyCons!I$3:I$1000)</f>
        <v>4.8603788474817461E-4</v>
      </c>
      <c r="L1439" s="1" cm="1">
        <f t="array" ref="L1439">SUMPRODUCT(("T_B_c-BEVELC-S3"=[1]OUT_TransportEnergyCons!$A$3:$A$1000)*1,("var_fout"=[1]OUT_TransportEnergyCons!$B$3:$B$1000)*1,ISNUMBER(SEARCH("TPBSc",[1]OUT_TransportEnergyCons!$C$3:$C$1000))*1,[1]OUT_TransportEnergyCons!J$3:J$1000)</f>
        <v>6.8520719154843408E-4</v>
      </c>
      <c r="M1439" s="1" cm="1">
        <f t="array" ref="M1439">SUMPRODUCT(("T_B_c-BEVELC-S3"=[1]OUT_TransportEnergyCons!$A$3:$A$1000)*1,("var_fout"=[1]OUT_TransportEnergyCons!$B$3:$B$1000)*1,ISNUMBER(SEARCH("TPBSc",[1]OUT_TransportEnergyCons!$C$3:$C$1000))*1,[1]OUT_TransportEnergyCons!K$3:K$1000)</f>
        <v>9.6183275398605266E-4</v>
      </c>
      <c r="N1439" s="1" cm="1">
        <f t="array" ref="N1439">SUMPRODUCT(("T_B_c-BEVELC-S3"=[1]OUT_TransportEnergyCons!$A$3:$A$1000)*1,("var_fout"=[1]OUT_TransportEnergyCons!$B$3:$B$1000)*1,ISNUMBER(SEARCH("TPBSc",[1]OUT_TransportEnergyCons!$C$3:$C$1000))*1,[1]OUT_TransportEnergyCons!L$3:L$1000)</f>
        <v>1.14085810082415E-3</v>
      </c>
      <c r="O1439" s="1" cm="1">
        <f t="array" ref="O1439">SUMPRODUCT(("T_B_c-BEVELC-S3"=[1]OUT_TransportEnergyCons!$A$3:$A$1000)*1,("var_fout"=[1]OUT_TransportEnergyCons!$B$3:$B$1000)*1,ISNUMBER(SEARCH("TPBSc",[1]OUT_TransportEnergyCons!$C$3:$C$1000))*1,[1]OUT_TransportEnergyCons!M$3:M$1000)</f>
        <v>1.6326499370407743E-3</v>
      </c>
      <c r="P1439" s="1" cm="1">
        <f t="array" ref="P1439">SUMPRODUCT(("T_B_c-BEVELC-S3"=[1]OUT_TransportEnergyCons!$A$3:$A$1000)*1,("var_fout"=[1]OUT_TransportEnergyCons!$B$3:$B$1000)*1,ISNUMBER(SEARCH("TPBSc",[1]OUT_TransportEnergyCons!$C$3:$C$1000))*1,[1]OUT_TransportEnergyCons!N$3:N$1000)</f>
        <v>2.6907222863161418E-3</v>
      </c>
      <c r="Q1439" s="1" cm="1">
        <f t="array" ref="Q1439">SUMPRODUCT(("T_B_c-BEVELC-S3"=[1]OUT_TransportEnergyCons!$A$3:$A$1000)*1,("var_fout"=[1]OUT_TransportEnergyCons!$B$3:$B$1000)*1,ISNUMBER(SEARCH("TPBSc",[1]OUT_TransportEnergyCons!$C$3:$C$1000))*1,[1]OUT_TransportEnergyCons!O$3:O$1000)</f>
        <v>6.1338416885355204E-3</v>
      </c>
      <c r="S1439" s="3"/>
    </row>
    <row r="1440" spans="2:19" x14ac:dyDescent="0.5">
      <c r="B1440" s="5" t="str">
        <f t="shared" si="1609"/>
        <v>SPS1</v>
      </c>
      <c r="C1440" s="5" t="str">
        <f t="shared" si="1610"/>
        <v>CH</v>
      </c>
      <c r="D1440" t="s">
        <v>1432</v>
      </c>
      <c r="E1440" t="str">
        <f t="shared" si="1611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6.709837299063001E-6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1.4397635183082077E-5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1.282388247279102E-5</v>
      </c>
      <c r="J1440" s="1" cm="1">
        <f t="array" ref="J1440">SUMPRODUCT(("T_B_c-BEVELC-S4"=[1]OUT_TransportEnergyCons!$A$3:$A$1000)*1,("var_fout"=[1]OUT_TransportEnergyCons!$B$3:$B$1000)*1,ISNUMBER(SEARCH("TPBSc",[1]OUT_TransportEnergyCons!$C$3:$C$1000))*1,[1]OUT_TransportEnergyCons!H$3:H$1000)</f>
        <v>1.5722705346154469E-5</v>
      </c>
      <c r="K1440" s="1" cm="1">
        <f t="array" ref="K1440">SUMPRODUCT(("T_B_c-BEVELC-S4"=[1]OUT_TransportEnergyCons!$A$3:$A$1000)*1,("var_fout"=[1]OUT_TransportEnergyCons!$B$3:$B$1000)*1,ISNUMBER(SEARCH("TPBSc",[1]OUT_TransportEnergyCons!$C$3:$C$1000))*1,[1]OUT_TransportEnergyCons!I$3:I$1000)</f>
        <v>2.5063638139749349E-5</v>
      </c>
      <c r="L1440" s="1" cm="1">
        <f t="array" ref="L1440">SUMPRODUCT(("T_B_c-BEVELC-S4"=[1]OUT_TransportEnergyCons!$A$3:$A$1000)*1,("var_fout"=[1]OUT_TransportEnergyCons!$B$3:$B$1000)*1,ISNUMBER(SEARCH("TPBSc",[1]OUT_TransportEnergyCons!$C$3:$C$1000))*1,[1]OUT_TransportEnergyCons!J$3:J$1000)</f>
        <v>2.3898943604842355E-5</v>
      </c>
      <c r="M1440" s="1" cm="1">
        <f t="array" ref="M1440">SUMPRODUCT(("T_B_c-BEVELC-S4"=[1]OUT_TransportEnergyCons!$A$3:$A$1000)*1,("var_fout"=[1]OUT_TransportEnergyCons!$B$3:$B$1000)*1,ISNUMBER(SEARCH("TPBSc",[1]OUT_TransportEnergyCons!$C$3:$C$1000))*1,[1]OUT_TransportEnergyCons!K$3:K$1000)</f>
        <v>3.3523081183099093E-5</v>
      </c>
      <c r="N1440" s="1" cm="1">
        <f t="array" ref="N1440">SUMPRODUCT(("T_B_c-BEVELC-S4"=[1]OUT_TransportEnergyCons!$A$3:$A$1000)*1,("var_fout"=[1]OUT_TransportEnergyCons!$B$3:$B$1000)*1,ISNUMBER(SEARCH("TPBSc",[1]OUT_TransportEnergyCons!$C$3:$C$1000))*1,[1]OUT_TransportEnergyCons!L$3:L$1000)</f>
        <v>3.264585418672392E-5</v>
      </c>
      <c r="O1440" s="1" cm="1">
        <f t="array" ref="O1440">SUMPRODUCT(("T_B_c-BEVELC-S4"=[1]OUT_TransportEnergyCons!$A$3:$A$1000)*1,("var_fout"=[1]OUT_TransportEnergyCons!$B$3:$B$1000)*1,ISNUMBER(SEARCH("TPBSc",[1]OUT_TransportEnergyCons!$C$3:$C$1000))*1,[1]OUT_TransportEnergyCons!M$3:M$1000)</f>
        <v>3.2338856110856924E-5</v>
      </c>
      <c r="P1440" s="1" cm="1">
        <f t="array" ref="P1440">SUMPRODUCT(("T_B_c-BEVELC-S4"=[1]OUT_TransportEnergyCons!$A$3:$A$1000)*1,("var_fout"=[1]OUT_TransportEnergyCons!$B$3:$B$1000)*1,ISNUMBER(SEARCH("TPBSc",[1]OUT_TransportEnergyCons!$C$3:$C$1000))*1,[1]OUT_TransportEnergyCons!N$3:N$1000)</f>
        <v>4.5047034164012891E-5</v>
      </c>
      <c r="Q1440" s="1" cm="1">
        <f t="array" ref="Q1440">SUMPRODUCT(("T_B_c-BEVELC-S4"=[1]OUT_TransportEnergyCons!$A$3:$A$1000)*1,("var_fout"=[1]OUT_TransportEnergyCons!$B$3:$B$1000)*1,ISNUMBER(SEARCH("TPBSc",[1]OUT_TransportEnergyCons!$C$3:$C$1000))*1,[1]OUT_TransportEnergyCons!O$3:O$1000)</f>
        <v>6.063504450022549E-5</v>
      </c>
      <c r="S1440" s="3"/>
    </row>
    <row r="1441" spans="2:19" x14ac:dyDescent="0.5">
      <c r="B1441" s="5" t="str">
        <f t="shared" si="1609"/>
        <v>SPS1</v>
      </c>
      <c r="C1441" s="5" t="str">
        <f t="shared" si="1610"/>
        <v>CH</v>
      </c>
      <c r="D1441" t="s">
        <v>1433</v>
      </c>
      <c r="E1441" t="str">
        <f t="shared" si="1611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SUMPRODUCT(("T_B_c-FCLH2O-S1"=[1]OUT_TransportEnergyCons!$A$3:$A$1000)*1,("var_fout"=[1]OUT_TransportEnergyCons!$B$3:$B$1000)*1,ISNUMBER(SEARCH("TPBSc",[1]OUT_TransportEnergyCons!$C$3:$C$1000))*1,[1]OUT_TransportEnergyCons!H$3:H$1000)</f>
        <v>0</v>
      </c>
      <c r="K1441" s="1" cm="1">
        <f t="array" ref="K1441">SUMPRODUCT(("T_B_c-FCLH2O-S1"=[1]OUT_TransportEnergyCons!$A$3:$A$1000)*1,("var_fout"=[1]OUT_TransportEnergyCons!$B$3:$B$1000)*1,ISNUMBER(SEARCH("TPBSc",[1]OUT_TransportEnergyCons!$C$3:$C$1000))*1,[1]OUT_TransportEnergyCons!I$3:I$1000)</f>
        <v>0</v>
      </c>
      <c r="L1441" s="1" cm="1">
        <f t="array" ref="L1441">SUMPRODUCT(("T_B_c-FCLH2O-S1"=[1]OUT_TransportEnergyCons!$A$3:$A$1000)*1,("var_fout"=[1]OUT_TransportEnergyCons!$B$3:$B$1000)*1,ISNUMBER(SEARCH("TPBSc",[1]OUT_TransportEnergyCons!$C$3:$C$1000))*1,[1]OUT_TransportEnergyCons!J$3:J$1000)</f>
        <v>0</v>
      </c>
      <c r="M1441" s="1" cm="1">
        <f t="array" ref="M1441">SUMPRODUCT(("T_B_c-FCLH2O-S1"=[1]OUT_TransportEnergyCons!$A$3:$A$1000)*1,("var_fout"=[1]OUT_TransportEnergyCons!$B$3:$B$1000)*1,ISNUMBER(SEARCH("TPBSc",[1]OUT_TransportEnergyCons!$C$3:$C$1000))*1,[1]OUT_TransportEnergyCons!K$3:K$1000)</f>
        <v>0</v>
      </c>
      <c r="N1441" s="1" cm="1">
        <f t="array" ref="N1441">SUMPRODUCT(("T_B_c-FCLH2O-S1"=[1]OUT_TransportEnergyCons!$A$3:$A$1000)*1,("var_fout"=[1]OUT_TransportEnergyCons!$B$3:$B$1000)*1,ISNUMBER(SEARCH("TPBSc",[1]OUT_TransportEnergyCons!$C$3:$C$1000))*1,[1]OUT_TransportEnergyCons!L$3:L$1000)</f>
        <v>0</v>
      </c>
      <c r="O1441" s="1" cm="1">
        <f t="array" ref="O1441">SUMPRODUCT(("T_B_c-FCLH2O-S1"=[1]OUT_TransportEnergyCons!$A$3:$A$1000)*1,("var_fout"=[1]OUT_TransportEnergyCons!$B$3:$B$1000)*1,ISNUMBER(SEARCH("TPBSc",[1]OUT_TransportEnergyCons!$C$3:$C$1000))*1,[1]OUT_TransportEnergyCons!M$3:M$1000)</f>
        <v>0</v>
      </c>
      <c r="P1441" s="1" cm="1">
        <f t="array" ref="P1441">SUMPRODUCT(("T_B_c-FCLH2O-S1"=[1]OUT_TransportEnergyCons!$A$3:$A$1000)*1,("var_fout"=[1]OUT_TransportEnergyCons!$B$3:$B$1000)*1,ISNUMBER(SEARCH("TPBSc",[1]OUT_TransportEnergyCons!$C$3:$C$1000))*1,[1]OUT_TransportEnergyCons!N$3:N$1000)</f>
        <v>0</v>
      </c>
      <c r="Q1441" s="1" cm="1">
        <f t="array" ref="Q1441">SUMPRODUCT(("T_B_c-FCLH2O-S1"=[1]OUT_TransportEnergyCons!$A$3:$A$1000)*1,("var_fout"=[1]OUT_TransportEnergyCons!$B$3:$B$1000)*1,ISNUMBER(SEARCH("TPBSc",[1]OUT_TransportEnergyCons!$C$3:$C$1000))*1,[1]OUT_TransportEnergyCons!O$3:O$1000)</f>
        <v>0</v>
      </c>
      <c r="S1441" s="3"/>
    </row>
    <row r="1442" spans="2:19" x14ac:dyDescent="0.5">
      <c r="B1442" s="5" t="str">
        <f t="shared" si="1609"/>
        <v>SPS1</v>
      </c>
      <c r="C1442" s="5" t="str">
        <f t="shared" si="1610"/>
        <v>CH</v>
      </c>
      <c r="D1442" t="s">
        <v>1434</v>
      </c>
      <c r="E1442" t="str">
        <f t="shared" si="1611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4.1942039332223297E-8</v>
      </c>
      <c r="J1442" s="1" cm="1">
        <f t="array" ref="J1442">SUMPRODUCT(("T_B_c-FCLH2O-S2"=[1]OUT_TransportEnergyCons!$A$3:$A$1000)*1,("var_fout"=[1]OUT_TransportEnergyCons!$B$3:$B$1000)*1,ISNUMBER(SEARCH("TPBSc",[1]OUT_TransportEnergyCons!$C$3:$C$1000))*1,[1]OUT_TransportEnergyCons!H$3:H$1000)</f>
        <v>0</v>
      </c>
      <c r="K1442" s="1" cm="1">
        <f t="array" ref="K1442">SUMPRODUCT(("T_B_c-FCLH2O-S2"=[1]OUT_TransportEnergyCons!$A$3:$A$1000)*1,("var_fout"=[1]OUT_TransportEnergyCons!$B$3:$B$1000)*1,ISNUMBER(SEARCH("TPBSc",[1]OUT_TransportEnergyCons!$C$3:$C$1000))*1,[1]OUT_TransportEnergyCons!I$3:I$1000)</f>
        <v>0</v>
      </c>
      <c r="L1442" s="1" cm="1">
        <f t="array" ref="L1442">SUMPRODUCT(("T_B_c-FCLH2O-S2"=[1]OUT_TransportEnergyCons!$A$3:$A$1000)*1,("var_fout"=[1]OUT_TransportEnergyCons!$B$3:$B$1000)*1,ISNUMBER(SEARCH("TPBSc",[1]OUT_TransportEnergyCons!$C$3:$C$1000))*1,[1]OUT_TransportEnergyCons!J$3:J$1000)</f>
        <v>0</v>
      </c>
      <c r="M1442" s="1" cm="1">
        <f t="array" ref="M1442">SUMPRODUCT(("T_B_c-FCLH2O-S2"=[1]OUT_TransportEnergyCons!$A$3:$A$1000)*1,("var_fout"=[1]OUT_TransportEnergyCons!$B$3:$B$1000)*1,ISNUMBER(SEARCH("TPBSc",[1]OUT_TransportEnergyCons!$C$3:$C$1000))*1,[1]OUT_TransportEnergyCons!K$3:K$1000)</f>
        <v>0</v>
      </c>
      <c r="N1442" s="1" cm="1">
        <f t="array" ref="N1442">SUMPRODUCT(("T_B_c-FCLH2O-S2"=[1]OUT_TransportEnergyCons!$A$3:$A$1000)*1,("var_fout"=[1]OUT_TransportEnergyCons!$B$3:$B$1000)*1,ISNUMBER(SEARCH("TPBSc",[1]OUT_TransportEnergyCons!$C$3:$C$1000))*1,[1]OUT_TransportEnergyCons!L$3:L$1000)</f>
        <v>0</v>
      </c>
      <c r="O1442" s="1" cm="1">
        <f t="array" ref="O1442">SUMPRODUCT(("T_B_c-FCLH2O-S2"=[1]OUT_TransportEnergyCons!$A$3:$A$1000)*1,("var_fout"=[1]OUT_TransportEnergyCons!$B$3:$B$1000)*1,ISNUMBER(SEARCH("TPBSc",[1]OUT_TransportEnergyCons!$C$3:$C$1000))*1,[1]OUT_TransportEnergyCons!M$3:M$1000)</f>
        <v>0</v>
      </c>
      <c r="P1442" s="1" cm="1">
        <f t="array" ref="P1442">SUMPRODUCT(("T_B_c-FCLH2O-S2"=[1]OUT_TransportEnergyCons!$A$3:$A$1000)*1,("var_fout"=[1]OUT_TransportEnergyCons!$B$3:$B$1000)*1,ISNUMBER(SEARCH("TPBSc",[1]OUT_TransportEnergyCons!$C$3:$C$1000))*1,[1]OUT_TransportEnergyCons!N$3:N$1000)</f>
        <v>0</v>
      </c>
      <c r="Q1442" s="1" cm="1">
        <f t="array" ref="Q1442">SUMPRODUCT(("T_B_c-FCLH2O-S2"=[1]OUT_TransportEnergyCons!$A$3:$A$1000)*1,("var_fout"=[1]OUT_TransportEnergyCons!$B$3:$B$1000)*1,ISNUMBER(SEARCH("TPBSc",[1]OUT_TransportEnergyCons!$C$3:$C$1000))*1,[1]OUT_TransportEnergyCons!O$3:O$1000)</f>
        <v>0</v>
      </c>
      <c r="S1442" s="3"/>
    </row>
    <row r="1443" spans="2:19" x14ac:dyDescent="0.5">
      <c r="B1443" s="5" t="str">
        <f t="shared" si="1609"/>
        <v>SPS1</v>
      </c>
      <c r="C1443" s="5" t="str">
        <f t="shared" si="1610"/>
        <v>CH</v>
      </c>
      <c r="D1443" t="s">
        <v>1435</v>
      </c>
      <c r="E1443" t="str">
        <f t="shared" si="1611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1.3560971260390002E-7</v>
      </c>
      <c r="J1443" s="1" cm="1">
        <f t="array" ref="J1443">SUMPRODUCT(("T_B_c-FCLH2O-S3"=[1]OUT_TransportEnergyCons!$A$3:$A$1000)*1,("var_fout"=[1]OUT_TransportEnergyCons!$B$3:$B$1000)*1,ISNUMBER(SEARCH("TPBSc",[1]OUT_TransportEnergyCons!$C$3:$C$1000))*1,[1]OUT_TransportEnergyCons!H$3:H$1000)</f>
        <v>0</v>
      </c>
      <c r="K1443" s="1" cm="1">
        <f t="array" ref="K1443">SUMPRODUCT(("T_B_c-FCLH2O-S3"=[1]OUT_TransportEnergyCons!$A$3:$A$1000)*1,("var_fout"=[1]OUT_TransportEnergyCons!$B$3:$B$1000)*1,ISNUMBER(SEARCH("TPBSc",[1]OUT_TransportEnergyCons!$C$3:$C$1000))*1,[1]OUT_TransportEnergyCons!I$3:I$1000)</f>
        <v>0</v>
      </c>
      <c r="L1443" s="1" cm="1">
        <f t="array" ref="L1443">SUMPRODUCT(("T_B_c-FCLH2O-S3"=[1]OUT_TransportEnergyCons!$A$3:$A$1000)*1,("var_fout"=[1]OUT_TransportEnergyCons!$B$3:$B$1000)*1,ISNUMBER(SEARCH("TPBSc",[1]OUT_TransportEnergyCons!$C$3:$C$1000))*1,[1]OUT_TransportEnergyCons!J$3:J$1000)</f>
        <v>0</v>
      </c>
      <c r="M1443" s="1" cm="1">
        <f t="array" ref="M1443">SUMPRODUCT(("T_B_c-FCLH2O-S3"=[1]OUT_TransportEnergyCons!$A$3:$A$1000)*1,("var_fout"=[1]OUT_TransportEnergyCons!$B$3:$B$1000)*1,ISNUMBER(SEARCH("TPBSc",[1]OUT_TransportEnergyCons!$C$3:$C$1000))*1,[1]OUT_TransportEnergyCons!K$3:K$1000)</f>
        <v>0</v>
      </c>
      <c r="N1443" s="1" cm="1">
        <f t="array" ref="N1443">SUMPRODUCT(("T_B_c-FCLH2O-S3"=[1]OUT_TransportEnergyCons!$A$3:$A$1000)*1,("var_fout"=[1]OUT_TransportEnergyCons!$B$3:$B$1000)*1,ISNUMBER(SEARCH("TPBSc",[1]OUT_TransportEnergyCons!$C$3:$C$1000))*1,[1]OUT_TransportEnergyCons!L$3:L$1000)</f>
        <v>0</v>
      </c>
      <c r="O1443" s="1" cm="1">
        <f t="array" ref="O1443">SUMPRODUCT(("T_B_c-FCLH2O-S3"=[1]OUT_TransportEnergyCons!$A$3:$A$1000)*1,("var_fout"=[1]OUT_TransportEnergyCons!$B$3:$B$1000)*1,ISNUMBER(SEARCH("TPBSc",[1]OUT_TransportEnergyCons!$C$3:$C$1000))*1,[1]OUT_TransportEnergyCons!M$3:M$1000)</f>
        <v>0</v>
      </c>
      <c r="P1443" s="1" cm="1">
        <f t="array" ref="P1443">SUMPRODUCT(("T_B_c-FCLH2O-S3"=[1]OUT_TransportEnergyCons!$A$3:$A$1000)*1,("var_fout"=[1]OUT_TransportEnergyCons!$B$3:$B$1000)*1,ISNUMBER(SEARCH("TPBSc",[1]OUT_TransportEnergyCons!$C$3:$C$1000))*1,[1]OUT_TransportEnergyCons!N$3:N$1000)</f>
        <v>0</v>
      </c>
      <c r="Q1443" s="1" cm="1">
        <f t="array" ref="Q1443">SUMPRODUCT(("T_B_c-FCLH2O-S3"=[1]OUT_TransportEnergyCons!$A$3:$A$1000)*1,("var_fout"=[1]OUT_TransportEnergyCons!$B$3:$B$1000)*1,ISNUMBER(SEARCH("TPBSc",[1]OUT_TransportEnergyCons!$C$3:$C$1000))*1,[1]OUT_TransportEnergyCons!O$3:O$1000)</f>
        <v>0</v>
      </c>
      <c r="S1443" s="3"/>
    </row>
    <row r="1444" spans="2:19" x14ac:dyDescent="0.5">
      <c r="B1444" s="5" t="str">
        <f t="shared" si="1609"/>
        <v>SPS1</v>
      </c>
      <c r="C1444" s="5" t="str">
        <f t="shared" si="1610"/>
        <v>CH</v>
      </c>
      <c r="D1444" t="s">
        <v>1436</v>
      </c>
      <c r="E1444" t="str">
        <f t="shared" si="1611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SUMPRODUCT(("T_B_c-FCLH2O-S4"=[1]OUT_TransportEnergyCons!$A$3:$A$1000)*1,("var_fout"=[1]OUT_TransportEnergyCons!$B$3:$B$1000)*1,ISNUMBER(SEARCH("TPBSc",[1]OUT_TransportEnergyCons!$C$3:$C$1000))*1,[1]OUT_TransportEnergyCons!H$3:H$1000)</f>
        <v>0</v>
      </c>
      <c r="K1444" s="1" cm="1">
        <f t="array" ref="K1444">SUMPRODUCT(("T_B_c-FCLH2O-S4"=[1]OUT_TransportEnergyCons!$A$3:$A$1000)*1,("var_fout"=[1]OUT_TransportEnergyCons!$B$3:$B$1000)*1,ISNUMBER(SEARCH("TPBSc",[1]OUT_TransportEnergyCons!$C$3:$C$1000))*1,[1]OUT_TransportEnergyCons!I$3:I$1000)</f>
        <v>0</v>
      </c>
      <c r="L1444" s="1" cm="1">
        <f t="array" ref="L1444">SUMPRODUCT(("T_B_c-FCLH2O-S4"=[1]OUT_TransportEnergyCons!$A$3:$A$1000)*1,("var_fout"=[1]OUT_TransportEnergyCons!$B$3:$B$1000)*1,ISNUMBER(SEARCH("TPBSc",[1]OUT_TransportEnergyCons!$C$3:$C$1000))*1,[1]OUT_TransportEnergyCons!J$3:J$1000)</f>
        <v>0</v>
      </c>
      <c r="M1444" s="1" cm="1">
        <f t="array" ref="M1444">SUMPRODUCT(("T_B_c-FCLH2O-S4"=[1]OUT_TransportEnergyCons!$A$3:$A$1000)*1,("var_fout"=[1]OUT_TransportEnergyCons!$B$3:$B$1000)*1,ISNUMBER(SEARCH("TPBSc",[1]OUT_TransportEnergyCons!$C$3:$C$1000))*1,[1]OUT_TransportEnergyCons!K$3:K$1000)</f>
        <v>0</v>
      </c>
      <c r="N1444" s="1" cm="1">
        <f t="array" ref="N1444">SUMPRODUCT(("T_B_c-FCLH2O-S4"=[1]OUT_TransportEnergyCons!$A$3:$A$1000)*1,("var_fout"=[1]OUT_TransportEnergyCons!$B$3:$B$1000)*1,ISNUMBER(SEARCH("TPBSc",[1]OUT_TransportEnergyCons!$C$3:$C$1000))*1,[1]OUT_TransportEnergyCons!L$3:L$1000)</f>
        <v>0</v>
      </c>
      <c r="O1444" s="1" cm="1">
        <f t="array" ref="O1444">SUMPRODUCT(("T_B_c-FCLH2O-S4"=[1]OUT_TransportEnergyCons!$A$3:$A$1000)*1,("var_fout"=[1]OUT_TransportEnergyCons!$B$3:$B$1000)*1,ISNUMBER(SEARCH("TPBSc",[1]OUT_TransportEnergyCons!$C$3:$C$1000))*1,[1]OUT_TransportEnergyCons!M$3:M$1000)</f>
        <v>0</v>
      </c>
      <c r="P1444" s="1" cm="1">
        <f t="array" ref="P1444">SUMPRODUCT(("T_B_c-FCLH2O-S4"=[1]OUT_TransportEnergyCons!$A$3:$A$1000)*1,("var_fout"=[1]OUT_TransportEnergyCons!$B$3:$B$1000)*1,ISNUMBER(SEARCH("TPBSc",[1]OUT_TransportEnergyCons!$C$3:$C$1000))*1,[1]OUT_TransportEnergyCons!N$3:N$1000)</f>
        <v>0</v>
      </c>
      <c r="Q1444" s="1" cm="1">
        <f t="array" ref="Q1444">SUMPRODUCT(("T_B_c-FCLH2O-S4"=[1]OUT_TransportEnergyCons!$A$3:$A$1000)*1,("var_fout"=[1]OUT_TransportEnergyCons!$B$3:$B$1000)*1,ISNUMBER(SEARCH("TPBSc",[1]OUT_TransportEnergyCons!$C$3:$C$1000))*1,[1]OUT_TransportEnergyCons!O$3:O$1000)</f>
        <v>0</v>
      </c>
      <c r="S1444" s="3"/>
    </row>
    <row r="1445" spans="2:19" x14ac:dyDescent="0.5">
      <c r="B1445" s="5" t="str">
        <f t="shared" si="1609"/>
        <v>SPS1</v>
      </c>
      <c r="C1445" s="5" t="str">
        <f t="shared" si="1610"/>
        <v>CH</v>
      </c>
      <c r="D1445" t="s">
        <v>1437</v>
      </c>
      <c r="E1445" t="str">
        <f t="shared" si="1611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2.501276113340396E-4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3.1847235052880204E-4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1.7233391156756846E-4</v>
      </c>
      <c r="J1445" s="1" cm="1">
        <f t="array" ref="J1445">SUMPRODUCT(("T_B_c-HYBDSL-S1"=[1]OUT_TransportEnergyCons!$A$3:$A$1000)*1,("var_fout"=[1]OUT_TransportEnergyCons!$B$3:$B$1000)*1,ISNUMBER(SEARCH("TPBSc",[1]OUT_TransportEnergyCons!$C$3:$C$1000))*1,[1]OUT_TransportEnergyCons!H$3:H$1000)</f>
        <v>1.1472880596636679E-3</v>
      </c>
      <c r="K1445" s="1" cm="1">
        <f t="array" ref="K1445">SUMPRODUCT(("T_B_c-HYBDSL-S1"=[1]OUT_TransportEnergyCons!$A$3:$A$1000)*1,("var_fout"=[1]OUT_TransportEnergyCons!$B$3:$B$1000)*1,ISNUMBER(SEARCH("TPBSc",[1]OUT_TransportEnergyCons!$C$3:$C$1000))*1,[1]OUT_TransportEnergyCons!I$3:I$1000)</f>
        <v>1.3781551214607629E-3</v>
      </c>
      <c r="L1445" s="1" cm="1">
        <f t="array" ref="L1445">SUMPRODUCT(("T_B_c-HYBDSL-S1"=[1]OUT_TransportEnergyCons!$A$3:$A$1000)*1,("var_fout"=[1]OUT_TransportEnergyCons!$B$3:$B$1000)*1,ISNUMBER(SEARCH("TPBSc",[1]OUT_TransportEnergyCons!$C$3:$C$1000))*1,[1]OUT_TransportEnergyCons!J$3:J$1000)</f>
        <v>2.0817389745977286E-3</v>
      </c>
      <c r="M1445" s="1" cm="1">
        <f t="array" ref="M1445">SUMPRODUCT(("T_B_c-HYBDSL-S1"=[1]OUT_TransportEnergyCons!$A$3:$A$1000)*1,("var_fout"=[1]OUT_TransportEnergyCons!$B$3:$B$1000)*1,ISNUMBER(SEARCH("TPBSc",[1]OUT_TransportEnergyCons!$C$3:$C$1000))*1,[1]OUT_TransportEnergyCons!K$3:K$1000)</f>
        <v>3.2872802919994316E-3</v>
      </c>
      <c r="N1445" s="1" cm="1">
        <f t="array" ref="N1445">SUMPRODUCT(("T_B_c-HYBDSL-S1"=[1]OUT_TransportEnergyCons!$A$3:$A$1000)*1,("var_fout"=[1]OUT_TransportEnergyCons!$B$3:$B$1000)*1,ISNUMBER(SEARCH("TPBSc",[1]OUT_TransportEnergyCons!$C$3:$C$1000))*1,[1]OUT_TransportEnergyCons!L$3:L$1000)</f>
        <v>4.8231517593750883E-3</v>
      </c>
      <c r="O1445" s="1" cm="1">
        <f t="array" ref="O1445">SUMPRODUCT(("T_B_c-HYBDSL-S1"=[1]OUT_TransportEnergyCons!$A$3:$A$1000)*1,("var_fout"=[1]OUT_TransportEnergyCons!$B$3:$B$1000)*1,ISNUMBER(SEARCH("TPBSc",[1]OUT_TransportEnergyCons!$C$3:$C$1000))*1,[1]OUT_TransportEnergyCons!M$3:M$1000)</f>
        <v>7.3209462068870414E-3</v>
      </c>
      <c r="P1445" s="1" cm="1">
        <f t="array" ref="P1445">SUMPRODUCT(("T_B_c-HYBDSL-S1"=[1]OUT_TransportEnergyCons!$A$3:$A$1000)*1,("var_fout"=[1]OUT_TransportEnergyCons!$B$3:$B$1000)*1,ISNUMBER(SEARCH("TPBSc",[1]OUT_TransportEnergyCons!$C$3:$C$1000))*1,[1]OUT_TransportEnergyCons!N$3:N$1000)</f>
        <v>7.5736029033112605E-3</v>
      </c>
      <c r="Q1445" s="1" cm="1">
        <f t="array" ref="Q1445">SUMPRODUCT(("T_B_c-HYBDSL-S1"=[1]OUT_TransportEnergyCons!$A$3:$A$1000)*1,("var_fout"=[1]OUT_TransportEnergyCons!$B$3:$B$1000)*1,ISNUMBER(SEARCH("TPBSc",[1]OUT_TransportEnergyCons!$C$3:$C$1000))*1,[1]OUT_TransportEnergyCons!O$3:O$1000)</f>
        <v>1.1982115918035894E-2</v>
      </c>
      <c r="S1445" s="3"/>
    </row>
    <row r="1446" spans="2:19" x14ac:dyDescent="0.5">
      <c r="B1446" s="5" t="str">
        <f t="shared" si="1609"/>
        <v>SPS1</v>
      </c>
      <c r="C1446" s="5" t="str">
        <f t="shared" si="1610"/>
        <v>CH</v>
      </c>
      <c r="D1446" t="s">
        <v>1438</v>
      </c>
      <c r="E1446" t="str">
        <f t="shared" si="1611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4.722830599968962E-5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6.9337206944981734E-3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2.9894832233356167E-2</v>
      </c>
      <c r="J1446" s="1" cm="1">
        <f t="array" ref="J1446">SUMPRODUCT(("T_B_c-HYBDSL-S2"=[1]OUT_TransportEnergyCons!$A$3:$A$1000)*1,("var_fout"=[1]OUT_TransportEnergyCons!$B$3:$B$1000)*1,ISNUMBER(SEARCH("TPBSc",[1]OUT_TransportEnergyCons!$C$3:$C$1000))*1,[1]OUT_TransportEnergyCons!H$3:H$1000)</f>
        <v>2.9043375912304364E-2</v>
      </c>
      <c r="K1446" s="1" cm="1">
        <f t="array" ref="K1446">SUMPRODUCT(("T_B_c-HYBDSL-S2"=[1]OUT_TransportEnergyCons!$A$3:$A$1000)*1,("var_fout"=[1]OUT_TransportEnergyCons!$B$3:$B$1000)*1,ISNUMBER(SEARCH("TPBSc",[1]OUT_TransportEnergyCons!$C$3:$C$1000))*1,[1]OUT_TransportEnergyCons!I$3:I$1000)</f>
        <v>2.9093684657699872E-2</v>
      </c>
      <c r="L1446" s="1" cm="1">
        <f t="array" ref="L1446">SUMPRODUCT(("T_B_c-HYBDSL-S2"=[1]OUT_TransportEnergyCons!$A$3:$A$1000)*1,("var_fout"=[1]OUT_TransportEnergyCons!$B$3:$B$1000)*1,ISNUMBER(SEARCH("TPBSc",[1]OUT_TransportEnergyCons!$C$3:$C$1000))*1,[1]OUT_TransportEnergyCons!J$3:J$1000)</f>
        <v>2.8948702286495893E-2</v>
      </c>
      <c r="M1446" s="1" cm="1">
        <f t="array" ref="M1446">SUMPRODUCT(("T_B_c-HYBDSL-S2"=[1]OUT_TransportEnergyCons!$A$3:$A$1000)*1,("var_fout"=[1]OUT_TransportEnergyCons!$B$3:$B$1000)*1,ISNUMBER(SEARCH("TPBSc",[1]OUT_TransportEnergyCons!$C$3:$C$1000))*1,[1]OUT_TransportEnergyCons!K$3:K$1000)</f>
        <v>2.8576695337142993E-2</v>
      </c>
      <c r="N1446" s="1" cm="1">
        <f t="array" ref="N1446">SUMPRODUCT(("T_B_c-HYBDSL-S2"=[1]OUT_TransportEnergyCons!$A$3:$A$1000)*1,("var_fout"=[1]OUT_TransportEnergyCons!$B$3:$B$1000)*1,ISNUMBER(SEARCH("TPBSc",[1]OUT_TransportEnergyCons!$C$3:$C$1000))*1,[1]OUT_TransportEnergyCons!L$3:L$1000)</f>
        <v>3.1090474820673203E-2</v>
      </c>
      <c r="O1446" s="1" cm="1">
        <f t="array" ref="O1446">SUMPRODUCT(("T_B_c-HYBDSL-S2"=[1]OUT_TransportEnergyCons!$A$3:$A$1000)*1,("var_fout"=[1]OUT_TransportEnergyCons!$B$3:$B$1000)*1,ISNUMBER(SEARCH("TPBSc",[1]OUT_TransportEnergyCons!$C$3:$C$1000))*1,[1]OUT_TransportEnergyCons!M$3:M$1000)</f>
        <v>3.3256377126457196E-2</v>
      </c>
      <c r="P1446" s="1" cm="1">
        <f t="array" ref="P1446">SUMPRODUCT(("T_B_c-HYBDSL-S2"=[1]OUT_TransportEnergyCons!$A$3:$A$1000)*1,("var_fout"=[1]OUT_TransportEnergyCons!$B$3:$B$1000)*1,ISNUMBER(SEARCH("TPBSc",[1]OUT_TransportEnergyCons!$C$3:$C$1000))*1,[1]OUT_TransportEnergyCons!N$3:N$1000)</f>
        <v>3.7659261420000464E-2</v>
      </c>
      <c r="Q1446" s="1" cm="1">
        <f t="array" ref="Q1446">SUMPRODUCT(("T_B_c-HYBDSL-S2"=[1]OUT_TransportEnergyCons!$A$3:$A$1000)*1,("var_fout"=[1]OUT_TransportEnergyCons!$B$3:$B$1000)*1,ISNUMBER(SEARCH("TPBSc",[1]OUT_TransportEnergyCons!$C$3:$C$1000))*1,[1]OUT_TransportEnergyCons!O$3:O$1000)</f>
        <v>4.0221846688961525E-2</v>
      </c>
      <c r="S1446" s="3"/>
    </row>
    <row r="1447" spans="2:19" x14ac:dyDescent="0.5">
      <c r="B1447" s="5" t="str">
        <f t="shared" si="1609"/>
        <v>SPS1</v>
      </c>
      <c r="C1447" s="5" t="str">
        <f t="shared" si="1610"/>
        <v>CH</v>
      </c>
      <c r="D1447" t="s">
        <v>1439</v>
      </c>
      <c r="E1447" t="str">
        <f t="shared" si="1611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2.0844463413091252E-5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2.9669888299917662E-4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1.2142153688188278E-2</v>
      </c>
      <c r="J1447" s="1" cm="1">
        <f t="array" ref="J1447">SUMPRODUCT(("T_B_c-HYBDSL-S3"=[1]OUT_TransportEnergyCons!$A$3:$A$1000)*1,("var_fout"=[1]OUT_TransportEnergyCons!$B$3:$B$1000)*1,ISNUMBER(SEARCH("TPBSc",[1]OUT_TransportEnergyCons!$C$3:$C$1000))*1,[1]OUT_TransportEnergyCons!H$3:H$1000)</f>
        <v>1.2001140418346884E-2</v>
      </c>
      <c r="K1447" s="1" cm="1">
        <f t="array" ref="K1447">SUMPRODUCT(("T_B_c-HYBDSL-S3"=[1]OUT_TransportEnergyCons!$A$3:$A$1000)*1,("var_fout"=[1]OUT_TransportEnergyCons!$B$3:$B$1000)*1,ISNUMBER(SEARCH("TPBSc",[1]OUT_TransportEnergyCons!$C$3:$C$1000))*1,[1]OUT_TransportEnergyCons!I$3:I$1000)</f>
        <v>1.1819965110748716E-2</v>
      </c>
      <c r="L1447" s="1" cm="1">
        <f t="array" ref="L1447">SUMPRODUCT(("T_B_c-HYBDSL-S3"=[1]OUT_TransportEnergyCons!$A$3:$A$1000)*1,("var_fout"=[1]OUT_TransportEnergyCons!$B$3:$B$1000)*1,ISNUMBER(SEARCH("TPBSc",[1]OUT_TransportEnergyCons!$C$3:$C$1000))*1,[1]OUT_TransportEnergyCons!J$3:J$1000)</f>
        <v>1.1651210540556655E-2</v>
      </c>
      <c r="M1447" s="1" cm="1">
        <f t="array" ref="M1447">SUMPRODUCT(("T_B_c-HYBDSL-S3"=[1]OUT_TransportEnergyCons!$A$3:$A$1000)*1,("var_fout"=[1]OUT_TransportEnergyCons!$B$3:$B$1000)*1,ISNUMBER(SEARCH("TPBSc",[1]OUT_TransportEnergyCons!$C$3:$C$1000))*1,[1]OUT_TransportEnergyCons!K$3:K$1000)</f>
        <v>1.1404813896896316E-2</v>
      </c>
      <c r="N1447" s="1" cm="1">
        <f t="array" ref="N1447">SUMPRODUCT(("T_B_c-HYBDSL-S3"=[1]OUT_TransportEnergyCons!$A$3:$A$1000)*1,("var_fout"=[1]OUT_TransportEnergyCons!$B$3:$B$1000)*1,ISNUMBER(SEARCH("TPBSc",[1]OUT_TransportEnergyCons!$C$3:$C$1000))*1,[1]OUT_TransportEnergyCons!L$3:L$1000)</f>
        <v>1.1617959756420273E-2</v>
      </c>
      <c r="O1447" s="1" cm="1">
        <f t="array" ref="O1447">SUMPRODUCT(("T_B_c-HYBDSL-S3"=[1]OUT_TransportEnergyCons!$A$3:$A$1000)*1,("var_fout"=[1]OUT_TransportEnergyCons!$B$3:$B$1000)*1,ISNUMBER(SEARCH("TPBSc",[1]OUT_TransportEnergyCons!$C$3:$C$1000))*1,[1]OUT_TransportEnergyCons!M$3:M$1000)</f>
        <v>1.1503949656057824E-2</v>
      </c>
      <c r="P1447" s="1" cm="1">
        <f t="array" ref="P1447">SUMPRODUCT(("T_B_c-HYBDSL-S3"=[1]OUT_TransportEnergyCons!$A$3:$A$1000)*1,("var_fout"=[1]OUT_TransportEnergyCons!$B$3:$B$1000)*1,ISNUMBER(SEARCH("TPBSc",[1]OUT_TransportEnergyCons!$C$3:$C$1000))*1,[1]OUT_TransportEnergyCons!N$3:N$1000)</f>
        <v>1.0809206514794664E-2</v>
      </c>
      <c r="Q1447" s="1" cm="1">
        <f t="array" ref="Q1447">SUMPRODUCT(("T_B_c-HYBDSL-S3"=[1]OUT_TransportEnergyCons!$A$3:$A$1000)*1,("var_fout"=[1]OUT_TransportEnergyCons!$B$3:$B$1000)*1,ISNUMBER(SEARCH("TPBSc",[1]OUT_TransportEnergyCons!$C$3:$C$1000))*1,[1]OUT_TransportEnergyCons!O$3:O$1000)</f>
        <v>7.7159487575690364E-3</v>
      </c>
      <c r="S1447" s="3"/>
    </row>
    <row r="1448" spans="2:19" x14ac:dyDescent="0.5">
      <c r="B1448" s="5" t="str">
        <f t="shared" si="1609"/>
        <v>SPS1</v>
      </c>
      <c r="C1448" s="5" t="str">
        <f t="shared" si="1610"/>
        <v>CH</v>
      </c>
      <c r="D1448" t="s">
        <v>1440</v>
      </c>
      <c r="E1448" t="str">
        <f t="shared" si="1611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2.3725355500767917E-6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4.3666167841433889E-6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3.5966350939948149E-6</v>
      </c>
      <c r="J1448" s="1" cm="1">
        <f t="array" ref="J1448">SUMPRODUCT(("T_B_c-HYBDSL-S4"=[1]OUT_TransportEnergyCons!$A$3:$A$1000)*1,("var_fout"=[1]OUT_TransportEnergyCons!$B$3:$B$1000)*1,ISNUMBER(SEARCH("TPBSc",[1]OUT_TransportEnergyCons!$C$3:$C$1000))*1,[1]OUT_TransportEnergyCons!H$3:H$1000)</f>
        <v>3.7448022194969502E-6</v>
      </c>
      <c r="K1448" s="1" cm="1">
        <f t="array" ref="K1448">SUMPRODUCT(("T_B_c-HYBDSL-S4"=[1]OUT_TransportEnergyCons!$A$3:$A$1000)*1,("var_fout"=[1]OUT_TransportEnergyCons!$B$3:$B$1000)*1,ISNUMBER(SEARCH("TPBSc",[1]OUT_TransportEnergyCons!$C$3:$C$1000))*1,[1]OUT_TransportEnergyCons!I$3:I$1000)</f>
        <v>6.723786188543808E-6</v>
      </c>
      <c r="L1448" s="1" cm="1">
        <f t="array" ref="L1448">SUMPRODUCT(("T_B_c-HYBDSL-S4"=[1]OUT_TransportEnergyCons!$A$3:$A$1000)*1,("var_fout"=[1]OUT_TransportEnergyCons!$B$3:$B$1000)*1,ISNUMBER(SEARCH("TPBSc",[1]OUT_TransportEnergyCons!$C$3:$C$1000))*1,[1]OUT_TransportEnergyCons!J$3:J$1000)</f>
        <v>6.2522617649036123E-6</v>
      </c>
      <c r="M1448" s="1" cm="1">
        <f t="array" ref="M1448">SUMPRODUCT(("T_B_c-HYBDSL-S4"=[1]OUT_TransportEnergyCons!$A$3:$A$1000)*1,("var_fout"=[1]OUT_TransportEnergyCons!$B$3:$B$1000)*1,ISNUMBER(SEARCH("TPBSc",[1]OUT_TransportEnergyCons!$C$3:$C$1000))*1,[1]OUT_TransportEnergyCons!K$3:K$1000)</f>
        <v>9.0921628947807588E-6</v>
      </c>
      <c r="N1448" s="1" cm="1">
        <f t="array" ref="N1448">SUMPRODUCT(("T_B_c-HYBDSL-S4"=[1]OUT_TransportEnergyCons!$A$3:$A$1000)*1,("var_fout"=[1]OUT_TransportEnergyCons!$B$3:$B$1000)*1,ISNUMBER(SEARCH("TPBSc",[1]OUT_TransportEnergyCons!$C$3:$C$1000))*1,[1]OUT_TransportEnergyCons!L$3:L$1000)</f>
        <v>1.0069587839869643E-5</v>
      </c>
      <c r="O1448" s="1" cm="1">
        <f t="array" ref="O1448">SUMPRODUCT(("T_B_c-HYBDSL-S4"=[1]OUT_TransportEnergyCons!$A$3:$A$1000)*1,("var_fout"=[1]OUT_TransportEnergyCons!$B$3:$B$1000)*1,ISNUMBER(SEARCH("TPBSc",[1]OUT_TransportEnergyCons!$C$3:$C$1000))*1,[1]OUT_TransportEnergyCons!M$3:M$1000)</f>
        <v>8.9067878706591698E-6</v>
      </c>
      <c r="P1448" s="1" cm="1">
        <f t="array" ref="P1448">SUMPRODUCT(("T_B_c-HYBDSL-S4"=[1]OUT_TransportEnergyCons!$A$3:$A$1000)*1,("var_fout"=[1]OUT_TransportEnergyCons!$B$3:$B$1000)*1,ISNUMBER(SEARCH("TPBSc",[1]OUT_TransportEnergyCons!$C$3:$C$1000))*1,[1]OUT_TransportEnergyCons!N$3:N$1000)</f>
        <v>1.3741461677762338E-5</v>
      </c>
      <c r="Q1448" s="1" cm="1">
        <f t="array" ref="Q1448">SUMPRODUCT(("T_B_c-HYBDSL-S4"=[1]OUT_TransportEnergyCons!$A$3:$A$1000)*1,("var_fout"=[1]OUT_TransportEnergyCons!$B$3:$B$1000)*1,ISNUMBER(SEARCH("TPBSc",[1]OUT_TransportEnergyCons!$C$3:$C$1000))*1,[1]OUT_TransportEnergyCons!O$3:O$1000)</f>
        <v>1.7263780589282693E-5</v>
      </c>
      <c r="S1448" s="3"/>
    </row>
    <row r="1449" spans="2:19" x14ac:dyDescent="0.5">
      <c r="B1449" s="5" t="str">
        <f t="shared" si="1609"/>
        <v>SPS1</v>
      </c>
      <c r="C1449" s="5" t="str">
        <f t="shared" si="1610"/>
        <v>CH</v>
      </c>
      <c r="D1449" t="s">
        <v>2116</v>
      </c>
      <c r="E1449" t="str">
        <f t="shared" si="1611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5.9985609133677148E-2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4.7986375779323236E-2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2.9992488642788948E-2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SUMPRODUCT(("T_B_c-ICEDSLEXT"=[1]OUT_TransportEnergyCons!$A$3:$A$1000)*1,("var_fout"=[1]OUT_TransportEnergyCons!$B$3:$B$1000)*1,ISNUMBER(SEARCH("TPBSc",[1]OUT_TransportEnergyCons!$C$3:$C$1000))*1,[1]OUT_TransportEnergyCons!H$3:H$1000)</f>
        <v>0</v>
      </c>
      <c r="K1449" s="1" cm="1">
        <f t="array" ref="K1449">SUMPRODUCT(("T_B_c-ICEDSLEXT"=[1]OUT_TransportEnergyCons!$A$3:$A$1000)*1,("var_fout"=[1]OUT_TransportEnergyCons!$B$3:$B$1000)*1,ISNUMBER(SEARCH("TPBSc",[1]OUT_TransportEnergyCons!$C$3:$C$1000))*1,[1]OUT_TransportEnergyCons!I$3:I$1000)</f>
        <v>0</v>
      </c>
      <c r="L1449" s="1" cm="1">
        <f t="array" ref="L1449">SUMPRODUCT(("T_B_c-ICEDSLEXT"=[1]OUT_TransportEnergyCons!$A$3:$A$1000)*1,("var_fout"=[1]OUT_TransportEnergyCons!$B$3:$B$1000)*1,ISNUMBER(SEARCH("TPBSc",[1]OUT_TransportEnergyCons!$C$3:$C$1000))*1,[1]OUT_TransportEnergyCons!J$3:J$1000)</f>
        <v>0</v>
      </c>
      <c r="M1449" s="1" cm="1">
        <f t="array" ref="M1449">SUMPRODUCT(("T_B_c-ICEDSLEXT"=[1]OUT_TransportEnergyCons!$A$3:$A$1000)*1,("var_fout"=[1]OUT_TransportEnergyCons!$B$3:$B$1000)*1,ISNUMBER(SEARCH("TPBSc",[1]OUT_TransportEnergyCons!$C$3:$C$1000))*1,[1]OUT_TransportEnergyCons!K$3:K$1000)</f>
        <v>0</v>
      </c>
      <c r="N1449" s="1" cm="1">
        <f t="array" ref="N1449">SUMPRODUCT(("T_B_c-ICEDSLEXT"=[1]OUT_TransportEnergyCons!$A$3:$A$1000)*1,("var_fout"=[1]OUT_TransportEnergyCons!$B$3:$B$1000)*1,ISNUMBER(SEARCH("TPBSc",[1]OUT_TransportEnergyCons!$C$3:$C$1000))*1,[1]OUT_TransportEnergyCons!L$3:L$1000)</f>
        <v>0</v>
      </c>
      <c r="O1449" s="1" cm="1">
        <f t="array" ref="O1449">SUMPRODUCT(("T_B_c-ICEDSLEXT"=[1]OUT_TransportEnergyCons!$A$3:$A$1000)*1,("var_fout"=[1]OUT_TransportEnergyCons!$B$3:$B$1000)*1,ISNUMBER(SEARCH("TPBSc",[1]OUT_TransportEnergyCons!$C$3:$C$1000))*1,[1]OUT_TransportEnergyCons!M$3:M$1000)</f>
        <v>0</v>
      </c>
      <c r="P1449" s="1" cm="1">
        <f t="array" ref="P1449">SUMPRODUCT(("T_B_c-ICEDSLEXT"=[1]OUT_TransportEnergyCons!$A$3:$A$1000)*1,("var_fout"=[1]OUT_TransportEnergyCons!$B$3:$B$1000)*1,ISNUMBER(SEARCH("TPBSc",[1]OUT_TransportEnergyCons!$C$3:$C$1000))*1,[1]OUT_TransportEnergyCons!N$3:N$1000)</f>
        <v>0</v>
      </c>
      <c r="Q1449" s="1" cm="1">
        <f t="array" ref="Q1449">SUMPRODUCT(("T_B_c-ICEDSLEXT"=[1]OUT_TransportEnergyCons!$A$3:$A$1000)*1,("var_fout"=[1]OUT_TransportEnergyCons!$B$3:$B$1000)*1,ISNUMBER(SEARCH("TPBSc",[1]OUT_TransportEnergyCons!$C$3:$C$1000))*1,[1]OUT_TransportEnergyCons!O$3:O$1000)</f>
        <v>0</v>
      </c>
      <c r="S1449" s="3"/>
    </row>
    <row r="1450" spans="2:19" x14ac:dyDescent="0.5">
      <c r="B1450" s="5" t="str">
        <f t="shared" si="1609"/>
        <v>SPS1</v>
      </c>
      <c r="C1450" s="5" t="str">
        <f t="shared" si="1610"/>
        <v>CH</v>
      </c>
      <c r="D1450" t="s">
        <v>1441</v>
      </c>
      <c r="E1450" t="str">
        <f t="shared" si="1611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1.4050712812706791E-2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3.933218927057934E-2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4.8429889883423838E-2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SUMPRODUCT(("T_B_c-ICEDSL-S1"=[1]OUT_TransportEnergyCons!$A$3:$A$1000)*1,("var_fout"=[1]OUT_TransportEnergyCons!$B$3:$B$1000)*1,ISNUMBER(SEARCH("TPBSc",[1]OUT_TransportEnergyCons!$C$3:$C$1000))*1,[1]OUT_TransportEnergyCons!H$3:H$1000)</f>
        <v>0</v>
      </c>
      <c r="K1450" s="1" cm="1">
        <f t="array" ref="K1450">SUMPRODUCT(("T_B_c-ICEDSL-S1"=[1]OUT_TransportEnergyCons!$A$3:$A$1000)*1,("var_fout"=[1]OUT_TransportEnergyCons!$B$3:$B$1000)*1,ISNUMBER(SEARCH("TPBSc",[1]OUT_TransportEnergyCons!$C$3:$C$1000))*1,[1]OUT_TransportEnergyCons!I$3:I$1000)</f>
        <v>0</v>
      </c>
      <c r="L1450" s="1" cm="1">
        <f t="array" ref="L1450">SUMPRODUCT(("T_B_c-ICEDSL-S1"=[1]OUT_TransportEnergyCons!$A$3:$A$1000)*1,("var_fout"=[1]OUT_TransportEnergyCons!$B$3:$B$1000)*1,ISNUMBER(SEARCH("TPBSc",[1]OUT_TransportEnergyCons!$C$3:$C$1000))*1,[1]OUT_TransportEnergyCons!J$3:J$1000)</f>
        <v>0</v>
      </c>
      <c r="M1450" s="1" cm="1">
        <f t="array" ref="M1450">SUMPRODUCT(("T_B_c-ICEDSL-S1"=[1]OUT_TransportEnergyCons!$A$3:$A$1000)*1,("var_fout"=[1]OUT_TransportEnergyCons!$B$3:$B$1000)*1,ISNUMBER(SEARCH("TPBSc",[1]OUT_TransportEnergyCons!$C$3:$C$1000))*1,[1]OUT_TransportEnergyCons!K$3:K$1000)</f>
        <v>0</v>
      </c>
      <c r="N1450" s="1" cm="1">
        <f t="array" ref="N1450">SUMPRODUCT(("T_B_c-ICEDSL-S1"=[1]OUT_TransportEnergyCons!$A$3:$A$1000)*1,("var_fout"=[1]OUT_TransportEnergyCons!$B$3:$B$1000)*1,ISNUMBER(SEARCH("TPBSc",[1]OUT_TransportEnergyCons!$C$3:$C$1000))*1,[1]OUT_TransportEnergyCons!L$3:L$1000)</f>
        <v>0</v>
      </c>
      <c r="O1450" s="1" cm="1">
        <f t="array" ref="O1450">SUMPRODUCT(("T_B_c-ICEDSL-S1"=[1]OUT_TransportEnergyCons!$A$3:$A$1000)*1,("var_fout"=[1]OUT_TransportEnergyCons!$B$3:$B$1000)*1,ISNUMBER(SEARCH("TPBSc",[1]OUT_TransportEnergyCons!$C$3:$C$1000))*1,[1]OUT_TransportEnergyCons!M$3:M$1000)</f>
        <v>0</v>
      </c>
      <c r="P1450" s="1" cm="1">
        <f t="array" ref="P1450">SUMPRODUCT(("T_B_c-ICEDSL-S1"=[1]OUT_TransportEnergyCons!$A$3:$A$1000)*1,("var_fout"=[1]OUT_TransportEnergyCons!$B$3:$B$1000)*1,ISNUMBER(SEARCH("TPBSc",[1]OUT_TransportEnergyCons!$C$3:$C$1000))*1,[1]OUT_TransportEnergyCons!N$3:N$1000)</f>
        <v>0</v>
      </c>
      <c r="Q1450" s="1" cm="1">
        <f t="array" ref="Q1450">SUMPRODUCT(("T_B_c-ICEDSL-S1"=[1]OUT_TransportEnergyCons!$A$3:$A$1000)*1,("var_fout"=[1]OUT_TransportEnergyCons!$B$3:$B$1000)*1,ISNUMBER(SEARCH("TPBSc",[1]OUT_TransportEnergyCons!$C$3:$C$1000))*1,[1]OUT_TransportEnergyCons!O$3:O$1000)</f>
        <v>0</v>
      </c>
      <c r="S1450" s="3"/>
    </row>
    <row r="1451" spans="2:19" x14ac:dyDescent="0.5">
      <c r="B1451" s="5" t="str">
        <f t="shared" si="1609"/>
        <v>SPS1</v>
      </c>
      <c r="C1451" s="5" t="str">
        <f t="shared" si="1610"/>
        <v>CH</v>
      </c>
      <c r="D1451" t="s">
        <v>1442</v>
      </c>
      <c r="E1451" t="str">
        <f t="shared" si="1611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4.5425503178560644E-2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3.5075574641998508E-2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3.6377374712007138E-2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SUMPRODUCT(("T_B_c-ICEDSL-S2"=[1]OUT_TransportEnergyCons!$A$3:$A$1000)*1,("var_fout"=[1]OUT_TransportEnergyCons!$B$3:$B$1000)*1,ISNUMBER(SEARCH("TPBSc",[1]OUT_TransportEnergyCons!$C$3:$C$1000))*1,[1]OUT_TransportEnergyCons!H$3:H$1000)</f>
        <v>0</v>
      </c>
      <c r="K1451" s="1" cm="1">
        <f t="array" ref="K1451">SUMPRODUCT(("T_B_c-ICEDSL-S2"=[1]OUT_TransportEnergyCons!$A$3:$A$1000)*1,("var_fout"=[1]OUT_TransportEnergyCons!$B$3:$B$1000)*1,ISNUMBER(SEARCH("TPBSc",[1]OUT_TransportEnergyCons!$C$3:$C$1000))*1,[1]OUT_TransportEnergyCons!I$3:I$1000)</f>
        <v>0</v>
      </c>
      <c r="L1451" s="1" cm="1">
        <f t="array" ref="L1451">SUMPRODUCT(("T_B_c-ICEDSL-S2"=[1]OUT_TransportEnergyCons!$A$3:$A$1000)*1,("var_fout"=[1]OUT_TransportEnergyCons!$B$3:$B$1000)*1,ISNUMBER(SEARCH("TPBSc",[1]OUT_TransportEnergyCons!$C$3:$C$1000))*1,[1]OUT_TransportEnergyCons!J$3:J$1000)</f>
        <v>0</v>
      </c>
      <c r="M1451" s="1" cm="1">
        <f t="array" ref="M1451">SUMPRODUCT(("T_B_c-ICEDSL-S2"=[1]OUT_TransportEnergyCons!$A$3:$A$1000)*1,("var_fout"=[1]OUT_TransportEnergyCons!$B$3:$B$1000)*1,ISNUMBER(SEARCH("TPBSc",[1]OUT_TransportEnergyCons!$C$3:$C$1000))*1,[1]OUT_TransportEnergyCons!K$3:K$1000)</f>
        <v>0</v>
      </c>
      <c r="N1451" s="1" cm="1">
        <f t="array" ref="N1451">SUMPRODUCT(("T_B_c-ICEDSL-S2"=[1]OUT_TransportEnergyCons!$A$3:$A$1000)*1,("var_fout"=[1]OUT_TransportEnergyCons!$B$3:$B$1000)*1,ISNUMBER(SEARCH("TPBSc",[1]OUT_TransportEnergyCons!$C$3:$C$1000))*1,[1]OUT_TransportEnergyCons!L$3:L$1000)</f>
        <v>0</v>
      </c>
      <c r="O1451" s="1" cm="1">
        <f t="array" ref="O1451">SUMPRODUCT(("T_B_c-ICEDSL-S2"=[1]OUT_TransportEnergyCons!$A$3:$A$1000)*1,("var_fout"=[1]OUT_TransportEnergyCons!$B$3:$B$1000)*1,ISNUMBER(SEARCH("TPBSc",[1]OUT_TransportEnergyCons!$C$3:$C$1000))*1,[1]OUT_TransportEnergyCons!M$3:M$1000)</f>
        <v>0</v>
      </c>
      <c r="P1451" s="1" cm="1">
        <f t="array" ref="P1451">SUMPRODUCT(("T_B_c-ICEDSL-S2"=[1]OUT_TransportEnergyCons!$A$3:$A$1000)*1,("var_fout"=[1]OUT_TransportEnergyCons!$B$3:$B$1000)*1,ISNUMBER(SEARCH("TPBSc",[1]OUT_TransportEnergyCons!$C$3:$C$1000))*1,[1]OUT_TransportEnergyCons!N$3:N$1000)</f>
        <v>0</v>
      </c>
      <c r="Q1451" s="1" cm="1">
        <f t="array" ref="Q1451">SUMPRODUCT(("T_B_c-ICEDSL-S2"=[1]OUT_TransportEnergyCons!$A$3:$A$1000)*1,("var_fout"=[1]OUT_TransportEnergyCons!$B$3:$B$1000)*1,ISNUMBER(SEARCH("TPBSc",[1]OUT_TransportEnergyCons!$C$3:$C$1000))*1,[1]OUT_TransportEnergyCons!O$3:O$1000)</f>
        <v>0</v>
      </c>
      <c r="S1451" s="3"/>
    </row>
    <row r="1452" spans="2:19" x14ac:dyDescent="0.5">
      <c r="B1452" s="5" t="str">
        <f t="shared" si="1609"/>
        <v>SPS1</v>
      </c>
      <c r="C1452" s="5" t="str">
        <f t="shared" si="1610"/>
        <v>CH</v>
      </c>
      <c r="D1452" t="s">
        <v>1443</v>
      </c>
      <c r="E1452" t="str">
        <f t="shared" si="1611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9.2879028384252171E-3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7.44083670682488E-3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8.9028113487347633E-3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SUMPRODUCT(("T_B_c-ICEDSL-S3"=[1]OUT_TransportEnergyCons!$A$3:$A$1000)*1,("var_fout"=[1]OUT_TransportEnergyCons!$B$3:$B$1000)*1,ISNUMBER(SEARCH("TPBSc",[1]OUT_TransportEnergyCons!$C$3:$C$1000))*1,[1]OUT_TransportEnergyCons!H$3:H$1000)</f>
        <v>0</v>
      </c>
      <c r="K1452" s="1" cm="1">
        <f t="array" ref="K1452">SUMPRODUCT(("T_B_c-ICEDSL-S3"=[1]OUT_TransportEnergyCons!$A$3:$A$1000)*1,("var_fout"=[1]OUT_TransportEnergyCons!$B$3:$B$1000)*1,ISNUMBER(SEARCH("TPBSc",[1]OUT_TransportEnergyCons!$C$3:$C$1000))*1,[1]OUT_TransportEnergyCons!I$3:I$1000)</f>
        <v>0</v>
      </c>
      <c r="L1452" s="1" cm="1">
        <f t="array" ref="L1452">SUMPRODUCT(("T_B_c-ICEDSL-S3"=[1]OUT_TransportEnergyCons!$A$3:$A$1000)*1,("var_fout"=[1]OUT_TransportEnergyCons!$B$3:$B$1000)*1,ISNUMBER(SEARCH("TPBSc",[1]OUT_TransportEnergyCons!$C$3:$C$1000))*1,[1]OUT_TransportEnergyCons!J$3:J$1000)</f>
        <v>0</v>
      </c>
      <c r="M1452" s="1" cm="1">
        <f t="array" ref="M1452">SUMPRODUCT(("T_B_c-ICEDSL-S3"=[1]OUT_TransportEnergyCons!$A$3:$A$1000)*1,("var_fout"=[1]OUT_TransportEnergyCons!$B$3:$B$1000)*1,ISNUMBER(SEARCH("TPBSc",[1]OUT_TransportEnergyCons!$C$3:$C$1000))*1,[1]OUT_TransportEnergyCons!K$3:K$1000)</f>
        <v>0</v>
      </c>
      <c r="N1452" s="1" cm="1">
        <f t="array" ref="N1452">SUMPRODUCT(("T_B_c-ICEDSL-S3"=[1]OUT_TransportEnergyCons!$A$3:$A$1000)*1,("var_fout"=[1]OUT_TransportEnergyCons!$B$3:$B$1000)*1,ISNUMBER(SEARCH("TPBSc",[1]OUT_TransportEnergyCons!$C$3:$C$1000))*1,[1]OUT_TransportEnergyCons!L$3:L$1000)</f>
        <v>0</v>
      </c>
      <c r="O1452" s="1" cm="1">
        <f t="array" ref="O1452">SUMPRODUCT(("T_B_c-ICEDSL-S3"=[1]OUT_TransportEnergyCons!$A$3:$A$1000)*1,("var_fout"=[1]OUT_TransportEnergyCons!$B$3:$B$1000)*1,ISNUMBER(SEARCH("TPBSc",[1]OUT_TransportEnergyCons!$C$3:$C$1000))*1,[1]OUT_TransportEnergyCons!M$3:M$1000)</f>
        <v>0</v>
      </c>
      <c r="P1452" s="1" cm="1">
        <f t="array" ref="P1452">SUMPRODUCT(("T_B_c-ICEDSL-S3"=[1]OUT_TransportEnergyCons!$A$3:$A$1000)*1,("var_fout"=[1]OUT_TransportEnergyCons!$B$3:$B$1000)*1,ISNUMBER(SEARCH("TPBSc",[1]OUT_TransportEnergyCons!$C$3:$C$1000))*1,[1]OUT_TransportEnergyCons!N$3:N$1000)</f>
        <v>0</v>
      </c>
      <c r="Q1452" s="1" cm="1">
        <f t="array" ref="Q1452">SUMPRODUCT(("T_B_c-ICEDSL-S3"=[1]OUT_TransportEnergyCons!$A$3:$A$1000)*1,("var_fout"=[1]OUT_TransportEnergyCons!$B$3:$B$1000)*1,ISNUMBER(SEARCH("TPBSc",[1]OUT_TransportEnergyCons!$C$3:$C$1000))*1,[1]OUT_TransportEnergyCons!O$3:O$1000)</f>
        <v>0</v>
      </c>
      <c r="S1452" s="3"/>
    </row>
    <row r="1453" spans="2:19" x14ac:dyDescent="0.5">
      <c r="B1453" s="5" t="str">
        <f t="shared" si="1609"/>
        <v>SPS1</v>
      </c>
      <c r="C1453" s="5" t="str">
        <f t="shared" si="1610"/>
        <v>CH</v>
      </c>
      <c r="D1453" t="s">
        <v>1444</v>
      </c>
      <c r="E1453" t="str">
        <f t="shared" si="1611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5.5431804707040079E-4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1.4100064637402717E-5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1.6851715655302148E-5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SUMPRODUCT(("T_B_c-ICEDSL-S4"=[1]OUT_TransportEnergyCons!$A$3:$A$1000)*1,("var_fout"=[1]OUT_TransportEnergyCons!$B$3:$B$1000)*1,ISNUMBER(SEARCH("TPBSc",[1]OUT_TransportEnergyCons!$C$3:$C$1000))*1,[1]OUT_TransportEnergyCons!H$3:H$1000)</f>
        <v>0</v>
      </c>
      <c r="K1453" s="1" cm="1">
        <f t="array" ref="K1453">SUMPRODUCT(("T_B_c-ICEDSL-S4"=[1]OUT_TransportEnergyCons!$A$3:$A$1000)*1,("var_fout"=[1]OUT_TransportEnergyCons!$B$3:$B$1000)*1,ISNUMBER(SEARCH("TPBSc",[1]OUT_TransportEnergyCons!$C$3:$C$1000))*1,[1]OUT_TransportEnergyCons!I$3:I$1000)</f>
        <v>0</v>
      </c>
      <c r="L1453" s="1" cm="1">
        <f t="array" ref="L1453">SUMPRODUCT(("T_B_c-ICEDSL-S4"=[1]OUT_TransportEnergyCons!$A$3:$A$1000)*1,("var_fout"=[1]OUT_TransportEnergyCons!$B$3:$B$1000)*1,ISNUMBER(SEARCH("TPBSc",[1]OUT_TransportEnergyCons!$C$3:$C$1000))*1,[1]OUT_TransportEnergyCons!J$3:J$1000)</f>
        <v>0</v>
      </c>
      <c r="M1453" s="1" cm="1">
        <f t="array" ref="M1453">SUMPRODUCT(("T_B_c-ICEDSL-S4"=[1]OUT_TransportEnergyCons!$A$3:$A$1000)*1,("var_fout"=[1]OUT_TransportEnergyCons!$B$3:$B$1000)*1,ISNUMBER(SEARCH("TPBSc",[1]OUT_TransportEnergyCons!$C$3:$C$1000))*1,[1]OUT_TransportEnergyCons!K$3:K$1000)</f>
        <v>0</v>
      </c>
      <c r="N1453" s="1" cm="1">
        <f t="array" ref="N1453">SUMPRODUCT(("T_B_c-ICEDSL-S4"=[1]OUT_TransportEnergyCons!$A$3:$A$1000)*1,("var_fout"=[1]OUT_TransportEnergyCons!$B$3:$B$1000)*1,ISNUMBER(SEARCH("TPBSc",[1]OUT_TransportEnergyCons!$C$3:$C$1000))*1,[1]OUT_TransportEnergyCons!L$3:L$1000)</f>
        <v>0</v>
      </c>
      <c r="O1453" s="1" cm="1">
        <f t="array" ref="O1453">SUMPRODUCT(("T_B_c-ICEDSL-S4"=[1]OUT_TransportEnergyCons!$A$3:$A$1000)*1,("var_fout"=[1]OUT_TransportEnergyCons!$B$3:$B$1000)*1,ISNUMBER(SEARCH("TPBSc",[1]OUT_TransportEnergyCons!$C$3:$C$1000))*1,[1]OUT_TransportEnergyCons!M$3:M$1000)</f>
        <v>0</v>
      </c>
      <c r="P1453" s="1" cm="1">
        <f t="array" ref="P1453">SUMPRODUCT(("T_B_c-ICEDSL-S4"=[1]OUT_TransportEnergyCons!$A$3:$A$1000)*1,("var_fout"=[1]OUT_TransportEnergyCons!$B$3:$B$1000)*1,ISNUMBER(SEARCH("TPBSc",[1]OUT_TransportEnergyCons!$C$3:$C$1000))*1,[1]OUT_TransportEnergyCons!N$3:N$1000)</f>
        <v>0</v>
      </c>
      <c r="Q1453" s="1" cm="1">
        <f t="array" ref="Q1453">SUMPRODUCT(("T_B_c-ICEDSL-S4"=[1]OUT_TransportEnergyCons!$A$3:$A$1000)*1,("var_fout"=[1]OUT_TransportEnergyCons!$B$3:$B$1000)*1,ISNUMBER(SEARCH("TPBSc",[1]OUT_TransportEnergyCons!$C$3:$C$1000))*1,[1]OUT_TransportEnergyCons!O$3:O$1000)</f>
        <v>0</v>
      </c>
      <c r="S1453" s="3"/>
    </row>
    <row r="1454" spans="2:19" x14ac:dyDescent="0.5">
      <c r="B1454" s="5" t="str">
        <f t="shared" si="1609"/>
        <v>SPS1</v>
      </c>
      <c r="C1454" s="5" t="str">
        <f t="shared" si="1610"/>
        <v>CH</v>
      </c>
      <c r="D1454" t="s">
        <v>2119</v>
      </c>
      <c r="E1454" t="str">
        <f t="shared" si="1611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1.375369003291239E-3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1.0983688323469847E-3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6.873499502760811E-4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SUMPRODUCT(("T_B_c-ICEngaEXT"=[1]OUT_TransportEnergyCons!$A$3:$A$1000)*1,("var_fout"=[1]OUT_TransportEnergyCons!$B$3:$B$1000)*1,ISNUMBER(SEARCH("TPBSc",[1]OUT_TransportEnergyCons!$C$3:$C$1000))*1,[1]OUT_TransportEnergyCons!H$3:H$1000)</f>
        <v>0</v>
      </c>
      <c r="K1454" s="1" cm="1">
        <f t="array" ref="K1454">SUMPRODUCT(("T_B_c-ICEngaEXT"=[1]OUT_TransportEnergyCons!$A$3:$A$1000)*1,("var_fout"=[1]OUT_TransportEnergyCons!$B$3:$B$1000)*1,ISNUMBER(SEARCH("TPBSc",[1]OUT_TransportEnergyCons!$C$3:$C$1000))*1,[1]OUT_TransportEnergyCons!I$3:I$1000)</f>
        <v>0</v>
      </c>
      <c r="L1454" s="1" cm="1">
        <f t="array" ref="L1454">SUMPRODUCT(("T_B_c-ICEngaEXT"=[1]OUT_TransportEnergyCons!$A$3:$A$1000)*1,("var_fout"=[1]OUT_TransportEnergyCons!$B$3:$B$1000)*1,ISNUMBER(SEARCH("TPBSc",[1]OUT_TransportEnergyCons!$C$3:$C$1000))*1,[1]OUT_TransportEnergyCons!J$3:J$1000)</f>
        <v>0</v>
      </c>
      <c r="M1454" s="1" cm="1">
        <f t="array" ref="M1454">SUMPRODUCT(("T_B_c-ICEngaEXT"=[1]OUT_TransportEnergyCons!$A$3:$A$1000)*1,("var_fout"=[1]OUT_TransportEnergyCons!$B$3:$B$1000)*1,ISNUMBER(SEARCH("TPBSc",[1]OUT_TransportEnergyCons!$C$3:$C$1000))*1,[1]OUT_TransportEnergyCons!K$3:K$1000)</f>
        <v>0</v>
      </c>
      <c r="N1454" s="1" cm="1">
        <f t="array" ref="N1454">SUMPRODUCT(("T_B_c-ICEngaEXT"=[1]OUT_TransportEnergyCons!$A$3:$A$1000)*1,("var_fout"=[1]OUT_TransportEnergyCons!$B$3:$B$1000)*1,ISNUMBER(SEARCH("TPBSc",[1]OUT_TransportEnergyCons!$C$3:$C$1000))*1,[1]OUT_TransportEnergyCons!L$3:L$1000)</f>
        <v>0</v>
      </c>
      <c r="O1454" s="1" cm="1">
        <f t="array" ref="O1454">SUMPRODUCT(("T_B_c-ICEngaEXT"=[1]OUT_TransportEnergyCons!$A$3:$A$1000)*1,("var_fout"=[1]OUT_TransportEnergyCons!$B$3:$B$1000)*1,ISNUMBER(SEARCH("TPBSc",[1]OUT_TransportEnergyCons!$C$3:$C$1000))*1,[1]OUT_TransportEnergyCons!M$3:M$1000)</f>
        <v>0</v>
      </c>
      <c r="P1454" s="1" cm="1">
        <f t="array" ref="P1454">SUMPRODUCT(("T_B_c-ICEngaEXT"=[1]OUT_TransportEnergyCons!$A$3:$A$1000)*1,("var_fout"=[1]OUT_TransportEnergyCons!$B$3:$B$1000)*1,ISNUMBER(SEARCH("TPBSc",[1]OUT_TransportEnergyCons!$C$3:$C$1000))*1,[1]OUT_TransportEnergyCons!N$3:N$1000)</f>
        <v>0</v>
      </c>
      <c r="Q1454" s="1" cm="1">
        <f t="array" ref="Q1454">SUMPRODUCT(("T_B_c-ICEngaEXT"=[1]OUT_TransportEnergyCons!$A$3:$A$1000)*1,("var_fout"=[1]OUT_TransportEnergyCons!$B$3:$B$1000)*1,ISNUMBER(SEARCH("TPBSc",[1]OUT_TransportEnergyCons!$C$3:$C$1000))*1,[1]OUT_TransportEnergyCons!O$3:O$1000)</f>
        <v>0</v>
      </c>
      <c r="S1454" s="3"/>
    </row>
    <row r="1455" spans="2:19" x14ac:dyDescent="0.5">
      <c r="B1455" s="5" t="str">
        <f t="shared" si="1609"/>
        <v>SPS1</v>
      </c>
      <c r="C1455" s="5" t="str">
        <f t="shared" si="1610"/>
        <v>CH</v>
      </c>
      <c r="D1455" t="s">
        <v>1445</v>
      </c>
      <c r="E1455" t="str">
        <f t="shared" si="1611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1.1148203367601126E-5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1.0020050720263259E-4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SUMPRODUCT(("T_B_c-ICEnga-S1"=[1]OUT_TransportEnergyCons!$A$3:$A$1000)*1,("var_fout"=[1]OUT_TransportEnergyCons!$B$3:$B$1000)*1,ISNUMBER(SEARCH("TPBSc",[1]OUT_TransportEnergyCons!$C$3:$C$1000))*1,[1]OUT_TransportEnergyCons!H$3:H$1000)</f>
        <v>0</v>
      </c>
      <c r="K1455" s="1" cm="1">
        <f t="array" ref="K1455">SUMPRODUCT(("T_B_c-ICEnga-S1"=[1]OUT_TransportEnergyCons!$A$3:$A$1000)*1,("var_fout"=[1]OUT_TransportEnergyCons!$B$3:$B$1000)*1,ISNUMBER(SEARCH("TPBSc",[1]OUT_TransportEnergyCons!$C$3:$C$1000))*1,[1]OUT_TransportEnergyCons!I$3:I$1000)</f>
        <v>0</v>
      </c>
      <c r="L1455" s="1" cm="1">
        <f t="array" ref="L1455">SUMPRODUCT(("T_B_c-ICEnga-S1"=[1]OUT_TransportEnergyCons!$A$3:$A$1000)*1,("var_fout"=[1]OUT_TransportEnergyCons!$B$3:$B$1000)*1,ISNUMBER(SEARCH("TPBSc",[1]OUT_TransportEnergyCons!$C$3:$C$1000))*1,[1]OUT_TransportEnergyCons!J$3:J$1000)</f>
        <v>0</v>
      </c>
      <c r="M1455" s="1" cm="1">
        <f t="array" ref="M1455">SUMPRODUCT(("T_B_c-ICEnga-S1"=[1]OUT_TransportEnergyCons!$A$3:$A$1000)*1,("var_fout"=[1]OUT_TransportEnergyCons!$B$3:$B$1000)*1,ISNUMBER(SEARCH("TPBSc",[1]OUT_TransportEnergyCons!$C$3:$C$1000))*1,[1]OUT_TransportEnergyCons!K$3:K$1000)</f>
        <v>0</v>
      </c>
      <c r="N1455" s="1" cm="1">
        <f t="array" ref="N1455">SUMPRODUCT(("T_B_c-ICEnga-S1"=[1]OUT_TransportEnergyCons!$A$3:$A$1000)*1,("var_fout"=[1]OUT_TransportEnergyCons!$B$3:$B$1000)*1,ISNUMBER(SEARCH("TPBSc",[1]OUT_TransportEnergyCons!$C$3:$C$1000))*1,[1]OUT_TransportEnergyCons!L$3:L$1000)</f>
        <v>0</v>
      </c>
      <c r="O1455" s="1" cm="1">
        <f t="array" ref="O1455">SUMPRODUCT(("T_B_c-ICEnga-S1"=[1]OUT_TransportEnergyCons!$A$3:$A$1000)*1,("var_fout"=[1]OUT_TransportEnergyCons!$B$3:$B$1000)*1,ISNUMBER(SEARCH("TPBSc",[1]OUT_TransportEnergyCons!$C$3:$C$1000))*1,[1]OUT_TransportEnergyCons!M$3:M$1000)</f>
        <v>0</v>
      </c>
      <c r="P1455" s="1" cm="1">
        <f t="array" ref="P1455">SUMPRODUCT(("T_B_c-ICEnga-S1"=[1]OUT_TransportEnergyCons!$A$3:$A$1000)*1,("var_fout"=[1]OUT_TransportEnergyCons!$B$3:$B$1000)*1,ISNUMBER(SEARCH("TPBSc",[1]OUT_TransportEnergyCons!$C$3:$C$1000))*1,[1]OUT_TransportEnergyCons!N$3:N$1000)</f>
        <v>0</v>
      </c>
      <c r="Q1455" s="1" cm="1">
        <f t="array" ref="Q1455">SUMPRODUCT(("T_B_c-ICEnga-S1"=[1]OUT_TransportEnergyCons!$A$3:$A$1000)*1,("var_fout"=[1]OUT_TransportEnergyCons!$B$3:$B$1000)*1,ISNUMBER(SEARCH("TPBSc",[1]OUT_TransportEnergyCons!$C$3:$C$1000))*1,[1]OUT_TransportEnergyCons!O$3:O$1000)</f>
        <v>0</v>
      </c>
      <c r="S1455" s="3"/>
    </row>
    <row r="1456" spans="2:19" x14ac:dyDescent="0.5">
      <c r="B1456" s="5" t="str">
        <f t="shared" si="1609"/>
        <v>SPS1</v>
      </c>
      <c r="C1456" s="5" t="str">
        <f t="shared" si="1610"/>
        <v>CH</v>
      </c>
      <c r="D1456" t="s">
        <v>1446</v>
      </c>
      <c r="E1456" t="str">
        <f t="shared" si="1611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5.5712405828660329E-6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4.0315258624724253E-5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SUMPRODUCT(("T_B_c-ICEnga-S2"=[1]OUT_TransportEnergyCons!$A$3:$A$1000)*1,("var_fout"=[1]OUT_TransportEnergyCons!$B$3:$B$1000)*1,ISNUMBER(SEARCH("TPBSc",[1]OUT_TransportEnergyCons!$C$3:$C$1000))*1,[1]OUT_TransportEnergyCons!H$3:H$1000)</f>
        <v>0</v>
      </c>
      <c r="K1456" s="1" cm="1">
        <f t="array" ref="K1456">SUMPRODUCT(("T_B_c-ICEnga-S2"=[1]OUT_TransportEnergyCons!$A$3:$A$1000)*1,("var_fout"=[1]OUT_TransportEnergyCons!$B$3:$B$1000)*1,ISNUMBER(SEARCH("TPBSc",[1]OUT_TransportEnergyCons!$C$3:$C$1000))*1,[1]OUT_TransportEnergyCons!I$3:I$1000)</f>
        <v>0</v>
      </c>
      <c r="L1456" s="1" cm="1">
        <f t="array" ref="L1456">SUMPRODUCT(("T_B_c-ICEnga-S2"=[1]OUT_TransportEnergyCons!$A$3:$A$1000)*1,("var_fout"=[1]OUT_TransportEnergyCons!$B$3:$B$1000)*1,ISNUMBER(SEARCH("TPBSc",[1]OUT_TransportEnergyCons!$C$3:$C$1000))*1,[1]OUT_TransportEnergyCons!J$3:J$1000)</f>
        <v>0</v>
      </c>
      <c r="M1456" s="1" cm="1">
        <f t="array" ref="M1456">SUMPRODUCT(("T_B_c-ICEnga-S2"=[1]OUT_TransportEnergyCons!$A$3:$A$1000)*1,("var_fout"=[1]OUT_TransportEnergyCons!$B$3:$B$1000)*1,ISNUMBER(SEARCH("TPBSc",[1]OUT_TransportEnergyCons!$C$3:$C$1000))*1,[1]OUT_TransportEnergyCons!K$3:K$1000)</f>
        <v>0</v>
      </c>
      <c r="N1456" s="1" cm="1">
        <f t="array" ref="N1456">SUMPRODUCT(("T_B_c-ICEnga-S2"=[1]OUT_TransportEnergyCons!$A$3:$A$1000)*1,("var_fout"=[1]OUT_TransportEnergyCons!$B$3:$B$1000)*1,ISNUMBER(SEARCH("TPBSc",[1]OUT_TransportEnergyCons!$C$3:$C$1000))*1,[1]OUT_TransportEnergyCons!L$3:L$1000)</f>
        <v>0</v>
      </c>
      <c r="O1456" s="1" cm="1">
        <f t="array" ref="O1456">SUMPRODUCT(("T_B_c-ICEnga-S2"=[1]OUT_TransportEnergyCons!$A$3:$A$1000)*1,("var_fout"=[1]OUT_TransportEnergyCons!$B$3:$B$1000)*1,ISNUMBER(SEARCH("TPBSc",[1]OUT_TransportEnergyCons!$C$3:$C$1000))*1,[1]OUT_TransportEnergyCons!M$3:M$1000)</f>
        <v>0</v>
      </c>
      <c r="P1456" s="1" cm="1">
        <f t="array" ref="P1456">SUMPRODUCT(("T_B_c-ICEnga-S2"=[1]OUT_TransportEnergyCons!$A$3:$A$1000)*1,("var_fout"=[1]OUT_TransportEnergyCons!$B$3:$B$1000)*1,ISNUMBER(SEARCH("TPBSc",[1]OUT_TransportEnergyCons!$C$3:$C$1000))*1,[1]OUT_TransportEnergyCons!N$3:N$1000)</f>
        <v>0</v>
      </c>
      <c r="Q1456" s="1" cm="1">
        <f t="array" ref="Q1456">SUMPRODUCT(("T_B_c-ICEnga-S2"=[1]OUT_TransportEnergyCons!$A$3:$A$1000)*1,("var_fout"=[1]OUT_TransportEnergyCons!$B$3:$B$1000)*1,ISNUMBER(SEARCH("TPBSc",[1]OUT_TransportEnergyCons!$C$3:$C$1000))*1,[1]OUT_TransportEnergyCons!O$3:O$1000)</f>
        <v>0</v>
      </c>
      <c r="S1456" s="3"/>
    </row>
    <row r="1457" spans="2:19" x14ac:dyDescent="0.5">
      <c r="B1457" s="5" t="str">
        <f t="shared" si="1609"/>
        <v>SPS1</v>
      </c>
      <c r="C1457" s="5" t="str">
        <f t="shared" si="1610"/>
        <v>CH</v>
      </c>
      <c r="D1457" t="s">
        <v>1447</v>
      </c>
      <c r="E1457" t="str">
        <f t="shared" si="1611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2.9697026464208566E-6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1.6404362443490643E-5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SUMPRODUCT(("T_B_c-ICEnga-S3"=[1]OUT_TransportEnergyCons!$A$3:$A$1000)*1,("var_fout"=[1]OUT_TransportEnergyCons!$B$3:$B$1000)*1,ISNUMBER(SEARCH("TPBSc",[1]OUT_TransportEnergyCons!$C$3:$C$1000))*1,[1]OUT_TransportEnergyCons!H$3:H$1000)</f>
        <v>0</v>
      </c>
      <c r="K1457" s="1" cm="1">
        <f t="array" ref="K1457">SUMPRODUCT(("T_B_c-ICEnga-S3"=[1]OUT_TransportEnergyCons!$A$3:$A$1000)*1,("var_fout"=[1]OUT_TransportEnergyCons!$B$3:$B$1000)*1,ISNUMBER(SEARCH("TPBSc",[1]OUT_TransportEnergyCons!$C$3:$C$1000))*1,[1]OUT_TransportEnergyCons!I$3:I$1000)</f>
        <v>0</v>
      </c>
      <c r="L1457" s="1" cm="1">
        <f t="array" ref="L1457">SUMPRODUCT(("T_B_c-ICEnga-S3"=[1]OUT_TransportEnergyCons!$A$3:$A$1000)*1,("var_fout"=[1]OUT_TransportEnergyCons!$B$3:$B$1000)*1,ISNUMBER(SEARCH("TPBSc",[1]OUT_TransportEnergyCons!$C$3:$C$1000))*1,[1]OUT_TransportEnergyCons!J$3:J$1000)</f>
        <v>0</v>
      </c>
      <c r="M1457" s="1" cm="1">
        <f t="array" ref="M1457">SUMPRODUCT(("T_B_c-ICEnga-S3"=[1]OUT_TransportEnergyCons!$A$3:$A$1000)*1,("var_fout"=[1]OUT_TransportEnergyCons!$B$3:$B$1000)*1,ISNUMBER(SEARCH("TPBSc",[1]OUT_TransportEnergyCons!$C$3:$C$1000))*1,[1]OUT_TransportEnergyCons!K$3:K$1000)</f>
        <v>0</v>
      </c>
      <c r="N1457" s="1" cm="1">
        <f t="array" ref="N1457">SUMPRODUCT(("T_B_c-ICEnga-S3"=[1]OUT_TransportEnergyCons!$A$3:$A$1000)*1,("var_fout"=[1]OUT_TransportEnergyCons!$B$3:$B$1000)*1,ISNUMBER(SEARCH("TPBSc",[1]OUT_TransportEnergyCons!$C$3:$C$1000))*1,[1]OUT_TransportEnergyCons!L$3:L$1000)</f>
        <v>0</v>
      </c>
      <c r="O1457" s="1" cm="1">
        <f t="array" ref="O1457">SUMPRODUCT(("T_B_c-ICEnga-S3"=[1]OUT_TransportEnergyCons!$A$3:$A$1000)*1,("var_fout"=[1]OUT_TransportEnergyCons!$B$3:$B$1000)*1,ISNUMBER(SEARCH("TPBSc",[1]OUT_TransportEnergyCons!$C$3:$C$1000))*1,[1]OUT_TransportEnergyCons!M$3:M$1000)</f>
        <v>0</v>
      </c>
      <c r="P1457" s="1" cm="1">
        <f t="array" ref="P1457">SUMPRODUCT(("T_B_c-ICEnga-S3"=[1]OUT_TransportEnergyCons!$A$3:$A$1000)*1,("var_fout"=[1]OUT_TransportEnergyCons!$B$3:$B$1000)*1,ISNUMBER(SEARCH("TPBSc",[1]OUT_TransportEnergyCons!$C$3:$C$1000))*1,[1]OUT_TransportEnergyCons!N$3:N$1000)</f>
        <v>0</v>
      </c>
      <c r="Q1457" s="1" cm="1">
        <f t="array" ref="Q1457">SUMPRODUCT(("T_B_c-ICEnga-S3"=[1]OUT_TransportEnergyCons!$A$3:$A$1000)*1,("var_fout"=[1]OUT_TransportEnergyCons!$B$3:$B$1000)*1,ISNUMBER(SEARCH("TPBSc",[1]OUT_TransportEnergyCons!$C$3:$C$1000))*1,[1]OUT_TransportEnergyCons!O$3:O$1000)</f>
        <v>0</v>
      </c>
      <c r="S1457" s="3"/>
    </row>
    <row r="1458" spans="2:19" x14ac:dyDescent="0.5">
      <c r="B1458" s="5" t="str">
        <f t="shared" si="1609"/>
        <v>SPS1</v>
      </c>
      <c r="C1458" s="5" t="str">
        <f t="shared" si="1610"/>
        <v>CH</v>
      </c>
      <c r="D1458" t="s">
        <v>1448</v>
      </c>
      <c r="E1458" t="str">
        <f t="shared" si="1611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2.0720868657182401E-7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1.6748719798052871E-6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SUMPRODUCT(("T_B_c-ICEnga-S4"=[1]OUT_TransportEnergyCons!$A$3:$A$1000)*1,("var_fout"=[1]OUT_TransportEnergyCons!$B$3:$B$1000)*1,ISNUMBER(SEARCH("TPBSc",[1]OUT_TransportEnergyCons!$C$3:$C$1000))*1,[1]OUT_TransportEnergyCons!H$3:H$1000)</f>
        <v>0</v>
      </c>
      <c r="K1458" s="1" cm="1">
        <f t="array" ref="K1458">SUMPRODUCT(("T_B_c-ICEnga-S4"=[1]OUT_TransportEnergyCons!$A$3:$A$1000)*1,("var_fout"=[1]OUT_TransportEnergyCons!$B$3:$B$1000)*1,ISNUMBER(SEARCH("TPBSc",[1]OUT_TransportEnergyCons!$C$3:$C$1000))*1,[1]OUT_TransportEnergyCons!I$3:I$1000)</f>
        <v>0</v>
      </c>
      <c r="L1458" s="1" cm="1">
        <f t="array" ref="L1458">SUMPRODUCT(("T_B_c-ICEnga-S4"=[1]OUT_TransportEnergyCons!$A$3:$A$1000)*1,("var_fout"=[1]OUT_TransportEnergyCons!$B$3:$B$1000)*1,ISNUMBER(SEARCH("TPBSc",[1]OUT_TransportEnergyCons!$C$3:$C$1000))*1,[1]OUT_TransportEnergyCons!J$3:J$1000)</f>
        <v>0</v>
      </c>
      <c r="M1458" s="1" cm="1">
        <f t="array" ref="M1458">SUMPRODUCT(("T_B_c-ICEnga-S4"=[1]OUT_TransportEnergyCons!$A$3:$A$1000)*1,("var_fout"=[1]OUT_TransportEnergyCons!$B$3:$B$1000)*1,ISNUMBER(SEARCH("TPBSc",[1]OUT_TransportEnergyCons!$C$3:$C$1000))*1,[1]OUT_TransportEnergyCons!K$3:K$1000)</f>
        <v>0</v>
      </c>
      <c r="N1458" s="1" cm="1">
        <f t="array" ref="N1458">SUMPRODUCT(("T_B_c-ICEnga-S4"=[1]OUT_TransportEnergyCons!$A$3:$A$1000)*1,("var_fout"=[1]OUT_TransportEnergyCons!$B$3:$B$1000)*1,ISNUMBER(SEARCH("TPBSc",[1]OUT_TransportEnergyCons!$C$3:$C$1000))*1,[1]OUT_TransportEnergyCons!L$3:L$1000)</f>
        <v>0</v>
      </c>
      <c r="O1458" s="1" cm="1">
        <f t="array" ref="O1458">SUMPRODUCT(("T_B_c-ICEnga-S4"=[1]OUT_TransportEnergyCons!$A$3:$A$1000)*1,("var_fout"=[1]OUT_TransportEnergyCons!$B$3:$B$1000)*1,ISNUMBER(SEARCH("TPBSc",[1]OUT_TransportEnergyCons!$C$3:$C$1000))*1,[1]OUT_TransportEnergyCons!M$3:M$1000)</f>
        <v>0</v>
      </c>
      <c r="P1458" s="1" cm="1">
        <f t="array" ref="P1458">SUMPRODUCT(("T_B_c-ICEnga-S4"=[1]OUT_TransportEnergyCons!$A$3:$A$1000)*1,("var_fout"=[1]OUT_TransportEnergyCons!$B$3:$B$1000)*1,ISNUMBER(SEARCH("TPBSc",[1]OUT_TransportEnergyCons!$C$3:$C$1000))*1,[1]OUT_TransportEnergyCons!N$3:N$1000)</f>
        <v>0</v>
      </c>
      <c r="Q1458" s="1" cm="1">
        <f t="array" ref="Q1458">SUMPRODUCT(("T_B_c-ICEnga-S4"=[1]OUT_TransportEnergyCons!$A$3:$A$1000)*1,("var_fout"=[1]OUT_TransportEnergyCons!$B$3:$B$1000)*1,ISNUMBER(SEARCH("TPBSc",[1]OUT_TransportEnergyCons!$C$3:$C$1000))*1,[1]OUT_TransportEnergyCons!O$3:O$1000)</f>
        <v>0</v>
      </c>
      <c r="S1458" s="3"/>
    </row>
    <row r="1459" spans="2:19" x14ac:dyDescent="0.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19" t="s">
        <v>292</v>
      </c>
      <c r="G1459" s="19" t="s">
        <v>292</v>
      </c>
      <c r="H1459" s="19" t="s">
        <v>292</v>
      </c>
      <c r="I1459" s="19" t="s">
        <v>292</v>
      </c>
      <c r="J1459" s="19" t="s">
        <v>292</v>
      </c>
      <c r="K1459" s="19" t="s">
        <v>292</v>
      </c>
      <c r="L1459" s="19" t="s">
        <v>292</v>
      </c>
      <c r="M1459" s="19" t="s">
        <v>292</v>
      </c>
      <c r="N1459" s="19" t="s">
        <v>292</v>
      </c>
      <c r="O1459" s="19" t="s">
        <v>292</v>
      </c>
      <c r="P1459" s="19" t="s">
        <v>292</v>
      </c>
      <c r="Q1459" s="19" t="s">
        <v>292</v>
      </c>
      <c r="S1459" s="3"/>
    </row>
    <row r="1460" spans="2:19" x14ac:dyDescent="0.5">
      <c r="B1460" s="5" t="str">
        <f t="shared" ref="B1460:B1482" si="1612">B1459</f>
        <v>SPS1</v>
      </c>
      <c r="C1460" s="5" t="str">
        <f t="shared" ref="C1460:C1482" si="1613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614">IFERROR(G1436/G1401,"-")</f>
        <v>-</v>
      </c>
      <c r="H1460" s="1" t="str">
        <f t="shared" si="1614"/>
        <v>-</v>
      </c>
      <c r="I1460" s="1" t="str">
        <f t="shared" si="1614"/>
        <v>-</v>
      </c>
      <c r="J1460" s="1" t="str">
        <f t="shared" si="1614"/>
        <v>-</v>
      </c>
      <c r="K1460" s="1" t="str">
        <f t="shared" si="1614"/>
        <v>-</v>
      </c>
      <c r="L1460" s="1" t="str">
        <f t="shared" ref="L1460:O1460" si="1615">IFERROR(L1436/L1401,"-")</f>
        <v>-</v>
      </c>
      <c r="M1460" s="1" t="str">
        <f t="shared" si="1615"/>
        <v>-</v>
      </c>
      <c r="N1460" s="1" t="str">
        <f t="shared" si="1615"/>
        <v>-</v>
      </c>
      <c r="O1460" s="1" t="str">
        <f t="shared" si="1615"/>
        <v>-</v>
      </c>
      <c r="P1460" s="1" t="str">
        <f t="shared" ref="P1460:Q1464" si="1616">IFERROR(P1436/P1401,"-")</f>
        <v>-</v>
      </c>
      <c r="Q1460" s="1" t="str">
        <f t="shared" si="1616"/>
        <v>-</v>
      </c>
      <c r="S1460" s="3"/>
    </row>
    <row r="1461" spans="2:19" x14ac:dyDescent="0.5">
      <c r="B1461" s="5" t="str">
        <f t="shared" si="1612"/>
        <v>SPS1</v>
      </c>
      <c r="C1461" s="5" t="str">
        <f t="shared" si="1613"/>
        <v>CH</v>
      </c>
      <c r="D1461" t="s">
        <v>1450</v>
      </c>
      <c r="E1461" t="s">
        <v>1229</v>
      </c>
      <c r="F1461" s="1">
        <f t="shared" ref="F1461:K1461" si="1617">IFERROR(F1437/F1402,"-")</f>
        <v>0.37869321701871794</v>
      </c>
      <c r="G1461" s="1">
        <f t="shared" si="1617"/>
        <v>0.38440194349333323</v>
      </c>
      <c r="H1461" s="1">
        <f t="shared" si="1617"/>
        <v>0.39636666081666339</v>
      </c>
      <c r="I1461" s="1">
        <f t="shared" si="1617"/>
        <v>0.44718741453677607</v>
      </c>
      <c r="J1461" s="1">
        <f t="shared" si="1617"/>
        <v>0.4704294416649572</v>
      </c>
      <c r="K1461" s="1">
        <f t="shared" si="1617"/>
        <v>0.47155996312532789</v>
      </c>
      <c r="L1461" s="1">
        <f t="shared" ref="L1461:O1461" si="1618">IFERROR(L1437/L1402,"-")</f>
        <v>0.49271947528906912</v>
      </c>
      <c r="M1461" s="1">
        <f t="shared" si="1618"/>
        <v>0.53049244029444342</v>
      </c>
      <c r="N1461" s="1">
        <f t="shared" si="1618"/>
        <v>0.53718426010559694</v>
      </c>
      <c r="O1461" s="1">
        <f t="shared" si="1618"/>
        <v>0.54235716283703483</v>
      </c>
      <c r="P1461" s="1">
        <f t="shared" si="1616"/>
        <v>0.54235716283703506</v>
      </c>
      <c r="Q1461" s="1">
        <f t="shared" si="1616"/>
        <v>0.54235716283703528</v>
      </c>
      <c r="S1461" s="3"/>
    </row>
    <row r="1462" spans="2:19" x14ac:dyDescent="0.5">
      <c r="B1462" s="5" t="str">
        <f t="shared" si="1612"/>
        <v>SPS1</v>
      </c>
      <c r="C1462" s="5" t="str">
        <f t="shared" si="1613"/>
        <v>CH</v>
      </c>
      <c r="D1462" t="s">
        <v>1451</v>
      </c>
      <c r="E1462" t="s">
        <v>1229</v>
      </c>
      <c r="F1462" s="1">
        <f t="shared" ref="F1462:K1462" si="1619">IFERROR(F1438/F1403,"-")</f>
        <v>0.27518070496490682</v>
      </c>
      <c r="G1462" s="1">
        <f t="shared" si="1619"/>
        <v>0.27871057382689679</v>
      </c>
      <c r="H1462" s="1">
        <f t="shared" si="1619"/>
        <v>0.2858392417883181</v>
      </c>
      <c r="I1462" s="1">
        <f t="shared" si="1619"/>
        <v>0.32407537647079826</v>
      </c>
      <c r="J1462" s="1">
        <f t="shared" si="1619"/>
        <v>0.32495620953823012</v>
      </c>
      <c r="K1462" s="1">
        <f t="shared" si="1619"/>
        <v>0.35029442093814095</v>
      </c>
      <c r="L1462" s="1">
        <f t="shared" ref="L1462:O1462" si="1620">IFERROR(L1438/L1403,"-")</f>
        <v>0.3617667098532254</v>
      </c>
      <c r="M1462" s="1">
        <f t="shared" si="1620"/>
        <v>0.37948630405395783</v>
      </c>
      <c r="N1462" s="1">
        <f t="shared" si="1620"/>
        <v>0.39058996401900387</v>
      </c>
      <c r="O1462" s="1">
        <f t="shared" si="1620"/>
        <v>0.39241606511731031</v>
      </c>
      <c r="P1462" s="1">
        <f t="shared" si="1616"/>
        <v>0.39241606511731014</v>
      </c>
      <c r="Q1462" s="1">
        <f t="shared" si="1616"/>
        <v>0.39241606511730998</v>
      </c>
      <c r="S1462" s="3"/>
    </row>
    <row r="1463" spans="2:19" x14ac:dyDescent="0.5">
      <c r="B1463" s="5" t="str">
        <f t="shared" si="1612"/>
        <v>SPS1</v>
      </c>
      <c r="C1463" s="5" t="str">
        <f t="shared" si="1613"/>
        <v>CH</v>
      </c>
      <c r="D1463" t="s">
        <v>1452</v>
      </c>
      <c r="E1463" t="s">
        <v>1229</v>
      </c>
      <c r="F1463" s="1">
        <f t="shared" ref="F1463:K1463" si="1621">IFERROR(F1439/F1404,"-")</f>
        <v>0.18297040713439869</v>
      </c>
      <c r="G1463" s="1">
        <f t="shared" si="1621"/>
        <v>0.18455575803174237</v>
      </c>
      <c r="H1463" s="1">
        <f t="shared" si="1621"/>
        <v>0.18725693844783953</v>
      </c>
      <c r="I1463" s="1">
        <f t="shared" si="1621"/>
        <v>0.20431168250842968</v>
      </c>
      <c r="J1463" s="1">
        <f t="shared" si="1621"/>
        <v>0.22519645980650749</v>
      </c>
      <c r="K1463" s="1">
        <f t="shared" si="1621"/>
        <v>0.23327411192406261</v>
      </c>
      <c r="L1463" s="1">
        <f t="shared" ref="L1463:O1463" si="1622">IFERROR(L1439/L1404,"-")</f>
        <v>0.24554542484530223</v>
      </c>
      <c r="M1463" s="1">
        <f t="shared" si="1622"/>
        <v>0.25679939829776749</v>
      </c>
      <c r="N1463" s="1">
        <f t="shared" si="1622"/>
        <v>0.26145431886575043</v>
      </c>
      <c r="O1463" s="1">
        <f t="shared" si="1622"/>
        <v>0.26214281836713804</v>
      </c>
      <c r="P1463" s="1">
        <f t="shared" si="1616"/>
        <v>0.26214281836713799</v>
      </c>
      <c r="Q1463" s="1">
        <f t="shared" si="1616"/>
        <v>0.26214281836713804</v>
      </c>
      <c r="S1463" s="3"/>
    </row>
    <row r="1464" spans="2:19" x14ac:dyDescent="0.5">
      <c r="B1464" s="5" t="str">
        <f t="shared" si="1612"/>
        <v>SPS1</v>
      </c>
      <c r="C1464" s="5" t="str">
        <f t="shared" si="1613"/>
        <v>CH</v>
      </c>
      <c r="D1464" t="s">
        <v>1453</v>
      </c>
      <c r="E1464" t="s">
        <v>1229</v>
      </c>
      <c r="F1464" s="1" t="str">
        <f t="shared" ref="F1464:K1464" si="1623">IFERROR(F1440/F1405,"-")</f>
        <v>-</v>
      </c>
      <c r="G1464" s="1">
        <f t="shared" si="1623"/>
        <v>0.1264342910014043</v>
      </c>
      <c r="H1464" s="1">
        <f t="shared" si="1623"/>
        <v>0.12961702752204124</v>
      </c>
      <c r="I1464" s="1">
        <f t="shared" si="1623"/>
        <v>0.13949864158434022</v>
      </c>
      <c r="J1464" s="1">
        <f t="shared" si="1623"/>
        <v>0.15121393328533103</v>
      </c>
      <c r="K1464" s="1">
        <f t="shared" si="1623"/>
        <v>0.1567365576748333</v>
      </c>
      <c r="L1464" s="1">
        <f t="shared" ref="L1464:O1464" si="1624">IFERROR(L1440/L1405,"-")</f>
        <v>0.165244920711558</v>
      </c>
      <c r="M1464" s="1">
        <f t="shared" si="1624"/>
        <v>0.17275017527254322</v>
      </c>
      <c r="N1464" s="1">
        <f t="shared" si="1624"/>
        <v>0.17547614587850308</v>
      </c>
      <c r="O1464" s="1">
        <f t="shared" si="1624"/>
        <v>0.17547614587850302</v>
      </c>
      <c r="P1464" s="1">
        <f t="shared" si="1616"/>
        <v>0.17547614587850308</v>
      </c>
      <c r="Q1464" s="1">
        <f t="shared" si="1616"/>
        <v>0.17547614587850305</v>
      </c>
      <c r="S1464" s="3"/>
    </row>
    <row r="1465" spans="2:19" x14ac:dyDescent="0.5">
      <c r="B1465" s="5" t="str">
        <f t="shared" si="1612"/>
        <v>SPS1</v>
      </c>
      <c r="C1465" s="5" t="str">
        <f t="shared" si="1613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625">IFERROR(G1441/G1407,"-")</f>
        <v>-</v>
      </c>
      <c r="H1465" s="1" t="str">
        <f t="shared" si="1625"/>
        <v>-</v>
      </c>
      <c r="I1465" s="1" t="str">
        <f t="shared" si="1625"/>
        <v>-</v>
      </c>
      <c r="J1465" s="1" t="str">
        <f t="shared" si="1625"/>
        <v>-</v>
      </c>
      <c r="K1465" s="1" t="str">
        <f t="shared" si="1625"/>
        <v>-</v>
      </c>
      <c r="L1465" s="1" t="str">
        <f t="shared" ref="L1465:O1465" si="1626">IFERROR(L1441/L1407,"-")</f>
        <v>-</v>
      </c>
      <c r="M1465" s="1" t="str">
        <f t="shared" si="1626"/>
        <v>-</v>
      </c>
      <c r="N1465" s="1" t="str">
        <f t="shared" si="1626"/>
        <v>-</v>
      </c>
      <c r="O1465" s="1" t="str">
        <f t="shared" si="1626"/>
        <v>-</v>
      </c>
      <c r="P1465" s="1" t="str">
        <f t="shared" ref="P1465:Q1468" si="1627">IFERROR(P1441/P1407,"-")</f>
        <v>-</v>
      </c>
      <c r="Q1465" s="1" t="str">
        <f t="shared" si="1627"/>
        <v>-</v>
      </c>
      <c r="S1465" s="3"/>
    </row>
    <row r="1466" spans="2:19" x14ac:dyDescent="0.5">
      <c r="B1466" s="5" t="str">
        <f t="shared" si="1612"/>
        <v>SPS1</v>
      </c>
      <c r="C1466" s="5" t="str">
        <f t="shared" si="1613"/>
        <v>CH</v>
      </c>
      <c r="D1466" t="s">
        <v>1455</v>
      </c>
      <c r="E1466" t="s">
        <v>1229</v>
      </c>
      <c r="F1466" s="1" t="str">
        <f t="shared" ref="F1466:K1466" si="1628">IFERROR(F1442/F1408,"-")</f>
        <v>-</v>
      </c>
      <c r="G1466" s="1" t="str">
        <f t="shared" si="1628"/>
        <v>-</v>
      </c>
      <c r="H1466" s="1" t="str">
        <f t="shared" si="1628"/>
        <v>-</v>
      </c>
      <c r="I1466" s="1">
        <f t="shared" si="1628"/>
        <v>0.16910151451049599</v>
      </c>
      <c r="J1466" s="1" t="str">
        <f t="shared" si="1628"/>
        <v>-</v>
      </c>
      <c r="K1466" s="1" t="str">
        <f t="shared" si="1628"/>
        <v>-</v>
      </c>
      <c r="L1466" s="1" t="str">
        <f t="shared" ref="L1466:O1466" si="1629">IFERROR(L1442/L1408,"-")</f>
        <v>-</v>
      </c>
      <c r="M1466" s="1" t="str">
        <f t="shared" si="1629"/>
        <v>-</v>
      </c>
      <c r="N1466" s="1" t="str">
        <f t="shared" si="1629"/>
        <v>-</v>
      </c>
      <c r="O1466" s="1" t="str">
        <f t="shared" si="1629"/>
        <v>-</v>
      </c>
      <c r="P1466" s="1" t="str">
        <f t="shared" si="1627"/>
        <v>-</v>
      </c>
      <c r="Q1466" s="1" t="str">
        <f t="shared" si="1627"/>
        <v>-</v>
      </c>
      <c r="S1466" s="3"/>
    </row>
    <row r="1467" spans="2:19" x14ac:dyDescent="0.5">
      <c r="B1467" s="5" t="str">
        <f t="shared" si="1612"/>
        <v>SPS1</v>
      </c>
      <c r="C1467" s="5" t="str">
        <f t="shared" si="1613"/>
        <v>CH</v>
      </c>
      <c r="D1467" t="s">
        <v>1456</v>
      </c>
      <c r="E1467" t="s">
        <v>1229</v>
      </c>
      <c r="F1467" s="1" t="str">
        <f t="shared" ref="F1467:K1467" si="1630">IFERROR(F1443/F1409,"-")</f>
        <v>-</v>
      </c>
      <c r="G1467" s="1" t="str">
        <f t="shared" si="1630"/>
        <v>-</v>
      </c>
      <c r="H1467" s="1" t="str">
        <f t="shared" si="1630"/>
        <v>-</v>
      </c>
      <c r="I1467" s="1">
        <f t="shared" si="1630"/>
        <v>0.11310839137372306</v>
      </c>
      <c r="J1467" s="1" t="str">
        <f t="shared" si="1630"/>
        <v>-</v>
      </c>
      <c r="K1467" s="1" t="str">
        <f t="shared" si="1630"/>
        <v>-</v>
      </c>
      <c r="L1467" s="1" t="str">
        <f t="shared" ref="L1467:O1467" si="1631">IFERROR(L1443/L1409,"-")</f>
        <v>-</v>
      </c>
      <c r="M1467" s="1" t="str">
        <f t="shared" si="1631"/>
        <v>-</v>
      </c>
      <c r="N1467" s="1" t="str">
        <f t="shared" si="1631"/>
        <v>-</v>
      </c>
      <c r="O1467" s="1" t="str">
        <f t="shared" si="1631"/>
        <v>-</v>
      </c>
      <c r="P1467" s="1" t="str">
        <f t="shared" si="1627"/>
        <v>-</v>
      </c>
      <c r="Q1467" s="1" t="str">
        <f t="shared" si="1627"/>
        <v>-</v>
      </c>
      <c r="S1467" s="3"/>
    </row>
    <row r="1468" spans="2:19" x14ac:dyDescent="0.5">
      <c r="B1468" s="5" t="str">
        <f t="shared" si="1612"/>
        <v>SPS1</v>
      </c>
      <c r="C1468" s="5" t="str">
        <f t="shared" si="1613"/>
        <v>CH</v>
      </c>
      <c r="D1468" t="s">
        <v>1457</v>
      </c>
      <c r="E1468" t="s">
        <v>1229</v>
      </c>
      <c r="F1468" s="1" t="str">
        <f t="shared" ref="F1468:K1468" si="1632">IFERROR(F1444/F1410,"-")</f>
        <v>-</v>
      </c>
      <c r="G1468" s="1" t="str">
        <f t="shared" si="1632"/>
        <v>-</v>
      </c>
      <c r="H1468" s="1" t="str">
        <f t="shared" si="1632"/>
        <v>-</v>
      </c>
      <c r="I1468" s="1" t="str">
        <f t="shared" si="1632"/>
        <v>-</v>
      </c>
      <c r="J1468" s="1" t="str">
        <f t="shared" si="1632"/>
        <v>-</v>
      </c>
      <c r="K1468" s="1" t="str">
        <f t="shared" si="1632"/>
        <v>-</v>
      </c>
      <c r="L1468" s="1" t="str">
        <f t="shared" ref="L1468:O1468" si="1633">IFERROR(L1444/L1410,"-")</f>
        <v>-</v>
      </c>
      <c r="M1468" s="1" t="str">
        <f t="shared" si="1633"/>
        <v>-</v>
      </c>
      <c r="N1468" s="1" t="str">
        <f t="shared" si="1633"/>
        <v>-</v>
      </c>
      <c r="O1468" s="1" t="str">
        <f t="shared" si="1633"/>
        <v>-</v>
      </c>
      <c r="P1468" s="1" t="str">
        <f t="shared" si="1627"/>
        <v>-</v>
      </c>
      <c r="Q1468" s="1" t="str">
        <f t="shared" si="1627"/>
        <v>-</v>
      </c>
      <c r="S1468" s="3"/>
    </row>
    <row r="1469" spans="2:19" x14ac:dyDescent="0.5">
      <c r="B1469" s="5" t="str">
        <f t="shared" si="1612"/>
        <v>SPS1</v>
      </c>
      <c r="C1469" s="5" t="str">
        <f t="shared" si="1613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634">IFERROR(G1445/G1416,"-")</f>
        <v>0.16251369968883869</v>
      </c>
      <c r="H1469" s="1">
        <f t="shared" si="1634"/>
        <v>0.16430146287982783</v>
      </c>
      <c r="I1469" s="1">
        <f t="shared" si="1634"/>
        <v>0.17473414209120461</v>
      </c>
      <c r="J1469" s="1">
        <f t="shared" si="1634"/>
        <v>0.19293844911854208</v>
      </c>
      <c r="K1469" s="1">
        <f t="shared" si="1634"/>
        <v>0.1967213116797564</v>
      </c>
      <c r="L1469" s="1">
        <f t="shared" ref="L1469:O1469" si="1635">IFERROR(L1445/L1416,"-")</f>
        <v>0.207883389466544</v>
      </c>
      <c r="M1469" s="1">
        <f t="shared" si="1635"/>
        <v>0.22078896586623967</v>
      </c>
      <c r="N1469" s="1">
        <f t="shared" si="1635"/>
        <v>0.22384335201401748</v>
      </c>
      <c r="O1469" s="1">
        <f t="shared" si="1635"/>
        <v>0.22493286651934494</v>
      </c>
      <c r="P1469" s="1">
        <f t="shared" ref="P1469:Q1477" si="1636">IFERROR(P1445/P1416,"-")</f>
        <v>0.22493286651934516</v>
      </c>
      <c r="Q1469" s="1">
        <f t="shared" si="1636"/>
        <v>0.22493286651934469</v>
      </c>
      <c r="S1469" s="3"/>
    </row>
    <row r="1470" spans="2:19" x14ac:dyDescent="0.5">
      <c r="B1470" s="5" t="str">
        <f t="shared" si="1612"/>
        <v>SPS1</v>
      </c>
      <c r="C1470" s="5" t="str">
        <f t="shared" si="1613"/>
        <v>CH</v>
      </c>
      <c r="D1470" t="s">
        <v>1459</v>
      </c>
      <c r="E1470" t="s">
        <v>1229</v>
      </c>
      <c r="F1470" s="1" t="str">
        <f t="shared" ref="F1470:K1470" si="1637">IFERROR(F1446/F1417,"-")</f>
        <v>-</v>
      </c>
      <c r="G1470" s="1">
        <f t="shared" si="1637"/>
        <v>0.11649393435744144</v>
      </c>
      <c r="H1470" s="1">
        <f t="shared" si="1637"/>
        <v>0.12231321488690189</v>
      </c>
      <c r="I1470" s="1">
        <f t="shared" si="1637"/>
        <v>0.12971432481145259</v>
      </c>
      <c r="J1470" s="1">
        <f t="shared" si="1637"/>
        <v>0.13145838932511003</v>
      </c>
      <c r="K1470" s="1">
        <f t="shared" si="1637"/>
        <v>0.14339798191039957</v>
      </c>
      <c r="L1470" s="1">
        <f t="shared" ref="L1470:O1470" si="1638">IFERROR(L1446/L1417,"-")</f>
        <v>0.147745151909841</v>
      </c>
      <c r="M1470" s="1">
        <f t="shared" si="1638"/>
        <v>0.15569689359471736</v>
      </c>
      <c r="N1470" s="1">
        <f t="shared" si="1638"/>
        <v>0.16057074541767619</v>
      </c>
      <c r="O1470" s="1">
        <f t="shared" si="1638"/>
        <v>0.16121889029459091</v>
      </c>
      <c r="P1470" s="1">
        <f t="shared" si="1636"/>
        <v>0.16121889029459113</v>
      </c>
      <c r="Q1470" s="1">
        <f t="shared" si="1636"/>
        <v>0.16121889029459108</v>
      </c>
      <c r="S1470" s="3"/>
    </row>
    <row r="1471" spans="2:19" x14ac:dyDescent="0.5">
      <c r="B1471" s="5" t="str">
        <f t="shared" si="1612"/>
        <v>SPS1</v>
      </c>
      <c r="C1471" s="5" t="str">
        <f t="shared" si="1613"/>
        <v>CH</v>
      </c>
      <c r="D1471" t="s">
        <v>1460</v>
      </c>
      <c r="E1471" t="s">
        <v>1229</v>
      </c>
      <c r="F1471" s="1" t="str">
        <f t="shared" ref="F1471:K1471" si="1639">IFERROR(F1447/F1418,"-")</f>
        <v>-</v>
      </c>
      <c r="G1471" s="1">
        <f t="shared" si="1639"/>
        <v>7.8235828164578802E-2</v>
      </c>
      <c r="H1471" s="1">
        <f t="shared" si="1639"/>
        <v>8.1907785285905685E-2</v>
      </c>
      <c r="I1471" s="1">
        <f t="shared" si="1639"/>
        <v>8.8639314939651631E-2</v>
      </c>
      <c r="J1471" s="1">
        <f t="shared" si="1639"/>
        <v>9.0005714056241304E-2</v>
      </c>
      <c r="K1471" s="1">
        <f t="shared" si="1639"/>
        <v>9.7422672179095102E-2</v>
      </c>
      <c r="L1471" s="1">
        <f t="shared" ref="L1471:O1471" si="1640">IFERROR(L1447/L1418,"-")</f>
        <v>0.10000454810521445</v>
      </c>
      <c r="M1471" s="1">
        <f t="shared" si="1640"/>
        <v>0.10699677158639874</v>
      </c>
      <c r="N1471" s="1">
        <f t="shared" si="1640"/>
        <v>0.10839787714983411</v>
      </c>
      <c r="O1471" s="1">
        <f t="shared" si="1640"/>
        <v>0.108649676620659</v>
      </c>
      <c r="P1471" s="1">
        <f t="shared" si="1636"/>
        <v>0.10864967662065907</v>
      </c>
      <c r="Q1471" s="1">
        <f t="shared" si="1636"/>
        <v>0.10864967662065905</v>
      </c>
      <c r="S1471" s="3"/>
    </row>
    <row r="1472" spans="2:19" x14ac:dyDescent="0.5">
      <c r="B1472" s="5" t="str">
        <f t="shared" si="1612"/>
        <v>SPS1</v>
      </c>
      <c r="C1472" s="5" t="str">
        <f t="shared" si="1613"/>
        <v>CH</v>
      </c>
      <c r="D1472" t="s">
        <v>1461</v>
      </c>
      <c r="E1472" t="s">
        <v>1229</v>
      </c>
      <c r="F1472" s="1" t="str">
        <f t="shared" ref="F1472:K1472" si="1641">IFERROR(F1448/F1419,"-")</f>
        <v>-</v>
      </c>
      <c r="G1472" s="1">
        <f t="shared" si="1641"/>
        <v>5.2751439830497751E-2</v>
      </c>
      <c r="H1472" s="1">
        <f t="shared" si="1641"/>
        <v>5.3874168706117304E-2</v>
      </c>
      <c r="I1472" s="1">
        <f t="shared" si="1641"/>
        <v>5.738107226978327E-2</v>
      </c>
      <c r="J1472" s="1">
        <f t="shared" si="1641"/>
        <v>6.314524586967861E-2</v>
      </c>
      <c r="K1472" s="1">
        <f t="shared" si="1641"/>
        <v>6.531135410977007E-2</v>
      </c>
      <c r="L1472" s="1">
        <f t="shared" ref="L1472:O1472" si="1642">IFERROR(L1448/L1419,"-")</f>
        <v>6.9211315797621811E-2</v>
      </c>
      <c r="M1472" s="1">
        <f t="shared" si="1642"/>
        <v>7.2264421710794793E-2</v>
      </c>
      <c r="N1472" s="1">
        <f t="shared" si="1642"/>
        <v>7.3435402919044865E-2</v>
      </c>
      <c r="O1472" s="1">
        <f t="shared" si="1642"/>
        <v>7.3435402919044795E-2</v>
      </c>
      <c r="P1472" s="1">
        <f t="shared" si="1636"/>
        <v>7.3435402919044823E-2</v>
      </c>
      <c r="Q1472" s="1">
        <f t="shared" si="1636"/>
        <v>7.3435402919044754E-2</v>
      </c>
      <c r="S1472" s="3"/>
    </row>
    <row r="1473" spans="2:19" x14ac:dyDescent="0.5">
      <c r="B1473" s="5" t="str">
        <f t="shared" si="1612"/>
        <v>SPS1</v>
      </c>
      <c r="C1473" s="5" t="str">
        <f t="shared" si="1613"/>
        <v>CH</v>
      </c>
      <c r="D1473" t="s">
        <v>2117</v>
      </c>
      <c r="E1473" t="s">
        <v>1229</v>
      </c>
      <c r="F1473" s="1">
        <f>IFERROR(F1449/F1420,"-")</f>
        <v>9.950249594195661</v>
      </c>
      <c r="G1473" s="1">
        <f t="shared" ref="G1473:K1473" si="1643">IFERROR(G1449/G1420,"-")</f>
        <v>7.9797266512003118</v>
      </c>
      <c r="H1473" s="1">
        <f t="shared" si="1643"/>
        <v>5.0239422367072901</v>
      </c>
      <c r="I1473" s="1" t="str">
        <f t="shared" si="1643"/>
        <v>-</v>
      </c>
      <c r="J1473" s="1" t="str">
        <f t="shared" si="1643"/>
        <v>-</v>
      </c>
      <c r="K1473" s="1" t="str">
        <f t="shared" si="1643"/>
        <v>-</v>
      </c>
      <c r="L1473" s="1" t="str">
        <f t="shared" ref="L1473:O1473" si="1644">IFERROR(L1449/L1420,"-")</f>
        <v>-</v>
      </c>
      <c r="M1473" s="1" t="str">
        <f t="shared" si="1644"/>
        <v>-</v>
      </c>
      <c r="N1473" s="1" t="str">
        <f t="shared" si="1644"/>
        <v>-</v>
      </c>
      <c r="O1473" s="1" t="str">
        <f t="shared" si="1644"/>
        <v>-</v>
      </c>
      <c r="P1473" s="1" t="str">
        <f t="shared" si="1636"/>
        <v>-</v>
      </c>
      <c r="Q1473" s="1" t="str">
        <f t="shared" si="1636"/>
        <v>-</v>
      </c>
      <c r="S1473" s="3"/>
    </row>
    <row r="1474" spans="2:19" x14ac:dyDescent="0.5">
      <c r="B1474" s="5" t="str">
        <f t="shared" si="1612"/>
        <v>SPS1</v>
      </c>
      <c r="C1474" s="5" t="str">
        <f t="shared" si="1613"/>
        <v>CH</v>
      </c>
      <c r="D1474" t="s">
        <v>1462</v>
      </c>
      <c r="E1474" t="s">
        <v>1229</v>
      </c>
      <c r="F1474" s="1">
        <f t="shared" ref="F1474:K1474" si="1645">IFERROR(F1450/F1421,"-")</f>
        <v>0.12391916748597513</v>
      </c>
      <c r="G1474" s="1">
        <f t="shared" si="1645"/>
        <v>0.12669618717338235</v>
      </c>
      <c r="H1474" s="1">
        <f t="shared" si="1645"/>
        <v>0.12824459703619429</v>
      </c>
      <c r="I1474" s="1" t="str">
        <f t="shared" si="1645"/>
        <v>-</v>
      </c>
      <c r="J1474" s="1" t="str">
        <f t="shared" si="1645"/>
        <v>-</v>
      </c>
      <c r="K1474" s="1" t="str">
        <f t="shared" si="1645"/>
        <v>-</v>
      </c>
      <c r="L1474" s="1" t="str">
        <f t="shared" ref="L1474:O1474" si="1646">IFERROR(L1450/L1421,"-")</f>
        <v>-</v>
      </c>
      <c r="M1474" s="1" t="str">
        <f t="shared" si="1646"/>
        <v>-</v>
      </c>
      <c r="N1474" s="1" t="str">
        <f t="shared" si="1646"/>
        <v>-</v>
      </c>
      <c r="O1474" s="1" t="str">
        <f t="shared" si="1646"/>
        <v>-</v>
      </c>
      <c r="P1474" s="1" t="str">
        <f t="shared" si="1636"/>
        <v>-</v>
      </c>
      <c r="Q1474" s="1" t="str">
        <f t="shared" si="1636"/>
        <v>-</v>
      </c>
      <c r="S1474" s="3"/>
    </row>
    <row r="1475" spans="2:19" x14ac:dyDescent="0.5">
      <c r="B1475" s="5" t="str">
        <f t="shared" si="1612"/>
        <v>SPS1</v>
      </c>
      <c r="C1475" s="5" t="str">
        <f t="shared" si="1613"/>
        <v>CH</v>
      </c>
      <c r="D1475" t="s">
        <v>1463</v>
      </c>
      <c r="E1475" t="s">
        <v>1229</v>
      </c>
      <c r="F1475" s="1">
        <f t="shared" ref="F1475:K1475" si="1647">IFERROR(F1451/F1422,"-")</f>
        <v>8.7465847585616666E-2</v>
      </c>
      <c r="G1475" s="1">
        <f t="shared" si="1647"/>
        <v>8.7811265512582351E-2</v>
      </c>
      <c r="H1475" s="1">
        <f t="shared" si="1647"/>
        <v>8.7810519085133668E-2</v>
      </c>
      <c r="I1475" s="1" t="str">
        <f t="shared" si="1647"/>
        <v>-</v>
      </c>
      <c r="J1475" s="1" t="str">
        <f t="shared" si="1647"/>
        <v>-</v>
      </c>
      <c r="K1475" s="1" t="str">
        <f t="shared" si="1647"/>
        <v>-</v>
      </c>
      <c r="L1475" s="1" t="str">
        <f t="shared" ref="L1475:O1475" si="1648">IFERROR(L1451/L1422,"-")</f>
        <v>-</v>
      </c>
      <c r="M1475" s="1" t="str">
        <f t="shared" si="1648"/>
        <v>-</v>
      </c>
      <c r="N1475" s="1" t="str">
        <f t="shared" si="1648"/>
        <v>-</v>
      </c>
      <c r="O1475" s="1" t="str">
        <f t="shared" si="1648"/>
        <v>-</v>
      </c>
      <c r="P1475" s="1" t="str">
        <f t="shared" si="1636"/>
        <v>-</v>
      </c>
      <c r="Q1475" s="1" t="str">
        <f t="shared" si="1636"/>
        <v>-</v>
      </c>
      <c r="S1475" s="3"/>
    </row>
    <row r="1476" spans="2:19" x14ac:dyDescent="0.5">
      <c r="B1476" s="5" t="str">
        <f t="shared" si="1612"/>
        <v>SPS1</v>
      </c>
      <c r="C1476" s="5" t="str">
        <f t="shared" si="1613"/>
        <v>CH</v>
      </c>
      <c r="D1476" t="s">
        <v>1464</v>
      </c>
      <c r="E1476" t="s">
        <v>1229</v>
      </c>
      <c r="F1476" s="1">
        <f t="shared" ref="F1476:K1476" si="1649">IFERROR(F1452/F1423,"-")</f>
        <v>5.794952798654867E-2</v>
      </c>
      <c r="G1476" s="1">
        <f t="shared" si="1649"/>
        <v>5.8177322413410379E-2</v>
      </c>
      <c r="H1476" s="1">
        <f t="shared" si="1649"/>
        <v>5.8151911352759385E-2</v>
      </c>
      <c r="I1476" s="1" t="str">
        <f t="shared" si="1649"/>
        <v>-</v>
      </c>
      <c r="J1476" s="1" t="str">
        <f t="shared" si="1649"/>
        <v>-</v>
      </c>
      <c r="K1476" s="1" t="str">
        <f t="shared" si="1649"/>
        <v>-</v>
      </c>
      <c r="L1476" s="1" t="str">
        <f t="shared" ref="L1476:O1476" si="1650">IFERROR(L1452/L1423,"-")</f>
        <v>-</v>
      </c>
      <c r="M1476" s="1" t="str">
        <f t="shared" si="1650"/>
        <v>-</v>
      </c>
      <c r="N1476" s="1" t="str">
        <f t="shared" si="1650"/>
        <v>-</v>
      </c>
      <c r="O1476" s="1" t="str">
        <f t="shared" si="1650"/>
        <v>-</v>
      </c>
      <c r="P1476" s="1" t="str">
        <f t="shared" si="1636"/>
        <v>-</v>
      </c>
      <c r="Q1476" s="1" t="str">
        <f t="shared" si="1636"/>
        <v>-</v>
      </c>
      <c r="S1476" s="3"/>
    </row>
    <row r="1477" spans="2:19" x14ac:dyDescent="0.5">
      <c r="B1477" s="5" t="str">
        <f t="shared" si="1612"/>
        <v>SPS1</v>
      </c>
      <c r="C1477" s="5" t="str">
        <f t="shared" si="1613"/>
        <v>CH</v>
      </c>
      <c r="D1477" t="s">
        <v>1465</v>
      </c>
      <c r="E1477" t="s">
        <v>1229</v>
      </c>
      <c r="F1477" s="1">
        <f t="shared" ref="F1477:K1477" si="1651">IFERROR(F1453/F1424,"-")</f>
        <v>3.8646481387947504E-2</v>
      </c>
      <c r="G1477" s="1">
        <f t="shared" si="1651"/>
        <v>3.8931868300417748E-2</v>
      </c>
      <c r="H1477" s="1">
        <f t="shared" si="1651"/>
        <v>3.9186888946618599E-2</v>
      </c>
      <c r="I1477" s="1" t="str">
        <f t="shared" si="1651"/>
        <v>-</v>
      </c>
      <c r="J1477" s="1" t="str">
        <f t="shared" si="1651"/>
        <v>-</v>
      </c>
      <c r="K1477" s="1" t="str">
        <f t="shared" si="1651"/>
        <v>-</v>
      </c>
      <c r="L1477" s="1" t="str">
        <f t="shared" ref="L1477:O1477" si="1652">IFERROR(L1453/L1424,"-")</f>
        <v>-</v>
      </c>
      <c r="M1477" s="1" t="str">
        <f t="shared" si="1652"/>
        <v>-</v>
      </c>
      <c r="N1477" s="1" t="str">
        <f t="shared" si="1652"/>
        <v>-</v>
      </c>
      <c r="O1477" s="1" t="str">
        <f t="shared" si="1652"/>
        <v>-</v>
      </c>
      <c r="P1477" s="1" t="str">
        <f t="shared" si="1636"/>
        <v>-</v>
      </c>
      <c r="Q1477" s="1" t="str">
        <f t="shared" si="1636"/>
        <v>-</v>
      </c>
      <c r="S1477" s="3"/>
    </row>
    <row r="1478" spans="2:19" x14ac:dyDescent="0.5">
      <c r="B1478" s="5" t="str">
        <f t="shared" si="1612"/>
        <v>SPS1</v>
      </c>
      <c r="C1478" s="5" t="str">
        <f t="shared" si="1613"/>
        <v>CH</v>
      </c>
      <c r="D1478" t="s">
        <v>2120</v>
      </c>
      <c r="E1478" t="s">
        <v>1229</v>
      </c>
      <c r="F1478" s="1">
        <f>IFERROR(F1454/F1430,"-")</f>
        <v>9.9502495941956557</v>
      </c>
      <c r="G1478" s="1">
        <f t="shared" ref="G1478:K1478" si="1653">IFERROR(G1454/G1430,"-")</f>
        <v>7.9767976048237514</v>
      </c>
      <c r="H1478" s="1">
        <f t="shared" si="1653"/>
        <v>5.0166196207658729</v>
      </c>
      <c r="I1478" s="1" t="str">
        <f t="shared" si="1653"/>
        <v>-</v>
      </c>
      <c r="J1478" s="1" t="str">
        <f t="shared" si="1653"/>
        <v>-</v>
      </c>
      <c r="K1478" s="1" t="str">
        <f t="shared" si="1653"/>
        <v>-</v>
      </c>
      <c r="L1478" s="1" t="str">
        <f t="shared" ref="L1478:O1478" si="1654">IFERROR(L1454/L1430,"-")</f>
        <v>-</v>
      </c>
      <c r="M1478" s="1" t="str">
        <f t="shared" si="1654"/>
        <v>-</v>
      </c>
      <c r="N1478" s="1" t="str">
        <f t="shared" si="1654"/>
        <v>-</v>
      </c>
      <c r="O1478" s="1" t="str">
        <f t="shared" si="1654"/>
        <v>-</v>
      </c>
      <c r="P1478" s="1" t="str">
        <f t="shared" ref="P1478:Q1482" si="1655">IFERROR(P1454/P1430,"-")</f>
        <v>-</v>
      </c>
      <c r="Q1478" s="1" t="str">
        <f t="shared" si="1655"/>
        <v>-</v>
      </c>
      <c r="S1478" s="3"/>
    </row>
    <row r="1479" spans="2:19" x14ac:dyDescent="0.5">
      <c r="B1479" s="5" t="str">
        <f t="shared" si="1612"/>
        <v>SPS1</v>
      </c>
      <c r="C1479" s="5" t="str">
        <f t="shared" si="1613"/>
        <v>CH</v>
      </c>
      <c r="D1479" t="s">
        <v>1466</v>
      </c>
      <c r="E1479" t="s">
        <v>1229</v>
      </c>
      <c r="F1479" s="1" t="str">
        <f t="shared" ref="F1479:K1479" si="1656">IFERROR(F1455/F1431,"-")</f>
        <v>-</v>
      </c>
      <c r="G1479" s="1">
        <f t="shared" si="1656"/>
        <v>0.12023751974847216</v>
      </c>
      <c r="H1479" s="1">
        <f t="shared" si="1656"/>
        <v>0.12590577926048696</v>
      </c>
      <c r="I1479" s="1" t="str">
        <f t="shared" si="1656"/>
        <v>-</v>
      </c>
      <c r="J1479" s="1" t="str">
        <f t="shared" si="1656"/>
        <v>-</v>
      </c>
      <c r="K1479" s="1" t="str">
        <f t="shared" si="1656"/>
        <v>-</v>
      </c>
      <c r="L1479" s="1" t="str">
        <f t="shared" ref="L1479:O1479" si="1657">IFERROR(L1455/L1431,"-")</f>
        <v>-</v>
      </c>
      <c r="M1479" s="1" t="str">
        <f t="shared" si="1657"/>
        <v>-</v>
      </c>
      <c r="N1479" s="1" t="str">
        <f t="shared" si="1657"/>
        <v>-</v>
      </c>
      <c r="O1479" s="1" t="str">
        <f t="shared" si="1657"/>
        <v>-</v>
      </c>
      <c r="P1479" s="1" t="str">
        <f t="shared" si="1655"/>
        <v>-</v>
      </c>
      <c r="Q1479" s="1" t="str">
        <f t="shared" si="1655"/>
        <v>-</v>
      </c>
      <c r="S1479" s="3"/>
    </row>
    <row r="1480" spans="2:19" x14ac:dyDescent="0.5">
      <c r="B1480" s="5" t="str">
        <f t="shared" si="1612"/>
        <v>SPS1</v>
      </c>
      <c r="C1480" s="5" t="str">
        <f t="shared" si="1613"/>
        <v>CH</v>
      </c>
      <c r="D1480" t="s">
        <v>1467</v>
      </c>
      <c r="E1480" t="s">
        <v>1229</v>
      </c>
      <c r="F1480" s="1" t="str">
        <f t="shared" ref="F1480:K1480" si="1658">IFERROR(F1456/F1432,"-")</f>
        <v>-</v>
      </c>
      <c r="G1480" s="1">
        <f t="shared" si="1658"/>
        <v>8.4998076233608874E-2</v>
      </c>
      <c r="H1480" s="1">
        <f t="shared" si="1658"/>
        <v>8.8660817669484859E-2</v>
      </c>
      <c r="I1480" s="1" t="str">
        <f t="shared" si="1658"/>
        <v>-</v>
      </c>
      <c r="J1480" s="1" t="str">
        <f t="shared" si="1658"/>
        <v>-</v>
      </c>
      <c r="K1480" s="1" t="str">
        <f t="shared" si="1658"/>
        <v>-</v>
      </c>
      <c r="L1480" s="1" t="str">
        <f t="shared" ref="L1480:O1480" si="1659">IFERROR(L1456/L1432,"-")</f>
        <v>-</v>
      </c>
      <c r="M1480" s="1" t="str">
        <f t="shared" si="1659"/>
        <v>-</v>
      </c>
      <c r="N1480" s="1" t="str">
        <f t="shared" si="1659"/>
        <v>-</v>
      </c>
      <c r="O1480" s="1" t="str">
        <f t="shared" si="1659"/>
        <v>-</v>
      </c>
      <c r="P1480" s="1" t="str">
        <f t="shared" si="1655"/>
        <v>-</v>
      </c>
      <c r="Q1480" s="1" t="str">
        <f t="shared" si="1655"/>
        <v>-</v>
      </c>
      <c r="S1480" s="3"/>
    </row>
    <row r="1481" spans="2:19" x14ac:dyDescent="0.5">
      <c r="B1481" s="5" t="str">
        <f t="shared" si="1612"/>
        <v>SPS1</v>
      </c>
      <c r="C1481" s="5" t="str">
        <f t="shared" si="1613"/>
        <v>CH</v>
      </c>
      <c r="D1481" t="s">
        <v>1468</v>
      </c>
      <c r="E1481" t="s">
        <v>1229</v>
      </c>
      <c r="F1481" s="1" t="str">
        <f t="shared" ref="F1481:K1481" si="1660">IFERROR(F1457/F1433,"-")</f>
        <v>-</v>
      </c>
      <c r="G1481" s="1">
        <f t="shared" si="1660"/>
        <v>5.6422133461237131E-2</v>
      </c>
      <c r="H1481" s="1">
        <f t="shared" si="1660"/>
        <v>5.8684281038750515E-2</v>
      </c>
      <c r="I1481" s="1" t="str">
        <f t="shared" si="1660"/>
        <v>-</v>
      </c>
      <c r="J1481" s="1" t="str">
        <f t="shared" si="1660"/>
        <v>-</v>
      </c>
      <c r="K1481" s="1" t="str">
        <f t="shared" si="1660"/>
        <v>-</v>
      </c>
      <c r="L1481" s="1" t="str">
        <f t="shared" ref="L1481:O1481" si="1661">IFERROR(L1457/L1433,"-")</f>
        <v>-</v>
      </c>
      <c r="M1481" s="1" t="str">
        <f t="shared" si="1661"/>
        <v>-</v>
      </c>
      <c r="N1481" s="1" t="str">
        <f t="shared" si="1661"/>
        <v>-</v>
      </c>
      <c r="O1481" s="1" t="str">
        <f t="shared" si="1661"/>
        <v>-</v>
      </c>
      <c r="P1481" s="1" t="str">
        <f t="shared" si="1655"/>
        <v>-</v>
      </c>
      <c r="Q1481" s="1" t="str">
        <f t="shared" si="1655"/>
        <v>-</v>
      </c>
      <c r="S1481" s="3"/>
    </row>
    <row r="1482" spans="2:19" x14ac:dyDescent="0.5">
      <c r="B1482" s="5" t="str">
        <f t="shared" si="1612"/>
        <v>SPS1</v>
      </c>
      <c r="C1482" s="5" t="str">
        <f t="shared" si="1613"/>
        <v>CH</v>
      </c>
      <c r="D1482" t="s">
        <v>1469</v>
      </c>
      <c r="E1482" t="s">
        <v>1229</v>
      </c>
      <c r="F1482" s="1" t="str">
        <f t="shared" ref="F1482:K1482" si="1662">IFERROR(F1458/F1434,"-")</f>
        <v>-</v>
      </c>
      <c r="G1482" s="1">
        <f t="shared" si="1662"/>
        <v>3.7689157759834356E-2</v>
      </c>
      <c r="H1482" s="1">
        <f t="shared" si="1662"/>
        <v>3.9055985988025656E-2</v>
      </c>
      <c r="I1482" s="1" t="str">
        <f t="shared" si="1662"/>
        <v>-</v>
      </c>
      <c r="J1482" s="1" t="str">
        <f t="shared" si="1662"/>
        <v>-</v>
      </c>
      <c r="K1482" s="1" t="str">
        <f t="shared" si="1662"/>
        <v>-</v>
      </c>
      <c r="L1482" s="1" t="str">
        <f t="shared" ref="L1482:O1482" si="1663">IFERROR(L1458/L1434,"-")</f>
        <v>-</v>
      </c>
      <c r="M1482" s="1" t="str">
        <f t="shared" si="1663"/>
        <v>-</v>
      </c>
      <c r="N1482" s="1" t="str">
        <f t="shared" si="1663"/>
        <v>-</v>
      </c>
      <c r="O1482" s="1" t="str">
        <f t="shared" si="1663"/>
        <v>-</v>
      </c>
      <c r="P1482" s="1" t="str">
        <f t="shared" si="1655"/>
        <v>-</v>
      </c>
      <c r="Q1482" s="1" t="str">
        <f t="shared" si="1655"/>
        <v>-</v>
      </c>
      <c r="S1482" s="3"/>
    </row>
    <row r="1483" spans="2:19" x14ac:dyDescent="0.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O1483" si="1664">G1484</f>
        <v>0.30668648626079364</v>
      </c>
      <c r="H1483" s="3">
        <f t="shared" si="1664"/>
        <v>0.35078787907941233</v>
      </c>
      <c r="I1483" s="3">
        <f t="shared" si="1664"/>
        <v>0.44905706465165934</v>
      </c>
      <c r="J1483" s="3">
        <f t="shared" si="1664"/>
        <v>0.45786518239100965</v>
      </c>
      <c r="K1483" s="3">
        <f t="shared" si="1664"/>
        <v>0.4706886426319784</v>
      </c>
      <c r="L1483" s="3">
        <f t="shared" si="1664"/>
        <v>0.47857062553803131</v>
      </c>
      <c r="M1483" s="3">
        <f t="shared" si="1664"/>
        <v>0.48645260844408511</v>
      </c>
      <c r="N1483" s="3">
        <f t="shared" si="1664"/>
        <v>0.5304172714770905</v>
      </c>
      <c r="O1483" s="3">
        <f t="shared" si="1664"/>
        <v>0.5611192082193377</v>
      </c>
      <c r="P1483" s="3">
        <f>P1484</f>
        <v>0.59169365220825365</v>
      </c>
      <c r="Q1483" s="3">
        <f>Q1484</f>
        <v>0.62178111980442863</v>
      </c>
      <c r="S1483" s="3"/>
    </row>
    <row r="1484" spans="2:19" x14ac:dyDescent="0.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O1484" si="1665">G1485</f>
        <v>0.30668648626079364</v>
      </c>
      <c r="H1484" s="1">
        <f t="shared" si="1665"/>
        <v>0.35078787907941233</v>
      </c>
      <c r="I1484" s="1">
        <f t="shared" si="1665"/>
        <v>0.44905706465165934</v>
      </c>
      <c r="J1484" s="1">
        <f t="shared" si="1665"/>
        <v>0.45786518239100965</v>
      </c>
      <c r="K1484" s="1">
        <f t="shared" si="1665"/>
        <v>0.4706886426319784</v>
      </c>
      <c r="L1484" s="1">
        <f t="shared" si="1665"/>
        <v>0.47857062553803131</v>
      </c>
      <c r="M1484" s="1">
        <f t="shared" si="1665"/>
        <v>0.48645260844408511</v>
      </c>
      <c r="N1484" s="1">
        <f t="shared" si="1665"/>
        <v>0.5304172714770905</v>
      </c>
      <c r="O1484" s="1">
        <f t="shared" si="1665"/>
        <v>0.5611192082193377</v>
      </c>
      <c r="P1484" s="1">
        <f>P1485</f>
        <v>0.59169365220825365</v>
      </c>
      <c r="Q1484" s="1">
        <f>Q1485</f>
        <v>0.62178111980442863</v>
      </c>
      <c r="S1484" s="3"/>
    </row>
    <row r="1485" spans="2:19" x14ac:dyDescent="0.5">
      <c r="B1485" s="5" t="str">
        <f t="shared" ref="B1485" si="1666">B1484</f>
        <v>SPS1</v>
      </c>
      <c r="C1485" s="5" t="str">
        <f t="shared" ref="C1485" si="1667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0.35078787907941233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0.44905706465165934</v>
      </c>
      <c r="J1485" s="1" cm="1">
        <f t="array" ref="J1485">SUMPRODUCT(("T_TRLY_ELC"=[1]OUT_TransportEnergyCons!$A$3:$A$1000)*1,("Var_Fin"=[1]OUT_TransportEnergyCons!$B$3:$B$1000)*1,ISNUMBER(SEARCH("ELC",[1]OUT_TransportEnergyCons!$C$3:$C$1000))*1,[1]OUT_TransportEnergyCons!H$3:H$1000)</f>
        <v>0.45786518239100965</v>
      </c>
      <c r="K1485" s="1" cm="1">
        <f t="array" ref="K1485">SUMPRODUCT(("T_TRLY_ELC"=[1]OUT_TransportEnergyCons!$A$3:$A$1000)*1,("Var_Fin"=[1]OUT_TransportEnergyCons!$B$3:$B$1000)*1,ISNUMBER(SEARCH("ELC",[1]OUT_TransportEnergyCons!$C$3:$C$1000))*1,[1]OUT_TransportEnergyCons!I$3:I$1000)</f>
        <v>0.4706886426319784</v>
      </c>
      <c r="L1485" s="1" cm="1">
        <f t="array" ref="L1485">SUMPRODUCT(("T_TRLY_ELC"=[1]OUT_TransportEnergyCons!$A$3:$A$1000)*1,("Var_Fin"=[1]OUT_TransportEnergyCons!$B$3:$B$1000)*1,ISNUMBER(SEARCH("ELC",[1]OUT_TransportEnergyCons!$C$3:$C$1000))*1,[1]OUT_TransportEnergyCons!J$3:J$1000)</f>
        <v>0.47857062553803131</v>
      </c>
      <c r="M1485" s="1" cm="1">
        <f t="array" ref="M1485">SUMPRODUCT(("T_TRLY_ELC"=[1]OUT_TransportEnergyCons!$A$3:$A$1000)*1,("Var_Fin"=[1]OUT_TransportEnergyCons!$B$3:$B$1000)*1,ISNUMBER(SEARCH("ELC",[1]OUT_TransportEnergyCons!$C$3:$C$1000))*1,[1]OUT_TransportEnergyCons!K$3:K$1000)</f>
        <v>0.48645260844408511</v>
      </c>
      <c r="N1485" s="1" cm="1">
        <f t="array" ref="N1485">SUMPRODUCT(("T_TRLY_ELC"=[1]OUT_TransportEnergyCons!$A$3:$A$1000)*1,("Var_Fin"=[1]OUT_TransportEnergyCons!$B$3:$B$1000)*1,ISNUMBER(SEARCH("ELC",[1]OUT_TransportEnergyCons!$C$3:$C$1000))*1,[1]OUT_TransportEnergyCons!L$3:L$1000)</f>
        <v>0.5304172714770905</v>
      </c>
      <c r="O1485" s="1" cm="1">
        <f t="array" ref="O1485">SUMPRODUCT(("T_TRLY_ELC"=[1]OUT_TransportEnergyCons!$A$3:$A$1000)*1,("Var_Fin"=[1]OUT_TransportEnergyCons!$B$3:$B$1000)*1,ISNUMBER(SEARCH("ELC",[1]OUT_TransportEnergyCons!$C$3:$C$1000))*1,[1]OUT_TransportEnergyCons!M$3:M$1000)</f>
        <v>0.5611192082193377</v>
      </c>
      <c r="P1485" s="1" cm="1">
        <f t="array" ref="P1485">SUMPRODUCT(("T_TRLY_ELC"=[1]OUT_TransportEnergyCons!$A$3:$A$1000)*1,("Var_Fin"=[1]OUT_TransportEnergyCons!$B$3:$B$1000)*1,ISNUMBER(SEARCH("ELC",[1]OUT_TransportEnergyCons!$C$3:$C$1000))*1,[1]OUT_TransportEnergyCons!N$3:N$1000)</f>
        <v>0.59169365220825365</v>
      </c>
      <c r="Q1485" s="1" cm="1">
        <f t="array" ref="Q1485">SUMPRODUCT(("T_TRLY_ELC"=[1]OUT_TransportEnergyCons!$A$3:$A$1000)*1,("Var_Fin"=[1]OUT_TransportEnergyCons!$B$3:$B$1000)*1,ISNUMBER(SEARCH("ELC",[1]OUT_TransportEnergyCons!$C$3:$C$1000))*1,[1]OUT_TransportEnergyCons!O$3:O$1000)</f>
        <v>0.62178111980442863</v>
      </c>
      <c r="S1485" s="3"/>
    </row>
    <row r="1486" spans="2:19" x14ac:dyDescent="0.5">
      <c r="B1486" s="9" t="str">
        <f t="shared" ref="B1486:C1489" si="1668">B1485</f>
        <v>SPS1</v>
      </c>
      <c r="C1486" s="9" t="str">
        <f t="shared" si="1668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O1486" si="1669">G1487</f>
        <v>2.7782165745480814E-2</v>
      </c>
      <c r="H1486" s="3">
        <f t="shared" si="1669"/>
        <v>2.8773914363701983E-2</v>
      </c>
      <c r="I1486" s="3">
        <f t="shared" si="1669"/>
        <v>3.042682872740389E-2</v>
      </c>
      <c r="J1486" s="3">
        <f t="shared" si="1669"/>
        <v>3.1023641718362919E-2</v>
      </c>
      <c r="K1486" s="3">
        <f t="shared" si="1669"/>
        <v>3.1892522889951397E-2</v>
      </c>
      <c r="L1486" s="3">
        <f t="shared" si="1669"/>
        <v>3.2426583620297177E-2</v>
      </c>
      <c r="M1486" s="3">
        <f t="shared" si="1669"/>
        <v>3.2960644350642984E-2</v>
      </c>
      <c r="N1486" s="3">
        <f t="shared" si="1669"/>
        <v>3.5939564798539693E-2</v>
      </c>
      <c r="O1486" s="3">
        <f t="shared" si="1669"/>
        <v>3.8019840657423198E-2</v>
      </c>
      <c r="P1486" s="3">
        <f>P1487</f>
        <v>4.0091477970173192E-2</v>
      </c>
      <c r="Q1486" s="3">
        <f>Q1487</f>
        <v>4.2130119148439206E-2</v>
      </c>
      <c r="S1486" s="3"/>
    </row>
    <row r="1487" spans="2:19" x14ac:dyDescent="0.5">
      <c r="B1487" s="5" t="str">
        <f t="shared" si="1668"/>
        <v>SPS1</v>
      </c>
      <c r="C1487" s="5" t="str">
        <f t="shared" si="1668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2.8773914363701983E-2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3.042682872740389E-2</v>
      </c>
      <c r="J1487" s="1" cm="1">
        <f t="array" ref="J1487">SUMPRODUCT(("T_TRLY_ELC"=[1]OUT_TransportEnergyCons!$A$3:$A$1000)*1,("Var_Fout"=[1]OUT_TransportEnergyCons!$B$3:$B$1000)*1,ISNUMBER(SEARCH("tptrly",[1]OUT_TransportEnergyCons!$C$3:$C$1000))*1,[1]OUT_TransportEnergyCons!H$3:H$1000)</f>
        <v>3.1023641718362919E-2</v>
      </c>
      <c r="K1487" s="1" cm="1">
        <f t="array" ref="K1487">SUMPRODUCT(("T_TRLY_ELC"=[1]OUT_TransportEnergyCons!$A$3:$A$1000)*1,("Var_Fout"=[1]OUT_TransportEnergyCons!$B$3:$B$1000)*1,ISNUMBER(SEARCH("tptrly",[1]OUT_TransportEnergyCons!$C$3:$C$1000))*1,[1]OUT_TransportEnergyCons!I$3:I$1000)</f>
        <v>3.1892522889951397E-2</v>
      </c>
      <c r="L1487" s="1" cm="1">
        <f t="array" ref="L1487">SUMPRODUCT(("T_TRLY_ELC"=[1]OUT_TransportEnergyCons!$A$3:$A$1000)*1,("Var_Fout"=[1]OUT_TransportEnergyCons!$B$3:$B$1000)*1,ISNUMBER(SEARCH("tptrly",[1]OUT_TransportEnergyCons!$C$3:$C$1000))*1,[1]OUT_TransportEnergyCons!J$3:J$1000)</f>
        <v>3.2426583620297177E-2</v>
      </c>
      <c r="M1487" s="1" cm="1">
        <f t="array" ref="M1487">SUMPRODUCT(("T_TRLY_ELC"=[1]OUT_TransportEnergyCons!$A$3:$A$1000)*1,("Var_Fout"=[1]OUT_TransportEnergyCons!$B$3:$B$1000)*1,ISNUMBER(SEARCH("tptrly",[1]OUT_TransportEnergyCons!$C$3:$C$1000))*1,[1]OUT_TransportEnergyCons!K$3:K$1000)</f>
        <v>3.2960644350642984E-2</v>
      </c>
      <c r="N1487" s="1" cm="1">
        <f t="array" ref="N1487">SUMPRODUCT(("T_TRLY_ELC"=[1]OUT_TransportEnergyCons!$A$3:$A$1000)*1,("Var_Fout"=[1]OUT_TransportEnergyCons!$B$3:$B$1000)*1,ISNUMBER(SEARCH("tptrly",[1]OUT_TransportEnergyCons!$C$3:$C$1000))*1,[1]OUT_TransportEnergyCons!L$3:L$1000)</f>
        <v>3.5939564798539693E-2</v>
      </c>
      <c r="O1487" s="1" cm="1">
        <f t="array" ref="O1487">SUMPRODUCT(("T_TRLY_ELC"=[1]OUT_TransportEnergyCons!$A$3:$A$1000)*1,("Var_Fout"=[1]OUT_TransportEnergyCons!$B$3:$B$1000)*1,ISNUMBER(SEARCH("tptrly",[1]OUT_TransportEnergyCons!$C$3:$C$1000))*1,[1]OUT_TransportEnergyCons!M$3:M$1000)</f>
        <v>3.8019840657423198E-2</v>
      </c>
      <c r="P1487" s="1" cm="1">
        <f t="array" ref="P1487">SUMPRODUCT(("T_TRLY_ELC"=[1]OUT_TransportEnergyCons!$A$3:$A$1000)*1,("Var_Fout"=[1]OUT_TransportEnergyCons!$B$3:$B$1000)*1,ISNUMBER(SEARCH("tptrly",[1]OUT_TransportEnergyCons!$C$3:$C$1000))*1,[1]OUT_TransportEnergyCons!N$3:N$1000)</f>
        <v>4.0091477970173192E-2</v>
      </c>
      <c r="Q1487" s="1" cm="1">
        <f t="array" ref="Q1487">SUMPRODUCT(("T_TRLY_ELC"=[1]OUT_TransportEnergyCons!$A$3:$A$1000)*1,("Var_Fout"=[1]OUT_TransportEnergyCons!$B$3:$B$1000)*1,ISNUMBER(SEARCH("tptrly",[1]OUT_TransportEnergyCons!$C$3:$C$1000))*1,[1]OUT_TransportEnergyCons!O$3:O$1000)</f>
        <v>4.2130119148439206E-2</v>
      </c>
      <c r="S1487" s="3"/>
    </row>
    <row r="1488" spans="2:19" x14ac:dyDescent="0.5">
      <c r="B1488" s="9" t="str">
        <f t="shared" si="1668"/>
        <v>SPS1</v>
      </c>
      <c r="C1488" s="9" t="str">
        <f t="shared" si="1668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M1488" s="1" t="s">
        <v>292</v>
      </c>
      <c r="N1488" s="1" t="s">
        <v>292</v>
      </c>
      <c r="O1488" s="1" t="s">
        <v>292</v>
      </c>
      <c r="P1488" s="1" t="s">
        <v>292</v>
      </c>
      <c r="Q1488" s="1" t="s">
        <v>292</v>
      </c>
      <c r="S1488" s="3"/>
    </row>
    <row r="1489" spans="2:19" x14ac:dyDescent="0.5">
      <c r="B1489" s="5" t="str">
        <f t="shared" si="1668"/>
        <v>SPS1</v>
      </c>
      <c r="C1489" s="5" t="str">
        <f t="shared" si="1668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670">G1487/G1485</f>
        <v>9.0588164102724744E-2</v>
      </c>
      <c r="H1489" s="1">
        <f t="shared" si="1670"/>
        <v>8.2026535350122706E-2</v>
      </c>
      <c r="I1489" s="1">
        <f t="shared" si="1670"/>
        <v>6.7757154095786157E-2</v>
      </c>
      <c r="J1489" s="1">
        <f t="shared" si="1670"/>
        <v>6.7757154095786254E-2</v>
      </c>
      <c r="K1489" s="1">
        <f t="shared" si="1670"/>
        <v>6.7757154095786185E-2</v>
      </c>
      <c r="L1489" s="1">
        <f t="shared" ref="L1489:O1489" si="1671">L1487/L1485</f>
        <v>6.7757154095786185E-2</v>
      </c>
      <c r="M1489" s="1">
        <f t="shared" si="1671"/>
        <v>6.7757154095786115E-2</v>
      </c>
      <c r="N1489" s="1">
        <f t="shared" si="1671"/>
        <v>6.7757154095786212E-2</v>
      </c>
      <c r="O1489" s="1">
        <f t="shared" si="1671"/>
        <v>6.7757154095786185E-2</v>
      </c>
      <c r="P1489" s="1">
        <f>P1487/P1485</f>
        <v>6.775715409578624E-2</v>
      </c>
      <c r="Q1489" s="1">
        <f>Q1487/Q1485</f>
        <v>6.7757154095786254E-2</v>
      </c>
      <c r="S1489" s="3"/>
    </row>
    <row r="1490" spans="2:19" x14ac:dyDescent="0.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672">G1491</f>
        <v>0.61504030570008339</v>
      </c>
      <c r="H1490" s="3">
        <f t="shared" ref="H1490:H1491" si="1673">H1491</f>
        <v>0.65847123751882963</v>
      </c>
      <c r="I1490" s="3">
        <f t="shared" ref="I1490:I1491" si="1674">I1491</f>
        <v>0.73826743502205472</v>
      </c>
      <c r="J1490" s="3">
        <f t="shared" ref="J1490:J1491" si="1675">J1491</f>
        <v>0.7564574460789345</v>
      </c>
      <c r="K1490" s="3">
        <f t="shared" ref="K1490:O1491" si="1676">K1491</f>
        <v>0.77350814954032066</v>
      </c>
      <c r="L1490" s="3">
        <f t="shared" si="1676"/>
        <v>0.78633099956125296</v>
      </c>
      <c r="M1490" s="3">
        <f t="shared" si="1676"/>
        <v>0.7991538495821856</v>
      </c>
      <c r="N1490" s="3">
        <f t="shared" si="1676"/>
        <v>0.83907095970389334</v>
      </c>
      <c r="O1490" s="3">
        <f t="shared" si="1676"/>
        <v>0.86191110505360957</v>
      </c>
      <c r="P1490" s="3">
        <f>P1491</f>
        <v>0.88464264231103162</v>
      </c>
      <c r="Q1490" s="3">
        <f>Q1491</f>
        <v>0.90719138572521052</v>
      </c>
      <c r="S1490" s="3"/>
    </row>
    <row r="1491" spans="2:19" x14ac:dyDescent="0.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672"/>
        <v>0.61504030570008339</v>
      </c>
      <c r="H1491" s="1">
        <f t="shared" si="1673"/>
        <v>0.65847123751882963</v>
      </c>
      <c r="I1491" s="1">
        <f t="shared" si="1674"/>
        <v>0.73826743502205472</v>
      </c>
      <c r="J1491" s="1">
        <f t="shared" si="1675"/>
        <v>0.7564574460789345</v>
      </c>
      <c r="K1491" s="1">
        <f t="shared" si="1676"/>
        <v>0.77350814954032066</v>
      </c>
      <c r="L1491" s="1">
        <f t="shared" si="1676"/>
        <v>0.78633099956125296</v>
      </c>
      <c r="M1491" s="1">
        <f t="shared" si="1676"/>
        <v>0.7991538495821856</v>
      </c>
      <c r="N1491" s="1">
        <f t="shared" si="1676"/>
        <v>0.83907095970389334</v>
      </c>
      <c r="O1491" s="1">
        <f t="shared" si="1676"/>
        <v>0.86191110505360957</v>
      </c>
      <c r="P1491" s="1">
        <f>P1492</f>
        <v>0.88464264231103162</v>
      </c>
      <c r="Q1491" s="1">
        <f>Q1492</f>
        <v>0.90719138572521052</v>
      </c>
      <c r="S1491" s="3"/>
    </row>
    <row r="1492" spans="2:19" x14ac:dyDescent="0.5">
      <c r="B1492" s="5" t="str">
        <f t="shared" ref="B1492" si="1677">B1491</f>
        <v>SPS1</v>
      </c>
      <c r="C1492" s="5" t="str">
        <f t="shared" ref="C1492" si="1678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0.65847123751882963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0.73826743502205472</v>
      </c>
      <c r="J1492" s="1" cm="1">
        <f t="array" ref="J1492">SUMPRODUCT(("T_TRM_ELC"=[1]OUT_TransportEnergyCons!$A$3:$A$1000)*1,("Var_Fin"=[1]OUT_TransportEnergyCons!$B$3:$B$1000)*1,ISNUMBER(SEARCH("ELC",[1]OUT_TransportEnergyCons!$C$3:$C$1000))*1,[1]OUT_TransportEnergyCons!H$3:H$1000)</f>
        <v>0.7564574460789345</v>
      </c>
      <c r="K1492" s="1" cm="1">
        <f t="array" ref="K1492">SUMPRODUCT(("T_TRM_ELC"=[1]OUT_TransportEnergyCons!$A$3:$A$1000)*1,("Var_Fin"=[1]OUT_TransportEnergyCons!$B$3:$B$1000)*1,ISNUMBER(SEARCH("ELC",[1]OUT_TransportEnergyCons!$C$3:$C$1000))*1,[1]OUT_TransportEnergyCons!I$3:I$1000)</f>
        <v>0.77350814954032066</v>
      </c>
      <c r="L1492" s="1" cm="1">
        <f t="array" ref="L1492">SUMPRODUCT(("T_TRM_ELC"=[1]OUT_TransportEnergyCons!$A$3:$A$1000)*1,("Var_Fin"=[1]OUT_TransportEnergyCons!$B$3:$B$1000)*1,ISNUMBER(SEARCH("ELC",[1]OUT_TransportEnergyCons!$C$3:$C$1000))*1,[1]OUT_TransportEnergyCons!J$3:J$1000)</f>
        <v>0.78633099956125296</v>
      </c>
      <c r="M1492" s="1" cm="1">
        <f t="array" ref="M1492">SUMPRODUCT(("T_TRM_ELC"=[1]OUT_TransportEnergyCons!$A$3:$A$1000)*1,("Var_Fin"=[1]OUT_TransportEnergyCons!$B$3:$B$1000)*1,ISNUMBER(SEARCH("ELC",[1]OUT_TransportEnergyCons!$C$3:$C$1000))*1,[1]OUT_TransportEnergyCons!K$3:K$1000)</f>
        <v>0.7991538495821856</v>
      </c>
      <c r="N1492" s="1" cm="1">
        <f t="array" ref="N1492">SUMPRODUCT(("T_TRM_ELC"=[1]OUT_TransportEnergyCons!$A$3:$A$1000)*1,("Var_Fin"=[1]OUT_TransportEnergyCons!$B$3:$B$1000)*1,ISNUMBER(SEARCH("ELC",[1]OUT_TransportEnergyCons!$C$3:$C$1000))*1,[1]OUT_TransportEnergyCons!L$3:L$1000)</f>
        <v>0.83907095970389334</v>
      </c>
      <c r="O1492" s="1" cm="1">
        <f t="array" ref="O1492">SUMPRODUCT(("T_TRM_ELC"=[1]OUT_TransportEnergyCons!$A$3:$A$1000)*1,("Var_Fin"=[1]OUT_TransportEnergyCons!$B$3:$B$1000)*1,ISNUMBER(SEARCH("ELC",[1]OUT_TransportEnergyCons!$C$3:$C$1000))*1,[1]OUT_TransportEnergyCons!M$3:M$1000)</f>
        <v>0.86191110505360957</v>
      </c>
      <c r="P1492" s="1" cm="1">
        <f t="array" ref="P1492">SUMPRODUCT(("T_TRM_ELC"=[1]OUT_TransportEnergyCons!$A$3:$A$1000)*1,("Var_Fin"=[1]OUT_TransportEnergyCons!$B$3:$B$1000)*1,ISNUMBER(SEARCH("ELC",[1]OUT_TransportEnergyCons!$C$3:$C$1000))*1,[1]OUT_TransportEnergyCons!N$3:N$1000)</f>
        <v>0.88464264231103162</v>
      </c>
      <c r="Q1492" s="1" cm="1">
        <f t="array" ref="Q1492">SUMPRODUCT(("T_TRM_ELC"=[1]OUT_TransportEnergyCons!$A$3:$A$1000)*1,("Var_Fin"=[1]OUT_TransportEnergyCons!$B$3:$B$1000)*1,ISNUMBER(SEARCH("ELC",[1]OUT_TransportEnergyCons!$C$3:$C$1000))*1,[1]OUT_TransportEnergyCons!O$3:O$1000)</f>
        <v>0.90719138572521052</v>
      </c>
      <c r="S1492" s="3"/>
    </row>
    <row r="1493" spans="2:19" x14ac:dyDescent="0.5">
      <c r="B1493" s="9" t="str">
        <f t="shared" ref="B1493:C1497" si="1679">B1492</f>
        <v>SPS1</v>
      </c>
      <c r="C1493" s="9" t="str">
        <f t="shared" si="1679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680">G1494</f>
        <v>3.4238693943285006E-2</v>
      </c>
      <c r="H1493" s="3">
        <f t="shared" ref="H1493" si="1681">H1494</f>
        <v>3.537973485821249E-2</v>
      </c>
      <c r="I1493" s="3">
        <f t="shared" ref="I1493" si="1682">I1494</f>
        <v>3.7281469716424979E-2</v>
      </c>
      <c r="J1493" s="3">
        <f t="shared" ref="J1493" si="1683">J1494</f>
        <v>3.8200039755124107E-2</v>
      </c>
      <c r="K1493" s="3">
        <f t="shared" ref="K1493:O1493" si="1684">K1494</f>
        <v>3.9061076358642186E-2</v>
      </c>
      <c r="L1493" s="3">
        <f t="shared" si="1684"/>
        <v>3.9708612294883733E-2</v>
      </c>
      <c r="M1493" s="3">
        <f t="shared" si="1684"/>
        <v>4.0356148231125301E-2</v>
      </c>
      <c r="N1493" s="3">
        <f t="shared" si="1684"/>
        <v>4.2371906290567779E-2</v>
      </c>
      <c r="O1493" s="3">
        <f t="shared" si="1684"/>
        <v>4.3525301587149907E-2</v>
      </c>
      <c r="P1493" s="3">
        <f>P1494</f>
        <v>4.4673212327442917E-2</v>
      </c>
      <c r="Q1493" s="3">
        <f>Q1494</f>
        <v>4.5811892235102694E-2</v>
      </c>
      <c r="S1493" s="3"/>
    </row>
    <row r="1494" spans="2:19" x14ac:dyDescent="0.5">
      <c r="B1494" s="5" t="str">
        <f t="shared" si="1679"/>
        <v>SPS1</v>
      </c>
      <c r="C1494" s="5" t="str">
        <f t="shared" si="1679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3.537973485821249E-2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3.7281469716424979E-2</v>
      </c>
      <c r="J1494" s="1" cm="1">
        <f t="array" ref="J1494">SUMPRODUCT(("T_TRM_ELC"=[1]OUT_TransportEnergyCons!$A$3:$A$1000)*1,("Var_Fout"=[1]OUT_TransportEnergyCons!$B$3:$B$1000)*1,ISNUMBER(SEARCH("tptrm",[1]OUT_TransportEnergyCons!$C$3:$C$1000))*1,[1]OUT_TransportEnergyCons!H$3:H$1000)</f>
        <v>3.8200039755124107E-2</v>
      </c>
      <c r="K1494" s="1" cm="1">
        <f t="array" ref="K1494">SUMPRODUCT(("T_TRM_ELC"=[1]OUT_TransportEnergyCons!$A$3:$A$1000)*1,("Var_Fout"=[1]OUT_TransportEnergyCons!$B$3:$B$1000)*1,ISNUMBER(SEARCH("tptrm",[1]OUT_TransportEnergyCons!$C$3:$C$1000))*1,[1]OUT_TransportEnergyCons!I$3:I$1000)</f>
        <v>3.9061076358642186E-2</v>
      </c>
      <c r="L1494" s="1" cm="1">
        <f t="array" ref="L1494">SUMPRODUCT(("T_TRM_ELC"=[1]OUT_TransportEnergyCons!$A$3:$A$1000)*1,("Var_Fout"=[1]OUT_TransportEnergyCons!$B$3:$B$1000)*1,ISNUMBER(SEARCH("tptrm",[1]OUT_TransportEnergyCons!$C$3:$C$1000))*1,[1]OUT_TransportEnergyCons!J$3:J$1000)</f>
        <v>3.9708612294883733E-2</v>
      </c>
      <c r="M1494" s="1" cm="1">
        <f t="array" ref="M1494">SUMPRODUCT(("T_TRM_ELC"=[1]OUT_TransportEnergyCons!$A$3:$A$1000)*1,("Var_Fout"=[1]OUT_TransportEnergyCons!$B$3:$B$1000)*1,ISNUMBER(SEARCH("tptrm",[1]OUT_TransportEnergyCons!$C$3:$C$1000))*1,[1]OUT_TransportEnergyCons!K$3:K$1000)</f>
        <v>4.0356148231125301E-2</v>
      </c>
      <c r="N1494" s="1" cm="1">
        <f t="array" ref="N1494">SUMPRODUCT(("T_TRM_ELC"=[1]OUT_TransportEnergyCons!$A$3:$A$1000)*1,("Var_Fout"=[1]OUT_TransportEnergyCons!$B$3:$B$1000)*1,ISNUMBER(SEARCH("tptrm",[1]OUT_TransportEnergyCons!$C$3:$C$1000))*1,[1]OUT_TransportEnergyCons!L$3:L$1000)</f>
        <v>4.2371906290567779E-2</v>
      </c>
      <c r="O1494" s="1" cm="1">
        <f t="array" ref="O1494">SUMPRODUCT(("T_TRM_ELC"=[1]OUT_TransportEnergyCons!$A$3:$A$1000)*1,("Var_Fout"=[1]OUT_TransportEnergyCons!$B$3:$B$1000)*1,ISNUMBER(SEARCH("tptrm",[1]OUT_TransportEnergyCons!$C$3:$C$1000))*1,[1]OUT_TransportEnergyCons!M$3:M$1000)</f>
        <v>4.3525301587149907E-2</v>
      </c>
      <c r="P1494" s="1" cm="1">
        <f t="array" ref="P1494">SUMPRODUCT(("T_TRM_ELC"=[1]OUT_TransportEnergyCons!$A$3:$A$1000)*1,("Var_Fout"=[1]OUT_TransportEnergyCons!$B$3:$B$1000)*1,ISNUMBER(SEARCH("tptrm",[1]OUT_TransportEnergyCons!$C$3:$C$1000))*1,[1]OUT_TransportEnergyCons!N$3:N$1000)</f>
        <v>4.4673212327442917E-2</v>
      </c>
      <c r="Q1494" s="1" cm="1">
        <f t="array" ref="Q1494">SUMPRODUCT(("T_TRM_ELC"=[1]OUT_TransportEnergyCons!$A$3:$A$1000)*1,("Var_Fout"=[1]OUT_TransportEnergyCons!$B$3:$B$1000)*1,ISNUMBER(SEARCH("tptrm",[1]OUT_TransportEnergyCons!$C$3:$C$1000))*1,[1]OUT_TransportEnergyCons!O$3:O$1000)</f>
        <v>4.5811892235102694E-2</v>
      </c>
      <c r="S1494" s="3"/>
    </row>
    <row r="1495" spans="2:19" x14ac:dyDescent="0.5">
      <c r="B1495" s="9" t="str">
        <f t="shared" si="1679"/>
        <v>SPS1</v>
      </c>
      <c r="C1495" s="9" t="str">
        <f t="shared" si="1679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M1495" s="1" t="s">
        <v>292</v>
      </c>
      <c r="N1495" s="1" t="s">
        <v>292</v>
      </c>
      <c r="O1495" s="1" t="s">
        <v>292</v>
      </c>
      <c r="P1495" s="1" t="s">
        <v>292</v>
      </c>
      <c r="Q1495" s="1" t="s">
        <v>292</v>
      </c>
      <c r="S1495" s="3"/>
    </row>
    <row r="1496" spans="2:19" x14ac:dyDescent="0.5">
      <c r="B1496" s="5" t="str">
        <f t="shared" si="1679"/>
        <v>SPS1</v>
      </c>
      <c r="C1496" s="5" t="str">
        <f t="shared" si="1679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685">G1494/G1492</f>
        <v>5.5669024657354849E-2</v>
      </c>
      <c r="H1496" s="1">
        <f t="shared" si="1685"/>
        <v>5.3730114304652181E-2</v>
      </c>
      <c r="I1496" s="1">
        <f t="shared" si="1685"/>
        <v>5.0498597050147885E-2</v>
      </c>
      <c r="J1496" s="1">
        <f t="shared" si="1685"/>
        <v>5.0498597050147913E-2</v>
      </c>
      <c r="K1496" s="1">
        <f t="shared" si="1685"/>
        <v>5.0498597050147885E-2</v>
      </c>
      <c r="L1496" s="1">
        <f t="shared" ref="L1496:O1496" si="1686">L1494/L1492</f>
        <v>5.0498597050147892E-2</v>
      </c>
      <c r="M1496" s="1">
        <f t="shared" si="1686"/>
        <v>5.0498597050147906E-2</v>
      </c>
      <c r="N1496" s="1">
        <f t="shared" si="1686"/>
        <v>5.0498597050147878E-2</v>
      </c>
      <c r="O1496" s="1">
        <f t="shared" si="1686"/>
        <v>5.0498597050147878E-2</v>
      </c>
      <c r="P1496" s="1">
        <f>P1494/P1492</f>
        <v>5.0498597050147913E-2</v>
      </c>
      <c r="Q1496" s="1">
        <f>Q1494/Q1492</f>
        <v>5.0498597050147892E-2</v>
      </c>
      <c r="S1496" s="3"/>
    </row>
    <row r="1497" spans="2:19" x14ac:dyDescent="0.5">
      <c r="B1497" s="9" t="str">
        <f t="shared" si="1679"/>
        <v>SPS1</v>
      </c>
      <c r="C1497" s="9" t="str">
        <f t="shared" si="1679"/>
        <v>CH</v>
      </c>
      <c r="D1497" s="2" t="s">
        <v>1487</v>
      </c>
      <c r="E1497" s="2" t="s">
        <v>8</v>
      </c>
      <c r="F1497" s="3">
        <f>SUM(F1498,F1503,F1508)</f>
        <v>2.4122435150086505</v>
      </c>
      <c r="G1497" s="3">
        <f t="shared" ref="G1497:K1497" si="1687">SUM(G1498,G1503,G1508)</f>
        <v>1.6972673226281176</v>
      </c>
      <c r="H1497" s="3">
        <f t="shared" si="1687"/>
        <v>1.6756259040983832</v>
      </c>
      <c r="I1497" s="3">
        <f t="shared" si="1687"/>
        <v>1.5016392501120139</v>
      </c>
      <c r="J1497" s="3">
        <f t="shared" si="1687"/>
        <v>1.1735286351852168</v>
      </c>
      <c r="K1497" s="3">
        <f t="shared" si="1687"/>
        <v>1.0717976989189002</v>
      </c>
      <c r="L1497" s="3">
        <f t="shared" ref="L1497:O1497" si="1688">SUM(L1498,L1503,L1508)</f>
        <v>0.94051683718145129</v>
      </c>
      <c r="M1497" s="3">
        <f t="shared" si="1688"/>
        <v>0.8824947365850021</v>
      </c>
      <c r="N1497" s="3">
        <f t="shared" si="1688"/>
        <v>0.85259448125058424</v>
      </c>
      <c r="O1497" s="3">
        <f t="shared" si="1688"/>
        <v>0.82730886430932637</v>
      </c>
      <c r="P1497" s="3">
        <f>SUM(P1498,P1503,P1508)</f>
        <v>0.81243578383286985</v>
      </c>
      <c r="Q1497" s="3">
        <f>SUM(Q1498,Q1503,Q1508)</f>
        <v>0.79318371219203088</v>
      </c>
      <c r="S1497" s="3"/>
    </row>
    <row r="1498" spans="2:19" x14ac:dyDescent="0.5">
      <c r="B1498" s="5" t="str">
        <f>B1497</f>
        <v>SPS1</v>
      </c>
      <c r="C1498" t="str">
        <f t="shared" ref="C1498:C1502" si="1689">C1497</f>
        <v>CH</v>
      </c>
      <c r="D1498" t="s">
        <v>1488</v>
      </c>
      <c r="E1498" t="str">
        <f>E1497</f>
        <v>PJ/yr.</v>
      </c>
      <c r="F1498" s="1">
        <f>SUM(F1499:F1502)</f>
        <v>2.045943437932538E-3</v>
      </c>
      <c r="G1498" s="1">
        <f t="shared" ref="G1498:K1498" si="1690">SUM(G1499:G1502)</f>
        <v>2.8673624731658793E-3</v>
      </c>
      <c r="H1498" s="1">
        <f t="shared" si="1690"/>
        <v>2.9588318220597903E-3</v>
      </c>
      <c r="I1498" s="1">
        <f t="shared" si="1690"/>
        <v>2.2824614307351745E-3</v>
      </c>
      <c r="J1498" s="1">
        <f t="shared" si="1690"/>
        <v>9.2131131403710401E-4</v>
      </c>
      <c r="K1498" s="1">
        <f t="shared" si="1690"/>
        <v>1.0789299970003592E-3</v>
      </c>
      <c r="L1498" s="1">
        <f t="shared" ref="L1498:O1498" si="1691">SUM(L1499:L1502)</f>
        <v>1.3466520608158795E-3</v>
      </c>
      <c r="M1498" s="1">
        <f t="shared" si="1691"/>
        <v>2.0652059022938812E-3</v>
      </c>
      <c r="N1498" s="1">
        <f t="shared" si="1691"/>
        <v>3.0438652893399233E-3</v>
      </c>
      <c r="O1498" s="1">
        <f t="shared" si="1691"/>
        <v>3.8649577756894628E-3</v>
      </c>
      <c r="P1498" s="1">
        <f>SUM(P1499:P1502)</f>
        <v>3.7937668172940754E-3</v>
      </c>
      <c r="Q1498" s="1">
        <f>SUM(Q1499:Q1502)</f>
        <v>5.0608009718399989E-3</v>
      </c>
      <c r="S1498" s="3"/>
    </row>
    <row r="1499" spans="2:19" x14ac:dyDescent="0.5">
      <c r="B1499" t="str">
        <f t="shared" ref="B1499:B1502" si="1692">B1498</f>
        <v>SPS1</v>
      </c>
      <c r="C1499" t="str">
        <f t="shared" si="1689"/>
        <v>CH</v>
      </c>
      <c r="D1499" t="s">
        <v>1489</v>
      </c>
      <c r="E1499" t="str">
        <f t="shared" ref="E1499:E1502" si="1693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1.5605767933191521E-3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2.1464595004069241E-3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2.1669571664964362E-3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1.4948998740004949E-3</v>
      </c>
      <c r="J1499" s="1" cm="1">
        <f t="array" ref="J1499">SUMPRODUCT(("T_TW-BEVELC-S1"=[1]OUT_TransportEnergyCons!$A$3:$A$1000)*1,("Var_Fin"=[1]OUT_TransportEnergyCons!$B$3:$B$1000)*1,ISNUMBER(SEARCH("ELC",[1]OUT_TransportEnergyCons!$C$3:$C$1000))*1,[1]OUT_TransportEnergyCons!H$3:H$1000)</f>
        <v>2.7444472522559024E-4</v>
      </c>
      <c r="K1499" s="1" cm="1">
        <f t="array" ref="K1499">SUMPRODUCT(("T_TW-BEVELC-S1"=[1]OUT_TransportEnergyCons!$A$3:$A$1000)*1,("Var_Fin"=[1]OUT_TransportEnergyCons!$B$3:$B$1000)*1,ISNUMBER(SEARCH("ELC",[1]OUT_TransportEnergyCons!$C$3:$C$1000))*1,[1]OUT_TransportEnergyCons!I$3:I$1000)</f>
        <v>3.6694486953599054E-4</v>
      </c>
      <c r="L1499" s="1" cm="1">
        <f t="array" ref="L1499">SUMPRODUCT(("T_TW-BEVELC-S1"=[1]OUT_TransportEnergyCons!$A$3:$A$1000)*1,("Var_Fin"=[1]OUT_TransportEnergyCons!$B$3:$B$1000)*1,ISNUMBER(SEARCH("ELC",[1]OUT_TransportEnergyCons!$C$3:$C$1000))*1,[1]OUT_TransportEnergyCons!J$3:J$1000)</f>
        <v>5.7577154721080411E-4</v>
      </c>
      <c r="M1499" s="1" cm="1">
        <f t="array" ref="M1499">SUMPRODUCT(("T_TW-BEVELC-S1"=[1]OUT_TransportEnergyCons!$A$3:$A$1000)*1,("Var_Fin"=[1]OUT_TransportEnergyCons!$B$3:$B$1000)*1,ISNUMBER(SEARCH("ELC",[1]OUT_TransportEnergyCons!$C$3:$C$1000))*1,[1]OUT_TransportEnergyCons!K$3:K$1000)</f>
        <v>1.095841007288798E-3</v>
      </c>
      <c r="N1499" s="1" cm="1">
        <f t="array" ref="N1499">SUMPRODUCT(("T_TW-BEVELC-S1"=[1]OUT_TransportEnergyCons!$A$3:$A$1000)*1,("Var_Fin"=[1]OUT_TransportEnergyCons!$B$3:$B$1000)*1,ISNUMBER(SEARCH("ELC",[1]OUT_TransportEnergyCons!$C$3:$C$1000))*1,[1]OUT_TransportEnergyCons!L$3:L$1000)</f>
        <v>1.8922767232818982E-3</v>
      </c>
      <c r="O1499" s="1" cm="1">
        <f t="array" ref="O1499">SUMPRODUCT(("T_TW-BEVELC-S1"=[1]OUT_TransportEnergyCons!$A$3:$A$1000)*1,("Var_Fin"=[1]OUT_TransportEnergyCons!$B$3:$B$1000)*1,ISNUMBER(SEARCH("ELC",[1]OUT_TransportEnergyCons!$C$3:$C$1000))*1,[1]OUT_TransportEnergyCons!M$3:M$1000)</f>
        <v>2.4662794942519545E-3</v>
      </c>
      <c r="P1499" s="1" cm="1">
        <f t="array" ref="P1499">SUMPRODUCT(("T_TW-BEVELC-S1"=[1]OUT_TransportEnergyCons!$A$3:$A$1000)*1,("Var_Fin"=[1]OUT_TransportEnergyCons!$B$3:$B$1000)*1,ISNUMBER(SEARCH("ELC",[1]OUT_TransportEnergyCons!$C$3:$C$1000))*1,[1]OUT_TransportEnergyCons!N$3:N$1000)</f>
        <v>2.3091961315598137E-3</v>
      </c>
      <c r="Q1499" s="1" cm="1">
        <f t="array" ref="Q1499">SUMPRODUCT(("T_TW-BEVELC-S1"=[1]OUT_TransportEnergyCons!$A$3:$A$1000)*1,("Var_Fin"=[1]OUT_TransportEnergyCons!$B$3:$B$1000)*1,ISNUMBER(SEARCH("ELC",[1]OUT_TransportEnergyCons!$C$3:$C$1000))*1,[1]OUT_TransportEnergyCons!O$3:O$1000)</f>
        <v>3.1717717810099072E-3</v>
      </c>
      <c r="S1499" s="3"/>
    </row>
    <row r="1500" spans="2:19" x14ac:dyDescent="0.5">
      <c r="B1500" t="str">
        <f t="shared" si="1692"/>
        <v>SPS1</v>
      </c>
      <c r="C1500" t="str">
        <f t="shared" si="1689"/>
        <v>CH</v>
      </c>
      <c r="D1500" t="s">
        <v>1490</v>
      </c>
      <c r="E1500" t="str">
        <f t="shared" si="1693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3.5417952685665285E-4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4.6724489325867592E-4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4.7766098004710627E-4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4.2498128930030702E-4</v>
      </c>
      <c r="J1500" s="1" cm="1">
        <f t="array" ref="J1500">SUMPRODUCT(("T_TW-BEVELC-S2"=[1]OUT_TransportEnergyCons!$A$3:$A$1000)*1,("Var_Fin"=[1]OUT_TransportEnergyCons!$B$3:$B$1000)*1,ISNUMBER(SEARCH("ELC",[1]OUT_TransportEnergyCons!$C$3:$C$1000))*1,[1]OUT_TransportEnergyCons!H$3:H$1000)</f>
        <v>1.6774073503491479E-4</v>
      </c>
      <c r="K1500" s="1" cm="1">
        <f t="array" ref="K1500">SUMPRODUCT(("T_TW-BEVELC-S2"=[1]OUT_TransportEnergyCons!$A$3:$A$1000)*1,("Var_Fin"=[1]OUT_TransportEnergyCons!$B$3:$B$1000)*1,ISNUMBER(SEARCH("ELC",[1]OUT_TransportEnergyCons!$C$3:$C$1000))*1,[1]OUT_TransportEnergyCons!I$3:I$1000)</f>
        <v>1.7708111134476503E-4</v>
      </c>
      <c r="L1500" s="1" cm="1">
        <f t="array" ref="L1500">SUMPRODUCT(("T_TW-BEVELC-S2"=[1]OUT_TransportEnergyCons!$A$3:$A$1000)*1,("Var_Fin"=[1]OUT_TransportEnergyCons!$B$3:$B$1000)*1,ISNUMBER(SEARCH("ELC",[1]OUT_TransportEnergyCons!$C$3:$C$1000))*1,[1]OUT_TransportEnergyCons!J$3:J$1000)</f>
        <v>2.438315804433303E-4</v>
      </c>
      <c r="M1500" s="1" cm="1">
        <f t="array" ref="M1500">SUMPRODUCT(("T_TW-BEVELC-S2"=[1]OUT_TransportEnergyCons!$A$3:$A$1000)*1,("Var_Fin"=[1]OUT_TransportEnergyCons!$B$3:$B$1000)*1,ISNUMBER(SEARCH("ELC",[1]OUT_TransportEnergyCons!$C$3:$C$1000))*1,[1]OUT_TransportEnergyCons!K$3:K$1000)</f>
        <v>3.3164262990659877E-4</v>
      </c>
      <c r="N1500" s="1" cm="1">
        <f t="array" ref="N1500">SUMPRODUCT(("T_TW-BEVELC-S2"=[1]OUT_TransportEnergyCons!$A$3:$A$1000)*1,("Var_Fin"=[1]OUT_TransportEnergyCons!$B$3:$B$1000)*1,ISNUMBER(SEARCH("ELC",[1]OUT_TransportEnergyCons!$C$3:$C$1000))*1,[1]OUT_TransportEnergyCons!L$3:L$1000)</f>
        <v>3.9549347324007578E-4</v>
      </c>
      <c r="O1500" s="1" cm="1">
        <f t="array" ref="O1500">SUMPRODUCT(("T_TW-BEVELC-S2"=[1]OUT_TransportEnergyCons!$A$3:$A$1000)*1,("Var_Fin"=[1]OUT_TransportEnergyCons!$B$3:$B$1000)*1,ISNUMBER(SEARCH("ELC",[1]OUT_TransportEnergyCons!$C$3:$C$1000))*1,[1]OUT_TransportEnergyCons!M$3:M$1000)</f>
        <v>5.1469085032946585E-4</v>
      </c>
      <c r="P1500" s="1" cm="1">
        <f t="array" ref="P1500">SUMPRODUCT(("T_TW-BEVELC-S2"=[1]OUT_TransportEnergyCons!$A$3:$A$1000)*1,("Var_Fin"=[1]OUT_TransportEnergyCons!$B$3:$B$1000)*1,ISNUMBER(SEARCH("ELC",[1]OUT_TransportEnergyCons!$C$3:$C$1000))*1,[1]OUT_TransportEnergyCons!N$3:N$1000)</f>
        <v>4.8639753307410332E-4</v>
      </c>
      <c r="Q1500" s="1" cm="1">
        <f t="array" ref="Q1500">SUMPRODUCT(("T_TW-BEVELC-S2"=[1]OUT_TransportEnergyCons!$A$3:$A$1000)*1,("Var_Fin"=[1]OUT_TransportEnergyCons!$B$3:$B$1000)*1,ISNUMBER(SEARCH("ELC",[1]OUT_TransportEnergyCons!$C$3:$C$1000))*1,[1]OUT_TransportEnergyCons!O$3:O$1000)</f>
        <v>6.8217914123433769E-4</v>
      </c>
      <c r="S1500" s="3"/>
    </row>
    <row r="1501" spans="2:19" x14ac:dyDescent="0.5">
      <c r="B1501" t="str">
        <f t="shared" si="1692"/>
        <v>SPS1</v>
      </c>
      <c r="C1501" t="str">
        <f t="shared" si="1689"/>
        <v>CH</v>
      </c>
      <c r="D1501" t="s">
        <v>1492</v>
      </c>
      <c r="E1501" t="str">
        <f t="shared" si="1693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8.3995203034949352E-5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1.5984670198813071E-4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1.9165373428992093E-4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2.1575641632558975E-4</v>
      </c>
      <c r="J1501" s="1" cm="1">
        <f t="array" ref="J1501">SUMPRODUCT(("T_TW-BEVELC-S3"=[1]OUT_TransportEnergyCons!$A$3:$A$1000)*1,("Var_Fin"=[1]OUT_TransportEnergyCons!$B$3:$B$1000)*1,ISNUMBER(SEARCH("ELC",[1]OUT_TransportEnergyCons!$C$3:$C$1000))*1,[1]OUT_TransportEnergyCons!H$3:H$1000)</f>
        <v>2.8702532279832285E-4</v>
      </c>
      <c r="K1501" s="1" cm="1">
        <f t="array" ref="K1501">SUMPRODUCT(("T_TW-BEVELC-S3"=[1]OUT_TransportEnergyCons!$A$3:$A$1000)*1,("Var_Fin"=[1]OUT_TransportEnergyCons!$B$3:$B$1000)*1,ISNUMBER(SEARCH("ELC",[1]OUT_TransportEnergyCons!$C$3:$C$1000))*1,[1]OUT_TransportEnergyCons!I$3:I$1000)</f>
        <v>2.887548319221237E-4</v>
      </c>
      <c r="L1501" s="1" cm="1">
        <f t="array" ref="L1501">SUMPRODUCT(("T_TW-BEVELC-S3"=[1]OUT_TransportEnergyCons!$A$3:$A$1000)*1,("Var_Fin"=[1]OUT_TransportEnergyCons!$B$3:$B$1000)*1,ISNUMBER(SEARCH("ELC",[1]OUT_TransportEnergyCons!$C$3:$C$1000))*1,[1]OUT_TransportEnergyCons!J$3:J$1000)</f>
        <v>2.6386473468595752E-4</v>
      </c>
      <c r="M1501" s="1" cm="1">
        <f t="array" ref="M1501">SUMPRODUCT(("T_TW-BEVELC-S3"=[1]OUT_TransportEnergyCons!$A$3:$A$1000)*1,("Var_Fin"=[1]OUT_TransportEnergyCons!$B$3:$B$1000)*1,ISNUMBER(SEARCH("ELC",[1]OUT_TransportEnergyCons!$C$3:$C$1000))*1,[1]OUT_TransportEnergyCons!K$3:K$1000)</f>
        <v>3.4940150253091635E-4</v>
      </c>
      <c r="N1501" s="1" cm="1">
        <f t="array" ref="N1501">SUMPRODUCT(("T_TW-BEVELC-S3"=[1]OUT_TransportEnergyCons!$A$3:$A$1000)*1,("Var_Fin"=[1]OUT_TransportEnergyCons!$B$3:$B$1000)*1,ISNUMBER(SEARCH("ELC",[1]OUT_TransportEnergyCons!$C$3:$C$1000))*1,[1]OUT_TransportEnergyCons!L$3:L$1000)</f>
        <v>4.1289365677365315E-4</v>
      </c>
      <c r="O1501" s="1" cm="1">
        <f t="array" ref="O1501">SUMPRODUCT(("T_TW-BEVELC-S3"=[1]OUT_TransportEnergyCons!$A$3:$A$1000)*1,("Var_Fin"=[1]OUT_TransportEnergyCons!$B$3:$B$1000)*1,ISNUMBER(SEARCH("ELC",[1]OUT_TransportEnergyCons!$C$3:$C$1000))*1,[1]OUT_TransportEnergyCons!M$3:M$1000)</f>
        <v>4.8258794440749386E-4</v>
      </c>
      <c r="P1501" s="1" cm="1">
        <f t="array" ref="P1501">SUMPRODUCT(("T_TW-BEVELC-S3"=[1]OUT_TransportEnergyCons!$A$3:$A$1000)*1,("Var_Fin"=[1]OUT_TransportEnergyCons!$B$3:$B$1000)*1,ISNUMBER(SEARCH("ELC",[1]OUT_TransportEnergyCons!$C$3:$C$1000))*1,[1]OUT_TransportEnergyCons!N$3:N$1000)</f>
        <v>5.5479153459083873E-4</v>
      </c>
      <c r="Q1501" s="1" cm="1">
        <f t="array" ref="Q1501">SUMPRODUCT(("T_TW-BEVELC-S3"=[1]OUT_TransportEnergyCons!$A$3:$A$1000)*1,("Var_Fin"=[1]OUT_TransportEnergyCons!$B$3:$B$1000)*1,ISNUMBER(SEARCH("ELC",[1]OUT_TransportEnergyCons!$C$3:$C$1000))*1,[1]OUT_TransportEnergyCons!O$3:O$1000)</f>
        <v>6.6597353505977398E-4</v>
      </c>
      <c r="S1501" s="3"/>
    </row>
    <row r="1502" spans="2:19" x14ac:dyDescent="0.5">
      <c r="B1502" t="str">
        <f t="shared" si="1692"/>
        <v>SPS1</v>
      </c>
      <c r="C1502" t="str">
        <f t="shared" si="1689"/>
        <v>CH</v>
      </c>
      <c r="D1502" t="s">
        <v>1491</v>
      </c>
      <c r="E1502" t="str">
        <f t="shared" si="1693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4.7191914721783889E-5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9.3811377512148671E-5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1.2255994122632705E-4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1.468238511087829E-4</v>
      </c>
      <c r="J1502" s="1" cm="1">
        <f t="array" ref="J1502">SUMPRODUCT(("T_TW-BEVELC-S4"=[1]OUT_TransportEnergyCons!$A$3:$A$1000)*1,("Var_Fin"=[1]OUT_TransportEnergyCons!$B$3:$B$1000)*1,ISNUMBER(SEARCH("ELC",[1]OUT_TransportEnergyCons!$C$3:$C$1000))*1,[1]OUT_TransportEnergyCons!H$3:H$1000)</f>
        <v>1.9210053097827611E-4</v>
      </c>
      <c r="K1502" s="1" cm="1">
        <f t="array" ref="K1502">SUMPRODUCT(("T_TW-BEVELC-S4"=[1]OUT_TransportEnergyCons!$A$3:$A$1000)*1,("Var_Fin"=[1]OUT_TransportEnergyCons!$B$3:$B$1000)*1,ISNUMBER(SEARCH("ELC",[1]OUT_TransportEnergyCons!$C$3:$C$1000))*1,[1]OUT_TransportEnergyCons!I$3:I$1000)</f>
        <v>2.4614918419747989E-4</v>
      </c>
      <c r="L1502" s="1" cm="1">
        <f t="array" ref="L1502">SUMPRODUCT(("T_TW-BEVELC-S4"=[1]OUT_TransportEnergyCons!$A$3:$A$1000)*1,("Var_Fin"=[1]OUT_TransportEnergyCons!$B$3:$B$1000)*1,ISNUMBER(SEARCH("ELC",[1]OUT_TransportEnergyCons!$C$3:$C$1000))*1,[1]OUT_TransportEnergyCons!J$3:J$1000)</f>
        <v>2.6318419847578753E-4</v>
      </c>
      <c r="M1502" s="1" cm="1">
        <f t="array" ref="M1502">SUMPRODUCT(("T_TW-BEVELC-S4"=[1]OUT_TransportEnergyCons!$A$3:$A$1000)*1,("Var_Fin"=[1]OUT_TransportEnergyCons!$B$3:$B$1000)*1,ISNUMBER(SEARCH("ELC",[1]OUT_TransportEnergyCons!$C$3:$C$1000))*1,[1]OUT_TransportEnergyCons!K$3:K$1000)</f>
        <v>2.8832076256756818E-4</v>
      </c>
      <c r="N1502" s="1" cm="1">
        <f t="array" ref="N1502">SUMPRODUCT(("T_TW-BEVELC-S4"=[1]OUT_TransportEnergyCons!$A$3:$A$1000)*1,("Var_Fin"=[1]OUT_TransportEnergyCons!$B$3:$B$1000)*1,ISNUMBER(SEARCH("ELC",[1]OUT_TransportEnergyCons!$C$3:$C$1000))*1,[1]OUT_TransportEnergyCons!L$3:L$1000)</f>
        <v>3.4320143604429665E-4</v>
      </c>
      <c r="O1502" s="1" cm="1">
        <f t="array" ref="O1502">SUMPRODUCT(("T_TW-BEVELC-S4"=[1]OUT_TransportEnergyCons!$A$3:$A$1000)*1,("Var_Fin"=[1]OUT_TransportEnergyCons!$B$3:$B$1000)*1,ISNUMBER(SEARCH("ELC",[1]OUT_TransportEnergyCons!$C$3:$C$1000))*1,[1]OUT_TransportEnergyCons!M$3:M$1000)</f>
        <v>4.0139948670054904E-4</v>
      </c>
      <c r="P1502" s="1" cm="1">
        <f t="array" ref="P1502">SUMPRODUCT(("T_TW-BEVELC-S4"=[1]OUT_TransportEnergyCons!$A$3:$A$1000)*1,("Var_Fin"=[1]OUT_TransportEnergyCons!$B$3:$B$1000)*1,ISNUMBER(SEARCH("ELC",[1]OUT_TransportEnergyCons!$C$3:$C$1000))*1,[1]OUT_TransportEnergyCons!N$3:N$1000)</f>
        <v>4.4338161806931937E-4</v>
      </c>
      <c r="Q1502" s="1" cm="1">
        <f t="array" ref="Q1502">SUMPRODUCT(("T_TW-BEVELC-S4"=[1]OUT_TransportEnergyCons!$A$3:$A$1000)*1,("Var_Fin"=[1]OUT_TransportEnergyCons!$B$3:$B$1000)*1,ISNUMBER(SEARCH("ELC",[1]OUT_TransportEnergyCons!$C$3:$C$1000))*1,[1]OUT_TransportEnergyCons!O$3:O$1000)</f>
        <v>5.4087651453598015E-4</v>
      </c>
      <c r="S1502" s="3"/>
    </row>
    <row r="1503" spans="2:19" x14ac:dyDescent="0.5">
      <c r="B1503" s="5" t="str">
        <f>B1502</f>
        <v>SPS1</v>
      </c>
      <c r="C1503" t="str">
        <f t="shared" ref="C1503:C1507" si="1694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95">SUM(G1504:G1507)</f>
        <v>0</v>
      </c>
      <c r="H1503" s="1">
        <f t="shared" si="1695"/>
        <v>0</v>
      </c>
      <c r="I1503" s="1">
        <f t="shared" si="1695"/>
        <v>1.0007696942598089E-4</v>
      </c>
      <c r="J1503" s="1">
        <f t="shared" si="1695"/>
        <v>2.7315417967083638E-4</v>
      </c>
      <c r="K1503" s="1">
        <f t="shared" si="1695"/>
        <v>4.3891843257676776E-4</v>
      </c>
      <c r="L1503" s="1">
        <f t="shared" ref="L1503:O1503" si="1696">SUM(L1504:L1507)</f>
        <v>6.5106847560178331E-4</v>
      </c>
      <c r="M1503" s="1">
        <f t="shared" si="1696"/>
        <v>9.4731816342072232E-4</v>
      </c>
      <c r="N1503" s="1">
        <f t="shared" si="1696"/>
        <v>1.1898614295941636E-3</v>
      </c>
      <c r="O1503" s="1">
        <f t="shared" si="1696"/>
        <v>1.4875185254323989E-3</v>
      </c>
      <c r="P1503" s="1">
        <f>SUM(P1504:P1507)</f>
        <v>1.552201567957948E-3</v>
      </c>
      <c r="Q1503" s="1">
        <f>SUM(Q1504:Q1507)</f>
        <v>2.1123372012544785E-3</v>
      </c>
      <c r="S1503" s="3"/>
    </row>
    <row r="1504" spans="2:19" x14ac:dyDescent="0.5">
      <c r="B1504" t="str">
        <f t="shared" ref="B1504:B1507" si="1697">B1503</f>
        <v>SPS1</v>
      </c>
      <c r="C1504" t="str">
        <f t="shared" si="1694"/>
        <v>CH</v>
      </c>
      <c r="D1504" t="s">
        <v>1494</v>
      </c>
      <c r="E1504" t="str">
        <f t="shared" ref="E1504:E1507" si="1698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3.1451408632986661E-5</v>
      </c>
      <c r="J1504" s="1" cm="1">
        <f t="array" ref="J1504">SUMPRODUCT(("T_TW-fclh2o-S1"=[1]OUT_TransportEnergyCons!$A$3:$A$1000)*1,("Var_Fin"=[1]OUT_TransportEnergyCons!$B$3:$B$1000)*1,ISNUMBER(SEARCH("h2",[1]OUT_TransportEnergyCons!$C$3:$C$1000))*1,[1]OUT_TransportEnergyCons!H$3:H$1000)</f>
        <v>8.8001144263291159E-5</v>
      </c>
      <c r="K1504" s="1" cm="1">
        <f t="array" ref="K1504">SUMPRODUCT(("T_TW-fclh2o-S1"=[1]OUT_TransportEnergyCons!$A$3:$A$1000)*1,("Var_Fin"=[1]OUT_TransportEnergyCons!$B$3:$B$1000)*1,ISNUMBER(SEARCH("h2",[1]OUT_TransportEnergyCons!$C$3:$C$1000))*1,[1]OUT_TransportEnergyCons!I$3:I$1000)</f>
        <v>1.3425264755115811E-4</v>
      </c>
      <c r="L1504" s="1" cm="1">
        <f t="array" ref="L1504">SUMPRODUCT(("T_TW-fclh2o-S1"=[1]OUT_TransportEnergyCons!$A$3:$A$1000)*1,("Var_Fin"=[1]OUT_TransportEnergyCons!$B$3:$B$1000)*1,ISNUMBER(SEARCH("h2",[1]OUT_TransportEnergyCons!$C$3:$C$1000))*1,[1]OUT_TransportEnergyCons!J$3:J$1000)</f>
        <v>2.0707107220430205E-4</v>
      </c>
      <c r="M1504" s="1" cm="1">
        <f t="array" ref="M1504">SUMPRODUCT(("T_TW-fclh2o-S1"=[1]OUT_TransportEnergyCons!$A$3:$A$1000)*1,("Var_Fin"=[1]OUT_TransportEnergyCons!$B$3:$B$1000)*1,ISNUMBER(SEARCH("h2",[1]OUT_TransportEnergyCons!$C$3:$C$1000))*1,[1]OUT_TransportEnergyCons!K$3:K$1000)</f>
        <v>3.1339146683617583E-4</v>
      </c>
      <c r="N1504" s="1" cm="1">
        <f t="array" ref="N1504">SUMPRODUCT(("T_TW-fclh2o-S1"=[1]OUT_TransportEnergyCons!$A$3:$A$1000)*1,("Var_Fin"=[1]OUT_TransportEnergyCons!$B$3:$B$1000)*1,ISNUMBER(SEARCH("h2",[1]OUT_TransportEnergyCons!$C$3:$C$1000))*1,[1]OUT_TransportEnergyCons!L$3:L$1000)</f>
        <v>4.3277631004899511E-4</v>
      </c>
      <c r="O1504" s="1" cm="1">
        <f t="array" ref="O1504">SUMPRODUCT(("T_TW-fclh2o-S1"=[1]OUT_TransportEnergyCons!$A$3:$A$1000)*1,("Var_Fin"=[1]OUT_TransportEnergyCons!$B$3:$B$1000)*1,ISNUMBER(SEARCH("h2",[1]OUT_TransportEnergyCons!$C$3:$C$1000))*1,[1]OUT_TransportEnergyCons!M$3:M$1000)</f>
        <v>5.3336324297245088E-4</v>
      </c>
      <c r="P1504" s="1" cm="1">
        <f t="array" ref="P1504">SUMPRODUCT(("T_TW-fclh2o-S1"=[1]OUT_TransportEnergyCons!$A$3:$A$1000)*1,("Var_Fin"=[1]OUT_TransportEnergyCons!$B$3:$B$1000)*1,ISNUMBER(SEARCH("h2",[1]OUT_TransportEnergyCons!$C$3:$C$1000))*1,[1]OUT_TransportEnergyCons!N$3:N$1000)</f>
        <v>5.1278738874228457E-4</v>
      </c>
      <c r="Q1504" s="1" cm="1">
        <f t="array" ref="Q1504">SUMPRODUCT(("T_TW-fclh2o-S1"=[1]OUT_TransportEnergyCons!$A$3:$A$1000)*1,("Var_Fin"=[1]OUT_TransportEnergyCons!$B$3:$B$1000)*1,ISNUMBER(SEARCH("h2",[1]OUT_TransportEnergyCons!$C$3:$C$1000))*1,[1]OUT_TransportEnergyCons!O$3:O$1000)</f>
        <v>7.3224020703426841E-4</v>
      </c>
      <c r="S1504" s="3"/>
    </row>
    <row r="1505" spans="2:19" x14ac:dyDescent="0.5">
      <c r="B1505" t="str">
        <f t="shared" si="1697"/>
        <v>SPS1</v>
      </c>
      <c r="C1505" t="str">
        <f t="shared" si="1694"/>
        <v>CH</v>
      </c>
      <c r="D1505" t="s">
        <v>1495</v>
      </c>
      <c r="E1505" t="str">
        <f t="shared" si="1698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2.7421042207102441E-5</v>
      </c>
      <c r="J1505" s="1" cm="1">
        <f t="array" ref="J1505">SUMPRODUCT(("T_TW-fclh2o-S2"=[1]OUT_TransportEnergyCons!$A$3:$A$1000)*1,("Var_Fin"=[1]OUT_TransportEnergyCons!$B$3:$B$1000)*1,ISNUMBER(SEARCH("h2",[1]OUT_TransportEnergyCons!$C$3:$C$1000))*1,[1]OUT_TransportEnergyCons!H$3:H$1000)</f>
        <v>7.1505062314296112E-5</v>
      </c>
      <c r="K1505" s="1" cm="1">
        <f t="array" ref="K1505">SUMPRODUCT(("T_TW-fclh2o-S2"=[1]OUT_TransportEnergyCons!$A$3:$A$1000)*1,("Var_Fin"=[1]OUT_TransportEnergyCons!$B$3:$B$1000)*1,ISNUMBER(SEARCH("h2",[1]OUT_TransportEnergyCons!$C$3:$C$1000))*1,[1]OUT_TransportEnergyCons!I$3:I$1000)</f>
        <v>1.1514877738651528E-4</v>
      </c>
      <c r="L1505" s="1" cm="1">
        <f t="array" ref="L1505">SUMPRODUCT(("T_TW-fclh2o-S2"=[1]OUT_TransportEnergyCons!$A$3:$A$1000)*1,("Var_Fin"=[1]OUT_TransportEnergyCons!$B$3:$B$1000)*1,ISNUMBER(SEARCH("h2",[1]OUT_TransportEnergyCons!$C$3:$C$1000))*1,[1]OUT_TransportEnergyCons!J$3:J$1000)</f>
        <v>1.6173210372713586E-4</v>
      </c>
      <c r="M1505" s="1" cm="1">
        <f t="array" ref="M1505">SUMPRODUCT(("T_TW-fclh2o-S2"=[1]OUT_TransportEnergyCons!$A$3:$A$1000)*1,("Var_Fin"=[1]OUT_TransportEnergyCons!$B$3:$B$1000)*1,ISNUMBER(SEARCH("h2",[1]OUT_TransportEnergyCons!$C$3:$C$1000))*1,[1]OUT_TransportEnergyCons!K$3:K$1000)</f>
        <v>2.2404566594788055E-4</v>
      </c>
      <c r="N1505" s="1" cm="1">
        <f t="array" ref="N1505">SUMPRODUCT(("T_TW-fclh2o-S2"=[1]OUT_TransportEnergyCons!$A$3:$A$1000)*1,("Var_Fin"=[1]OUT_TransportEnergyCons!$B$3:$B$1000)*1,ISNUMBER(SEARCH("h2",[1]OUT_TransportEnergyCons!$C$3:$C$1000))*1,[1]OUT_TransportEnergyCons!L$3:L$1000)</f>
        <v>2.5861426309298186E-4</v>
      </c>
      <c r="O1505" s="1" cm="1">
        <f t="array" ref="O1505">SUMPRODUCT(("T_TW-fclh2o-S2"=[1]OUT_TransportEnergyCons!$A$3:$A$1000)*1,("Var_Fin"=[1]OUT_TransportEnergyCons!$B$3:$B$1000)*1,ISNUMBER(SEARCH("h2",[1]OUT_TransportEnergyCons!$C$3:$C$1000))*1,[1]OUT_TransportEnergyCons!M$3:M$1000)</f>
        <v>3.4364164251465568E-4</v>
      </c>
      <c r="P1505" s="1" cm="1">
        <f t="array" ref="P1505">SUMPRODUCT(("T_TW-fclh2o-S2"=[1]OUT_TransportEnergyCons!$A$3:$A$1000)*1,("Var_Fin"=[1]OUT_TransportEnergyCons!$B$3:$B$1000)*1,ISNUMBER(SEARCH("h2",[1]OUT_TransportEnergyCons!$C$3:$C$1000))*1,[1]OUT_TransportEnergyCons!N$3:N$1000)</f>
        <v>3.3369913031836078E-4</v>
      </c>
      <c r="Q1505" s="1" cm="1">
        <f t="array" ref="Q1505">SUMPRODUCT(("T_TW-fclh2o-S2"=[1]OUT_TransportEnergyCons!$A$3:$A$1000)*1,("Var_Fin"=[1]OUT_TransportEnergyCons!$B$3:$B$1000)*1,ISNUMBER(SEARCH("h2",[1]OUT_TransportEnergyCons!$C$3:$C$1000))*1,[1]OUT_TransportEnergyCons!O$3:O$1000)</f>
        <v>4.8787004519891704E-4</v>
      </c>
      <c r="S1505" s="3"/>
    </row>
    <row r="1506" spans="2:19" x14ac:dyDescent="0.5">
      <c r="B1506" t="str">
        <f t="shared" si="1697"/>
        <v>SPS1</v>
      </c>
      <c r="C1506" t="str">
        <f t="shared" si="1694"/>
        <v>CH</v>
      </c>
      <c r="D1506" t="s">
        <v>1496</v>
      </c>
      <c r="E1506" t="str">
        <f t="shared" si="1698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2.4500831737985115E-5</v>
      </c>
      <c r="J1506" s="1" cm="1">
        <f t="array" ref="J1506">SUMPRODUCT(("T_TW-fclh2o-S3"=[1]OUT_TransportEnergyCons!$A$3:$A$1000)*1,("Var_Fin"=[1]OUT_TransportEnergyCons!$B$3:$B$1000)*1,ISNUMBER(SEARCH("h2",[1]OUT_TransportEnergyCons!$C$3:$C$1000))*1,[1]OUT_TransportEnergyCons!H$3:H$1000)</f>
        <v>7.1174374614872319E-5</v>
      </c>
      <c r="K1506" s="1" cm="1">
        <f t="array" ref="K1506">SUMPRODUCT(("T_TW-fclh2o-S3"=[1]OUT_TransportEnergyCons!$A$3:$A$1000)*1,("Var_Fin"=[1]OUT_TransportEnergyCons!$B$3:$B$1000)*1,ISNUMBER(SEARCH("h2",[1]OUT_TransportEnergyCons!$C$3:$C$1000))*1,[1]OUT_TransportEnergyCons!I$3:I$1000)</f>
        <v>1.1621019663628777E-4</v>
      </c>
      <c r="L1506" s="1" cm="1">
        <f t="array" ref="L1506">SUMPRODUCT(("T_TW-fclh2o-S3"=[1]OUT_TransportEnergyCons!$A$3:$A$1000)*1,("Var_Fin"=[1]OUT_TransportEnergyCons!$B$3:$B$1000)*1,ISNUMBER(SEARCH("h2",[1]OUT_TransportEnergyCons!$C$3:$C$1000))*1,[1]OUT_TransportEnergyCons!J$3:J$1000)</f>
        <v>1.6667542915550676E-4</v>
      </c>
      <c r="M1506" s="1" cm="1">
        <f t="array" ref="M1506">SUMPRODUCT(("T_TW-fclh2o-S3"=[1]OUT_TransportEnergyCons!$A$3:$A$1000)*1,("Var_Fin"=[1]OUT_TransportEnergyCons!$B$3:$B$1000)*1,ISNUMBER(SEARCH("h2",[1]OUT_TransportEnergyCons!$C$3:$C$1000))*1,[1]OUT_TransportEnergyCons!K$3:K$1000)</f>
        <v>2.3185861072657279E-4</v>
      </c>
      <c r="N1506" s="1" cm="1">
        <f t="array" ref="N1506">SUMPRODUCT(("T_TW-fclh2o-S3"=[1]OUT_TransportEnergyCons!$A$3:$A$1000)*1,("Var_Fin"=[1]OUT_TransportEnergyCons!$B$3:$B$1000)*1,ISNUMBER(SEARCH("h2",[1]OUT_TransportEnergyCons!$C$3:$C$1000))*1,[1]OUT_TransportEnergyCons!L$3:L$1000)</f>
        <v>2.7952425981698397E-4</v>
      </c>
      <c r="O1506" s="1" cm="1">
        <f t="array" ref="O1506">SUMPRODUCT(("T_TW-fclh2o-S3"=[1]OUT_TransportEnergyCons!$A$3:$A$1000)*1,("Var_Fin"=[1]OUT_TransportEnergyCons!$B$3:$B$1000)*1,ISNUMBER(SEARCH("h2",[1]OUT_TransportEnergyCons!$C$3:$C$1000))*1,[1]OUT_TransportEnergyCons!M$3:M$1000)</f>
        <v>3.3834443656733401E-4</v>
      </c>
      <c r="P1506" s="1" cm="1">
        <f t="array" ref="P1506">SUMPRODUCT(("T_TW-fclh2o-S3"=[1]OUT_TransportEnergyCons!$A$3:$A$1000)*1,("Var_Fin"=[1]OUT_TransportEnergyCons!$B$3:$B$1000)*1,ISNUMBER(SEARCH("h2",[1]OUT_TransportEnergyCons!$C$3:$C$1000))*1,[1]OUT_TransportEnergyCons!N$3:N$1000)</f>
        <v>3.9433938548798545E-4</v>
      </c>
      <c r="Q1506" s="1" cm="1">
        <f t="array" ref="Q1506">SUMPRODUCT(("T_TW-fclh2o-S3"=[1]OUT_TransportEnergyCons!$A$3:$A$1000)*1,("Var_Fin"=[1]OUT_TransportEnergyCons!$B$3:$B$1000)*1,ISNUMBER(SEARCH("h2",[1]OUT_TransportEnergyCons!$C$3:$C$1000))*1,[1]OUT_TransportEnergyCons!O$3:O$1000)</f>
        <v>4.8948510204339468E-4</v>
      </c>
      <c r="S1506" s="3"/>
    </row>
    <row r="1507" spans="2:19" x14ac:dyDescent="0.5">
      <c r="B1507" t="str">
        <f t="shared" si="1697"/>
        <v>SPS1</v>
      </c>
      <c r="C1507" t="str">
        <f t="shared" si="1694"/>
        <v>CH</v>
      </c>
      <c r="D1507" t="s">
        <v>1497</v>
      </c>
      <c r="E1507" t="str">
        <f t="shared" si="1698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1.6703686847906681E-5</v>
      </c>
      <c r="J1507" s="1" cm="1">
        <f t="array" ref="J1507">SUMPRODUCT(("T_TW-fclh2o-S4"=[1]OUT_TransportEnergyCons!$A$3:$A$1000)*1,("Var_Fin"=[1]OUT_TransportEnergyCons!$B$3:$B$1000)*1,ISNUMBER(SEARCH("h2",[1]OUT_TransportEnergyCons!$C$3:$C$1000))*1,[1]OUT_TransportEnergyCons!H$3:H$1000)</f>
        <v>4.2473598478376779E-5</v>
      </c>
      <c r="K1507" s="1" cm="1">
        <f t="array" ref="K1507">SUMPRODUCT(("T_TW-fclh2o-S4"=[1]OUT_TransportEnergyCons!$A$3:$A$1000)*1,("Var_Fin"=[1]OUT_TransportEnergyCons!$B$3:$B$1000)*1,ISNUMBER(SEARCH("h2",[1]OUT_TransportEnergyCons!$C$3:$C$1000))*1,[1]OUT_TransportEnergyCons!I$3:I$1000)</f>
        <v>7.3306811002806638E-5</v>
      </c>
      <c r="L1507" s="1" cm="1">
        <f t="array" ref="L1507">SUMPRODUCT(("T_TW-fclh2o-S4"=[1]OUT_TransportEnergyCons!$A$3:$A$1000)*1,("Var_Fin"=[1]OUT_TransportEnergyCons!$B$3:$B$1000)*1,ISNUMBER(SEARCH("h2",[1]OUT_TransportEnergyCons!$C$3:$C$1000))*1,[1]OUT_TransportEnergyCons!J$3:J$1000)</f>
        <v>1.1558987051483859E-4</v>
      </c>
      <c r="M1507" s="1" cm="1">
        <f t="array" ref="M1507">SUMPRODUCT(("T_TW-fclh2o-S4"=[1]OUT_TransportEnergyCons!$A$3:$A$1000)*1,("Var_Fin"=[1]OUT_TransportEnergyCons!$B$3:$B$1000)*1,ISNUMBER(SEARCH("h2",[1]OUT_TransportEnergyCons!$C$3:$C$1000))*1,[1]OUT_TransportEnergyCons!K$3:K$1000)</f>
        <v>1.7802241991009312E-4</v>
      </c>
      <c r="N1507" s="1" cm="1">
        <f t="array" ref="N1507">SUMPRODUCT(("T_TW-fclh2o-S4"=[1]OUT_TransportEnergyCons!$A$3:$A$1000)*1,("Var_Fin"=[1]OUT_TransportEnergyCons!$B$3:$B$1000)*1,ISNUMBER(SEARCH("h2",[1]OUT_TransportEnergyCons!$C$3:$C$1000))*1,[1]OUT_TransportEnergyCons!L$3:L$1000)</f>
        <v>2.1894659663520272E-4</v>
      </c>
      <c r="O1507" s="1" cm="1">
        <f t="array" ref="O1507">SUMPRODUCT(("T_TW-fclh2o-S4"=[1]OUT_TransportEnergyCons!$A$3:$A$1000)*1,("Var_Fin"=[1]OUT_TransportEnergyCons!$B$3:$B$1000)*1,ISNUMBER(SEARCH("h2",[1]OUT_TransportEnergyCons!$C$3:$C$1000))*1,[1]OUT_TransportEnergyCons!M$3:M$1000)</f>
        <v>2.7216920337795836E-4</v>
      </c>
      <c r="P1507" s="1" cm="1">
        <f t="array" ref="P1507">SUMPRODUCT(("T_TW-fclh2o-S4"=[1]OUT_TransportEnergyCons!$A$3:$A$1000)*1,("Var_Fin"=[1]OUT_TransportEnergyCons!$B$3:$B$1000)*1,ISNUMBER(SEARCH("h2",[1]OUT_TransportEnergyCons!$C$3:$C$1000))*1,[1]OUT_TransportEnergyCons!N$3:N$1000)</f>
        <v>3.1137566340931714E-4</v>
      </c>
      <c r="Q1507" s="1" cm="1">
        <f t="array" ref="Q1507">SUMPRODUCT(("T_TW-fclh2o-S4"=[1]OUT_TransportEnergyCons!$A$3:$A$1000)*1,("Var_Fin"=[1]OUT_TransportEnergyCons!$B$3:$B$1000)*1,ISNUMBER(SEARCH("h2",[1]OUT_TransportEnergyCons!$C$3:$C$1000))*1,[1]OUT_TransportEnergyCons!O$3:O$1000)</f>
        <v>4.0274184697789811E-4</v>
      </c>
      <c r="S1507" s="3"/>
    </row>
    <row r="1508" spans="2:19" x14ac:dyDescent="0.5">
      <c r="B1508" s="5" t="str">
        <f>B1507</f>
        <v>SPS1</v>
      </c>
      <c r="C1508" t="str">
        <f t="shared" ref="C1508:C1518" si="1699">C1507</f>
        <v>CH</v>
      </c>
      <c r="D1508" t="s">
        <v>1498</v>
      </c>
      <c r="E1508" t="str">
        <f>E1507</f>
        <v>PJ/yr.</v>
      </c>
      <c r="F1508" s="1">
        <f>SUM(F1513:F1517)</f>
        <v>2.410197571570718</v>
      </c>
      <c r="G1508" s="1">
        <f t="shared" ref="G1508:K1508" si="1700">SUM(G1513:G1517)</f>
        <v>1.6943999601549518</v>
      </c>
      <c r="H1508" s="1">
        <f t="shared" si="1700"/>
        <v>1.6726670722763235</v>
      </c>
      <c r="I1508" s="1">
        <f t="shared" si="1700"/>
        <v>1.4992567117118527</v>
      </c>
      <c r="J1508" s="1">
        <f t="shared" si="1700"/>
        <v>1.1723341696915088</v>
      </c>
      <c r="K1508" s="1">
        <f t="shared" si="1700"/>
        <v>1.0702798504893232</v>
      </c>
      <c r="L1508" s="1">
        <f t="shared" ref="L1508:O1508" si="1701">SUM(L1513:L1517)</f>
        <v>0.93851911664503362</v>
      </c>
      <c r="M1508" s="1">
        <f t="shared" si="1701"/>
        <v>0.87948221251928749</v>
      </c>
      <c r="N1508" s="1">
        <f t="shared" si="1701"/>
        <v>0.84836075453165016</v>
      </c>
      <c r="O1508" s="1">
        <f t="shared" si="1701"/>
        <v>0.82195638800820447</v>
      </c>
      <c r="P1508" s="1">
        <f>SUM(P1513:P1517)</f>
        <v>0.80708981544761782</v>
      </c>
      <c r="Q1508" s="1">
        <f>SUM(Q1513:Q1517)</f>
        <v>0.78601057401893637</v>
      </c>
      <c r="S1508" s="3"/>
    </row>
    <row r="1509" spans="2:19" x14ac:dyDescent="0.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2.2782604631023813</v>
      </c>
      <c r="G1509" s="1">
        <f t="shared" ref="G1509:K1509" si="1702">IF(G1508-G1510&lt;0,0,G1508-G1510)</f>
        <v>1.6016474955819442</v>
      </c>
      <c r="H1509" s="1">
        <f t="shared" si="1702"/>
        <v>1.5811029013710423</v>
      </c>
      <c r="I1509" s="1">
        <f t="shared" si="1702"/>
        <v>1.4007026760421291</v>
      </c>
      <c r="J1509" s="1">
        <f t="shared" si="1702"/>
        <v>1.1012585290310224</v>
      </c>
      <c r="K1509" s="1">
        <f t="shared" si="1702"/>
        <v>1.011679856052496</v>
      </c>
      <c r="L1509" s="1">
        <f t="shared" ref="L1509:O1509" si="1703">IF(L1508-L1510&lt;0,0,L1508-L1510)</f>
        <v>0.88713237283075153</v>
      </c>
      <c r="M1509" s="1">
        <f t="shared" si="1703"/>
        <v>0.83131063254559168</v>
      </c>
      <c r="N1509" s="1">
        <f t="shared" si="1703"/>
        <v>0.80190706686445601</v>
      </c>
      <c r="O1509" s="1">
        <f t="shared" si="1703"/>
        <v>0.77693032868957301</v>
      </c>
      <c r="P1509" s="1">
        <f>IF(P1508-P1510&lt;0,0,P1508-P1510)</f>
        <v>0.76288430489843806</v>
      </c>
      <c r="Q1509" s="1">
        <f>IF(Q1508-Q1510&lt;0,0,Q1508-Q1510)</f>
        <v>0.74292122214600531</v>
      </c>
      <c r="S1509" s="3"/>
    </row>
    <row r="1510" spans="2:19" x14ac:dyDescent="0.5">
      <c r="B1510" s="5" t="str">
        <f t="shared" ref="B1510:B1512" si="1704">B1509</f>
        <v>SPS1</v>
      </c>
      <c r="C1510" s="5" t="str">
        <f t="shared" ref="C1510:C1512" si="1705">C1509</f>
        <v>CH</v>
      </c>
      <c r="D1510" t="s">
        <v>1500</v>
      </c>
      <c r="E1510" t="str">
        <f>E1509</f>
        <v>PJ/yr.</v>
      </c>
      <c r="F1510" s="1">
        <f>SUM(F1511:F1512)</f>
        <v>0.13193710846833676</v>
      </c>
      <c r="G1510" s="1">
        <f t="shared" ref="G1510" si="1706">SUM(G1511:G1512)</f>
        <v>9.2752464573007495E-2</v>
      </c>
      <c r="H1510" s="1">
        <f t="shared" ref="H1510" si="1707">SUM(H1511:H1512)</f>
        <v>9.1564170905281322E-2</v>
      </c>
      <c r="I1510" s="1">
        <f t="shared" ref="I1510" si="1708">SUM(I1511:I1512)</f>
        <v>9.8554035669723622E-2</v>
      </c>
      <c r="J1510" s="1">
        <f t="shared" ref="J1510" si="1709">SUM(J1511:J1512)</f>
        <v>7.1075640660486411E-2</v>
      </c>
      <c r="K1510" s="1">
        <f t="shared" ref="K1510" si="1710">SUM(K1511:K1512)</f>
        <v>5.8599994436827237E-2</v>
      </c>
      <c r="L1510" s="1">
        <f t="shared" ref="L1510:O1510" si="1711">SUM(L1511:L1512)</f>
        <v>5.138674381428205E-2</v>
      </c>
      <c r="M1510" s="1">
        <f t="shared" si="1711"/>
        <v>4.817157997369579E-2</v>
      </c>
      <c r="N1510" s="1">
        <f t="shared" si="1711"/>
        <v>4.6453687667194106E-2</v>
      </c>
      <c r="O1510" s="1">
        <f t="shared" si="1711"/>
        <v>4.5026059318631517E-2</v>
      </c>
      <c r="P1510" s="1">
        <f>SUM(P1511:P1512)</f>
        <v>4.4205510549179747E-2</v>
      </c>
      <c r="Q1510" s="1">
        <f>SUM(Q1511:Q1512)</f>
        <v>4.3089351872931024E-2</v>
      </c>
      <c r="S1510" s="3"/>
    </row>
    <row r="1511" spans="2:19" x14ac:dyDescent="0.5">
      <c r="B1511" s="5" t="str">
        <f t="shared" si="1704"/>
        <v>SPS1</v>
      </c>
      <c r="C1511" s="5" t="str">
        <f t="shared" si="1705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0.13193710846833676</v>
      </c>
      <c r="G1511" s="1">
        <f>[1]Transport!C$25/SUM([1]Transport!C$21,[1]Transport!C$25)*G1508*(G$35+G$600)/(G$35+G$600+G$39)</f>
        <v>9.2752464573007495E-2</v>
      </c>
      <c r="H1511" s="1">
        <f>[1]Transport!D$25/SUM([1]Transport!D$21,[1]Transport!D$25)*H1508*(H$35+H$600)/(H$35+H$600+H$39)</f>
        <v>9.1564170905281322E-2</v>
      </c>
      <c r="I1511" s="1">
        <f>[1]Transport!E$25/SUM([1]Transport!E$21,[1]Transport!E$25)*I1508*(I$35+I$600)/(I$35+I$600+I$39)</f>
        <v>9.8554035669723622E-2</v>
      </c>
      <c r="J1511" s="1">
        <f>[1]Transport!F$25/SUM([1]Transport!F$21,[1]Transport!F$25)*J1508*(J$35+J$600)/(J$35+J$600+J$39)</f>
        <v>7.1075640660486411E-2</v>
      </c>
      <c r="K1511" s="1">
        <f>[1]Transport!G$25/SUM([1]Transport!G$21,[1]Transport!G$25)*K1508*(K$35+K$600)/(K$35+K$600+K$39)</f>
        <v>5.8599994436827237E-2</v>
      </c>
      <c r="L1511" s="1">
        <f>[1]Transport!H$25/SUM([1]Transport!H$21,[1]Transport!H$25)*L1508*(L$35+L$600)/(L$35+L$600+L$39)</f>
        <v>5.138674381428205E-2</v>
      </c>
      <c r="M1511" s="1">
        <f>[1]Transport!I$25/SUM([1]Transport!I$21,[1]Transport!I$25)*M1508*(M$35+M$600)/(M$35+M$600+M$39)</f>
        <v>4.817157997369579E-2</v>
      </c>
      <c r="N1511" s="1">
        <f>[1]Transport!J$25/SUM([1]Transport!J$21,[1]Transport!J$25)*N1508*(N$35+N$600)/(N$35+N$600+N$39)</f>
        <v>4.6453687667194106E-2</v>
      </c>
      <c r="O1511" s="1">
        <f>[1]Transport!K$25/SUM([1]Transport!K$21,[1]Transport!K$25)*O1508*(O$35+O$600)/(O$35+O$600+O$39)</f>
        <v>4.5026059318631517E-2</v>
      </c>
      <c r="P1511" s="1">
        <f>[1]Transport!L$25/SUM([1]Transport!L$21,[1]Transport!L$25)*P1508*(P$35+P$600)/(P$35+P$600+P$39)</f>
        <v>4.4205510549179747E-2</v>
      </c>
      <c r="Q1511" s="1">
        <f>[1]Transport!M$25/SUM([1]Transport!M$21,[1]Transport!M$25)*Q1508*(Q$35+Q$600)/(Q$35+Q$600+Q$39)</f>
        <v>4.3089351872931024E-2</v>
      </c>
      <c r="S1511" s="3"/>
    </row>
    <row r="1512" spans="2:19" x14ac:dyDescent="0.5">
      <c r="B1512" s="5" t="str">
        <f t="shared" si="1704"/>
        <v>SPS1</v>
      </c>
      <c r="C1512" s="5" t="str">
        <f t="shared" si="1705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(J$39+J$719)/([1]Transport!F$21+[1]Transport!F$25)*J1508</f>
        <v>0</v>
      </c>
      <c r="K1512" s="1">
        <f>(K$39+K$719)/([1]Transport!G$21+[1]Transport!G$25)*K1508</f>
        <v>0</v>
      </c>
      <c r="L1512" s="1">
        <f>(L$39+L$719)/([1]Transport!H$21+[1]Transport!H$25)*L1508</f>
        <v>0</v>
      </c>
      <c r="M1512" s="1">
        <f>(M$39+M$719)/([1]Transport!I$21+[1]Transport!I$25)*M1508</f>
        <v>0</v>
      </c>
      <c r="N1512" s="1">
        <f>(N$39+N$719)/([1]Transport!J$21+[1]Transport!J$25)*N1508</f>
        <v>0</v>
      </c>
      <c r="O1512" s="1">
        <f>(O$39+O$719)/([1]Transport!K$21+[1]Transport!K$25)*O1508</f>
        <v>0</v>
      </c>
      <c r="P1512" s="1">
        <f>(P$39+P$719)/([1]Transport!L$21+[1]Transport!L$25)*P1508</f>
        <v>0</v>
      </c>
      <c r="Q1512" s="1">
        <f>(Q$39+Q$719)/([1]Transport!M$21+[1]Transport!M$25)*Q1508</f>
        <v>0</v>
      </c>
      <c r="S1512" s="3"/>
    </row>
    <row r="1513" spans="2:19" x14ac:dyDescent="0.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1.9836599976861571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0.71318355705101233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0.69236395466963196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0.45318798431534041</v>
      </c>
      <c r="J1513" s="1" cm="1">
        <f t="array" ref="J1513">SUMPRODUCT(("T_TW-ICEGSLEXT"=[1]OUT_TransportEnergyCons!$A$3:$A$1000)*1,("Var_Fin"=[1]OUT_TransportEnergyCons!$B$3:$B$1000)*1,ISNUMBER(SEARCH("gsl",[1]OUT_TransportEnergyCons!$C$3:$C$1000))*1,[1]OUT_TransportEnergyCons!H$3:H$1000)</f>
        <v>0</v>
      </c>
      <c r="K1513" s="1" cm="1">
        <f t="array" ref="K1513">SUMPRODUCT(("T_TW-ICEGSLEXT"=[1]OUT_TransportEnergyCons!$A$3:$A$1000)*1,("Var_Fin"=[1]OUT_TransportEnergyCons!$B$3:$B$1000)*1,ISNUMBER(SEARCH("gsl",[1]OUT_TransportEnergyCons!$C$3:$C$1000))*1,[1]OUT_TransportEnergyCons!I$3:I$1000)</f>
        <v>0</v>
      </c>
      <c r="L1513" s="1" cm="1">
        <f t="array" ref="L1513">SUMPRODUCT(("T_TW-ICEGSLEXT"=[1]OUT_TransportEnergyCons!$A$3:$A$1000)*1,("Var_Fin"=[1]OUT_TransportEnergyCons!$B$3:$B$1000)*1,ISNUMBER(SEARCH("gsl",[1]OUT_TransportEnergyCons!$C$3:$C$1000))*1,[1]OUT_TransportEnergyCons!J$3:J$1000)</f>
        <v>0</v>
      </c>
      <c r="M1513" s="1" cm="1">
        <f t="array" ref="M1513">SUMPRODUCT(("T_TW-ICEGSLEXT"=[1]OUT_TransportEnergyCons!$A$3:$A$1000)*1,("Var_Fin"=[1]OUT_TransportEnergyCons!$B$3:$B$1000)*1,ISNUMBER(SEARCH("gsl",[1]OUT_TransportEnergyCons!$C$3:$C$1000))*1,[1]OUT_TransportEnergyCons!K$3:K$1000)</f>
        <v>0</v>
      </c>
      <c r="N1513" s="1" cm="1">
        <f t="array" ref="N1513">SUMPRODUCT(("T_TW-ICEGSLEXT"=[1]OUT_TransportEnergyCons!$A$3:$A$1000)*1,("Var_Fin"=[1]OUT_TransportEnergyCons!$B$3:$B$1000)*1,ISNUMBER(SEARCH("gsl",[1]OUT_TransportEnergyCons!$C$3:$C$1000))*1,[1]OUT_TransportEnergyCons!L$3:L$1000)</f>
        <v>0</v>
      </c>
      <c r="O1513" s="1" cm="1">
        <f t="array" ref="O1513">SUMPRODUCT(("T_TW-ICEGSLEXT"=[1]OUT_TransportEnergyCons!$A$3:$A$1000)*1,("Var_Fin"=[1]OUT_TransportEnergyCons!$B$3:$B$1000)*1,ISNUMBER(SEARCH("gsl",[1]OUT_TransportEnergyCons!$C$3:$C$1000))*1,[1]OUT_TransportEnergyCons!M$3:M$1000)</f>
        <v>0</v>
      </c>
      <c r="P1513" s="1" cm="1">
        <f t="array" ref="P1513">SUMPRODUCT(("T_TW-ICEGSLEXT"=[1]OUT_TransportEnergyCons!$A$3:$A$1000)*1,("Var_Fin"=[1]OUT_TransportEnergyCons!$B$3:$B$1000)*1,ISNUMBER(SEARCH("gsl",[1]OUT_TransportEnergyCons!$C$3:$C$1000))*1,[1]OUT_TransportEnergyCons!N$3:N$1000)</f>
        <v>0</v>
      </c>
      <c r="Q1513" s="1" cm="1">
        <f t="array" ref="Q1513">SUMPRODUCT(("T_TW-ICEGSLEXT"=[1]OUT_TransportEnergyCons!$A$3:$A$1000)*1,("Var_Fin"=[1]OUT_TransportEnergyCons!$B$3:$B$1000)*1,ISNUMBER(SEARCH("gsl",[1]OUT_TransportEnergyCons!$C$3:$C$1000))*1,[1]OUT_TransportEnergyCons!O$3:O$1000)</f>
        <v>0</v>
      </c>
      <c r="S1513" s="3"/>
    </row>
    <row r="1514" spans="2:19" x14ac:dyDescent="0.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4.4222204548001659E-2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0.49551281333649871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0.50101717923730982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0.62021252706609753</v>
      </c>
      <c r="J1514" s="1" cm="1">
        <f t="array" ref="J1514">SUMPRODUCT(("T_TW-icegsl-S1"=[1]OUT_TransportEnergyCons!$A$3:$A$1000)*1,("Var_Fin"=[1]OUT_TransportEnergyCons!$B$3:$B$1000)*1,ISNUMBER(SEARCH("gsl",[1]OUT_TransportEnergyCons!$C$3:$C$1000))*1,[1]OUT_TransportEnergyCons!H$3:H$1000)</f>
        <v>0.84583893429926382</v>
      </c>
      <c r="K1514" s="1" cm="1">
        <f t="array" ref="K1514">SUMPRODUCT(("T_TW-icegsl-S1"=[1]OUT_TransportEnergyCons!$A$3:$A$1000)*1,("Var_Fin"=[1]OUT_TransportEnergyCons!$B$3:$B$1000)*1,ISNUMBER(SEARCH("gsl",[1]OUT_TransportEnergyCons!$C$3:$C$1000))*1,[1]OUT_TransportEnergyCons!I$3:I$1000)</f>
        <v>0.89241996826164194</v>
      </c>
      <c r="L1514" s="1" cm="1">
        <f t="array" ref="L1514">SUMPRODUCT(("T_TW-icegsl-S1"=[1]OUT_TransportEnergyCons!$A$3:$A$1000)*1,("Var_Fin"=[1]OUT_TransportEnergyCons!$B$3:$B$1000)*1,ISNUMBER(SEARCH("gsl",[1]OUT_TransportEnergyCons!$C$3:$C$1000))*1,[1]OUT_TransportEnergyCons!J$3:J$1000)</f>
        <v>0.90932093354797272</v>
      </c>
      <c r="M1514" s="1" cm="1">
        <f t="array" ref="M1514">SUMPRODUCT(("T_TW-icegsl-S1"=[1]OUT_TransportEnergyCons!$A$3:$A$1000)*1,("Var_Fin"=[1]OUT_TransportEnergyCons!$B$3:$B$1000)*1,ISNUMBER(SEARCH("gsl",[1]OUT_TransportEnergyCons!$C$3:$C$1000))*1,[1]OUT_TransportEnergyCons!K$3:K$1000)</f>
        <v>0.87684477019330476</v>
      </c>
      <c r="N1514" s="1" cm="1">
        <f t="array" ref="N1514">SUMPRODUCT(("T_TW-icegsl-S1"=[1]OUT_TransportEnergyCons!$A$3:$A$1000)*1,("Var_Fin"=[1]OUT_TransportEnergyCons!$B$3:$B$1000)*1,ISNUMBER(SEARCH("gsl",[1]OUT_TransportEnergyCons!$C$3:$C$1000))*1,[1]OUT_TransportEnergyCons!L$3:L$1000)</f>
        <v>0.84560169056213352</v>
      </c>
      <c r="O1514" s="1" cm="1">
        <f t="array" ref="O1514">SUMPRODUCT(("T_TW-icegsl-S1"=[1]OUT_TransportEnergyCons!$A$3:$A$1000)*1,("Var_Fin"=[1]OUT_TransportEnergyCons!$B$3:$B$1000)*1,ISNUMBER(SEARCH("gsl",[1]OUT_TransportEnergyCons!$C$3:$C$1000))*1,[1]OUT_TransportEnergyCons!M$3:M$1000)</f>
        <v>0.81870236811525587</v>
      </c>
      <c r="P1514" s="1" cm="1">
        <f t="array" ref="P1514">SUMPRODUCT(("T_TW-icegsl-S1"=[1]OUT_TransportEnergyCons!$A$3:$A$1000)*1,("Var_Fin"=[1]OUT_TransportEnergyCons!$B$3:$B$1000)*1,ISNUMBER(SEARCH("gsl",[1]OUT_TransportEnergyCons!$C$3:$C$1000))*1,[1]OUT_TransportEnergyCons!N$3:N$1000)</f>
        <v>0.80372906781878217</v>
      </c>
      <c r="Q1514" s="1" cm="1">
        <f t="array" ref="Q1514">SUMPRODUCT(("T_TW-icegsl-S1"=[1]OUT_TransportEnergyCons!$A$3:$A$1000)*1,("Var_Fin"=[1]OUT_TransportEnergyCons!$B$3:$B$1000)*1,ISNUMBER(SEARCH("gsl",[1]OUT_TransportEnergyCons!$C$3:$C$1000))*1,[1]OUT_TransportEnergyCons!O$3:O$1000)</f>
        <v>0.78157566758879848</v>
      </c>
      <c r="S1514" s="3"/>
    </row>
    <row r="1515" spans="2:19" x14ac:dyDescent="0.5">
      <c r="B1515" t="str">
        <f t="shared" ref="B1515:B1518" si="1712">B1514</f>
        <v>SPS1</v>
      </c>
      <c r="C1515" t="str">
        <f t="shared" si="1699"/>
        <v>CH</v>
      </c>
      <c r="D1515" t="s">
        <v>1579</v>
      </c>
      <c r="E1515" t="str">
        <f t="shared" ref="E1515:E1517" si="1713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0.11214254663960677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0.16299150306633106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0.15367876605809497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0.10217854126537133</v>
      </c>
      <c r="J1515" s="1" cm="1">
        <f t="array" ref="J1515">SUMPRODUCT(("T_TW-icegsl-S2"=[1]OUT_TransportEnergyCons!$A$3:$A$1000)*1,("Var_Fin"=[1]OUT_TransportEnergyCons!$B$3:$B$1000)*1,ISNUMBER(SEARCH("gsl",[1]OUT_TransportEnergyCons!$C$3:$C$1000))*1,[1]OUT_TransportEnergyCons!H$3:H$1000)</f>
        <v>1.0334845010046933E-2</v>
      </c>
      <c r="K1515" s="1" cm="1">
        <f t="array" ref="K1515">SUMPRODUCT(("T_TW-icegsl-S2"=[1]OUT_TransportEnergyCons!$A$3:$A$1000)*1,("Var_Fin"=[1]OUT_TransportEnergyCons!$B$3:$B$1000)*1,ISNUMBER(SEARCH("gsl",[1]OUT_TransportEnergyCons!$C$3:$C$1000))*1,[1]OUT_TransportEnergyCons!I$3:I$1000)</f>
        <v>7.4683946871108883E-4</v>
      </c>
      <c r="L1515" s="1" cm="1">
        <f t="array" ref="L1515">SUMPRODUCT(("T_TW-icegsl-S2"=[1]OUT_TransportEnergyCons!$A$3:$A$1000)*1,("Var_Fin"=[1]OUT_TransportEnergyCons!$B$3:$B$1000)*1,ISNUMBER(SEARCH("gsl",[1]OUT_TransportEnergyCons!$C$3:$C$1000))*1,[1]OUT_TransportEnergyCons!J$3:J$1000)</f>
        <v>8.9941249416113404E-4</v>
      </c>
      <c r="M1515" s="1" cm="1">
        <f t="array" ref="M1515">SUMPRODUCT(("T_TW-icegsl-S2"=[1]OUT_TransportEnergyCons!$A$3:$A$1000)*1,("Var_Fin"=[1]OUT_TransportEnergyCons!$B$3:$B$1000)*1,ISNUMBER(SEARCH("gsl",[1]OUT_TransportEnergyCons!$C$3:$C$1000))*1,[1]OUT_TransportEnergyCons!K$3:K$1000)</f>
        <v>1.061724525898813E-3</v>
      </c>
      <c r="N1515" s="1" cm="1">
        <f t="array" ref="N1515">SUMPRODUCT(("T_TW-icegsl-S2"=[1]OUT_TransportEnergyCons!$A$3:$A$1000)*1,("Var_Fin"=[1]OUT_TransportEnergyCons!$B$3:$B$1000)*1,ISNUMBER(SEARCH("gsl",[1]OUT_TransportEnergyCons!$C$3:$C$1000))*1,[1]OUT_TransportEnergyCons!L$3:L$1000)</f>
        <v>1.0592996028619822E-3</v>
      </c>
      <c r="O1515" s="1" cm="1">
        <f t="array" ref="O1515">SUMPRODUCT(("T_TW-icegsl-S2"=[1]OUT_TransportEnergyCons!$A$3:$A$1000)*1,("Var_Fin"=[1]OUT_TransportEnergyCons!$B$3:$B$1000)*1,ISNUMBER(SEARCH("gsl",[1]OUT_TransportEnergyCons!$C$3:$C$1000))*1,[1]OUT_TransportEnergyCons!M$3:M$1000)</f>
        <v>1.3392601173165643E-3</v>
      </c>
      <c r="P1515" s="1" cm="1">
        <f t="array" ref="P1515">SUMPRODUCT(("T_TW-icegsl-S2"=[1]OUT_TransportEnergyCons!$A$3:$A$1000)*1,("Var_Fin"=[1]OUT_TransportEnergyCons!$B$3:$B$1000)*1,ISNUMBER(SEARCH("gsl",[1]OUT_TransportEnergyCons!$C$3:$C$1000))*1,[1]OUT_TransportEnergyCons!N$3:N$1000)</f>
        <v>1.2694856560088587E-3</v>
      </c>
      <c r="Q1515" s="1" cm="1">
        <f t="array" ref="Q1515">SUMPRODUCT(("T_TW-icegsl-S2"=[1]OUT_TransportEnergyCons!$A$3:$A$1000)*1,("Var_Fin"=[1]OUT_TransportEnergyCons!$B$3:$B$1000)*1,ISNUMBER(SEARCH("gsl",[1]OUT_TransportEnergyCons!$C$3:$C$1000))*1,[1]OUT_TransportEnergyCons!O$3:O$1000)</f>
        <v>1.8418796204046949E-3</v>
      </c>
      <c r="S1515" s="3"/>
    </row>
    <row r="1516" spans="2:19" x14ac:dyDescent="0.5">
      <c r="B1516" t="str">
        <f t="shared" si="1712"/>
        <v>SPS1</v>
      </c>
      <c r="C1516" t="str">
        <f t="shared" si="1699"/>
        <v>CH</v>
      </c>
      <c r="D1516" t="s">
        <v>1580</v>
      </c>
      <c r="E1516" t="str">
        <f t="shared" si="1713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0.16357630108927554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0.19687146327358809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0.19847949027301268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0.19740078661512961</v>
      </c>
      <c r="J1516" s="1" cm="1">
        <f t="array" ref="J1516">SUMPRODUCT(("T_TW-icegsl-S3"=[1]OUT_TransportEnergyCons!$A$3:$A$1000)*1,("Var_Fin"=[1]OUT_TransportEnergyCons!$B$3:$B$1000)*1,ISNUMBER(SEARCH("gsl",[1]OUT_TransportEnergyCons!$C$3:$C$1000))*1,[1]OUT_TransportEnergyCons!H$3:H$1000)</f>
        <v>0.18928562290922796</v>
      </c>
      <c r="K1516" s="1" cm="1">
        <f t="array" ref="K1516">SUMPRODUCT(("T_TW-icegsl-S3"=[1]OUT_TransportEnergyCons!$A$3:$A$1000)*1,("Var_Fin"=[1]OUT_TransportEnergyCons!$B$3:$B$1000)*1,ISNUMBER(SEARCH("gsl",[1]OUT_TransportEnergyCons!$C$3:$C$1000))*1,[1]OUT_TransportEnergyCons!I$3:I$1000)</f>
        <v>5.50378291571842E-2</v>
      </c>
      <c r="L1516" s="1" cm="1">
        <f t="array" ref="L1516">SUMPRODUCT(("T_TW-icegsl-S3"=[1]OUT_TransportEnergyCons!$A$3:$A$1000)*1,("Var_Fin"=[1]OUT_TransportEnergyCons!$B$3:$B$1000)*1,ISNUMBER(SEARCH("gsl",[1]OUT_TransportEnergyCons!$C$3:$C$1000))*1,[1]OUT_TransportEnergyCons!J$3:J$1000)</f>
        <v>8.1039230086031523E-4</v>
      </c>
      <c r="M1516" s="1" cm="1">
        <f t="array" ref="M1516">SUMPRODUCT(("T_TW-icegsl-S3"=[1]OUT_TransportEnergyCons!$A$3:$A$1000)*1,("Var_Fin"=[1]OUT_TransportEnergyCons!$B$3:$B$1000)*1,ISNUMBER(SEARCH("gsl",[1]OUT_TransportEnergyCons!$C$3:$C$1000))*1,[1]OUT_TransportEnergyCons!K$3:K$1000)</f>
        <v>9.5442401303123369E-4</v>
      </c>
      <c r="N1516" s="1" cm="1">
        <f t="array" ref="N1516">SUMPRODUCT(("T_TW-icegsl-S3"=[1]OUT_TransportEnergyCons!$A$3:$A$1000)*1,("Var_Fin"=[1]OUT_TransportEnergyCons!$B$3:$B$1000)*1,ISNUMBER(SEARCH("gsl",[1]OUT_TransportEnergyCons!$C$3:$C$1000))*1,[1]OUT_TransportEnergyCons!L$3:L$1000)</f>
        <v>1.0267926656441246E-3</v>
      </c>
      <c r="O1516" s="1" cm="1">
        <f t="array" ref="O1516">SUMPRODUCT(("T_TW-icegsl-S3"=[1]OUT_TransportEnergyCons!$A$3:$A$1000)*1,("Var_Fin"=[1]OUT_TransportEnergyCons!$B$3:$B$1000)*1,ISNUMBER(SEARCH("gsl",[1]OUT_TransportEnergyCons!$C$3:$C$1000))*1,[1]OUT_TransportEnergyCons!M$3:M$1000)</f>
        <v>1.1446097144199386E-3</v>
      </c>
      <c r="P1516" s="1" cm="1">
        <f t="array" ref="P1516">SUMPRODUCT(("T_TW-icegsl-S3"=[1]OUT_TransportEnergyCons!$A$3:$A$1000)*1,("Var_Fin"=[1]OUT_TransportEnergyCons!$B$3:$B$1000)*1,ISNUMBER(SEARCH("gsl",[1]OUT_TransportEnergyCons!$C$3:$C$1000))*1,[1]OUT_TransportEnergyCons!N$3:N$1000)</f>
        <v>1.2665425941707908E-3</v>
      </c>
      <c r="Q1516" s="1" cm="1">
        <f t="array" ref="Q1516">SUMPRODUCT(("T_TW-icegsl-S3"=[1]OUT_TransportEnergyCons!$A$3:$A$1000)*1,("Var_Fin"=[1]OUT_TransportEnergyCons!$B$3:$B$1000)*1,ISNUMBER(SEARCH("gsl",[1]OUT_TransportEnergyCons!$C$3:$C$1000))*1,[1]OUT_TransportEnergyCons!O$3:O$1000)</f>
        <v>1.5603124934289064E-3</v>
      </c>
      <c r="S1516" s="3"/>
    </row>
    <row r="1517" spans="2:19" x14ac:dyDescent="0.5">
      <c r="B1517" t="str">
        <f t="shared" si="1712"/>
        <v>SPS1</v>
      </c>
      <c r="C1517" t="str">
        <f t="shared" si="1699"/>
        <v>CH</v>
      </c>
      <c r="D1517" t="s">
        <v>1581</v>
      </c>
      <c r="E1517" t="str">
        <f t="shared" si="1713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0.10659652160767696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0.12584062342752142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0.12712768203827401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0.12627687244991365</v>
      </c>
      <c r="J1517" s="1" cm="1">
        <f t="array" ref="J1517">SUMPRODUCT(("T_TW-icegsl-S4"=[1]OUT_TransportEnergyCons!$A$3:$A$1000)*1,("Var_Fin"=[1]OUT_TransportEnergyCons!$B$3:$B$1000)*1,ISNUMBER(SEARCH("gsl",[1]OUT_TransportEnergyCons!$C$3:$C$1000))*1,[1]OUT_TransportEnergyCons!H$3:H$1000)</f>
        <v>0.12687476747297016</v>
      </c>
      <c r="K1517" s="1" cm="1">
        <f t="array" ref="K1517">SUMPRODUCT(("T_TW-icegsl-S4"=[1]OUT_TransportEnergyCons!$A$3:$A$1000)*1,("Var_Fin"=[1]OUT_TransportEnergyCons!$B$3:$B$1000)*1,ISNUMBER(SEARCH("gsl",[1]OUT_TransportEnergyCons!$C$3:$C$1000))*1,[1]OUT_TransportEnergyCons!I$3:I$1000)</f>
        <v>0.12207521360178589</v>
      </c>
      <c r="L1517" s="1" cm="1">
        <f t="array" ref="L1517">SUMPRODUCT(("T_TW-icegsl-S4"=[1]OUT_TransportEnergyCons!$A$3:$A$1000)*1,("Var_Fin"=[1]OUT_TransportEnergyCons!$B$3:$B$1000)*1,ISNUMBER(SEARCH("gsl",[1]OUT_TransportEnergyCons!$C$3:$C$1000))*1,[1]OUT_TransportEnergyCons!J$3:J$1000)</f>
        <v>2.7488378302039453E-2</v>
      </c>
      <c r="M1517" s="1" cm="1">
        <f t="array" ref="M1517">SUMPRODUCT(("T_TW-icegsl-S4"=[1]OUT_TransportEnergyCons!$A$3:$A$1000)*1,("Var_Fin"=[1]OUT_TransportEnergyCons!$B$3:$B$1000)*1,ISNUMBER(SEARCH("gsl",[1]OUT_TransportEnergyCons!$C$3:$C$1000))*1,[1]OUT_TransportEnergyCons!K$3:K$1000)</f>
        <v>6.2129378705270695E-4</v>
      </c>
      <c r="N1517" s="1" cm="1">
        <f t="array" ref="N1517">SUMPRODUCT(("T_TW-icegsl-S4"=[1]OUT_TransportEnergyCons!$A$3:$A$1000)*1,("Var_Fin"=[1]OUT_TransportEnergyCons!$B$3:$B$1000)*1,ISNUMBER(SEARCH("gsl",[1]OUT_TransportEnergyCons!$C$3:$C$1000))*1,[1]OUT_TransportEnergyCons!L$3:L$1000)</f>
        <v>6.7297170101058125E-4</v>
      </c>
      <c r="O1517" s="1" cm="1">
        <f t="array" ref="O1517">SUMPRODUCT(("T_TW-icegsl-S4"=[1]OUT_TransportEnergyCons!$A$3:$A$1000)*1,("Var_Fin"=[1]OUT_TransportEnergyCons!$B$3:$B$1000)*1,ISNUMBER(SEARCH("gsl",[1]OUT_TransportEnergyCons!$C$3:$C$1000))*1,[1]OUT_TransportEnergyCons!M$3:M$1000)</f>
        <v>7.701500612120898E-4</v>
      </c>
      <c r="P1517" s="1" cm="1">
        <f t="array" ref="P1517">SUMPRODUCT(("T_TW-icegsl-S4"=[1]OUT_TransportEnergyCons!$A$3:$A$1000)*1,("Var_Fin"=[1]OUT_TransportEnergyCons!$B$3:$B$1000)*1,ISNUMBER(SEARCH("gsl",[1]OUT_TransportEnergyCons!$C$3:$C$1000))*1,[1]OUT_TransportEnergyCons!N$3:N$1000)</f>
        <v>8.2471937865603016E-4</v>
      </c>
      <c r="Q1517" s="1" cm="1">
        <f t="array" ref="Q1517">SUMPRODUCT(("T_TW-icegsl-S4"=[1]OUT_TransportEnergyCons!$A$3:$A$1000)*1,("Var_Fin"=[1]OUT_TransportEnergyCons!$B$3:$B$1000)*1,ISNUMBER(SEARCH("gsl",[1]OUT_TransportEnergyCons!$C$3:$C$1000))*1,[1]OUT_TransportEnergyCons!O$3:O$1000)</f>
        <v>1.0327143163042429E-3</v>
      </c>
      <c r="S1517" s="3"/>
    </row>
    <row r="1518" spans="2:19" x14ac:dyDescent="0.5">
      <c r="B1518" s="9" t="str">
        <f t="shared" si="1712"/>
        <v>SPS1</v>
      </c>
      <c r="C1518" s="9" t="str">
        <f t="shared" si="1699"/>
        <v>CH</v>
      </c>
      <c r="D1518" s="2" t="s">
        <v>1503</v>
      </c>
      <c r="E1518" s="2" t="s">
        <v>1517</v>
      </c>
      <c r="F1518" s="3">
        <f>SUM(F1519:F1531)</f>
        <v>1.9491897253026822</v>
      </c>
      <c r="G1518" s="3">
        <f t="shared" ref="G1518:K1518" si="1714">SUM(G1519:G1531)</f>
        <v>1.9514917840013251</v>
      </c>
      <c r="H1518" s="3">
        <f t="shared" si="1714"/>
        <v>1.9548636434858979</v>
      </c>
      <c r="I1518" s="3">
        <f t="shared" si="1714"/>
        <v>1.960464507062099</v>
      </c>
      <c r="J1518" s="3">
        <f t="shared" si="1714"/>
        <v>1.9636530376002597</v>
      </c>
      <c r="K1518" s="3">
        <f t="shared" si="1714"/>
        <v>1.967943942351831</v>
      </c>
      <c r="L1518" s="3">
        <f t="shared" ref="L1518:O1518" si="1715">SUM(L1519:L1531)</f>
        <v>1.9437415281262891</v>
      </c>
      <c r="M1518" s="3">
        <f t="shared" si="1715"/>
        <v>1.9195591582234584</v>
      </c>
      <c r="N1518" s="3">
        <f t="shared" si="1715"/>
        <v>1.87801640526937</v>
      </c>
      <c r="O1518" s="3">
        <f t="shared" si="1715"/>
        <v>1.8361111998263795</v>
      </c>
      <c r="P1518" s="3">
        <f>SUM(P1519:P1531)</f>
        <v>1.8018964955346806</v>
      </c>
      <c r="Q1518" s="3">
        <f>SUM(Q1519:Q1531)</f>
        <v>1.768899312917575</v>
      </c>
      <c r="S1518" s="3"/>
    </row>
    <row r="1519" spans="2:19" x14ac:dyDescent="0.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1.7320727926344315E-2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2.3841331782100243E-2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2.4073169239527771E-2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1.662725312376865E-2</v>
      </c>
      <c r="J1519" s="1" cm="1">
        <f t="array" ref="J1519">SUMPRODUCT(("T_TW-BEVELC-S1"=[1]OUT_TransportEnergyCons!$A$3:$A$1000)*1,("var_fout"=[1]OUT_TransportEnergyCons!$B$3:$B$1000)*1,ISNUMBER(SEARCH("TPTWL",[1]OUT_TransportEnergyCons!$C$3:$C$1000))*1,[1]OUT_TransportEnergyCons!H$3:H$1000)</f>
        <v>3.1490365133334313E-3</v>
      </c>
      <c r="K1519" s="1" cm="1">
        <f t="array" ref="K1519">SUMPRODUCT(("T_TW-BEVELC-S1"=[1]OUT_TransportEnergyCons!$A$3:$A$1000)*1,("var_fout"=[1]OUT_TransportEnergyCons!$B$3:$B$1000)*1,ISNUMBER(SEARCH("TPTWL",[1]OUT_TransportEnergyCons!$C$3:$C$1000))*1,[1]OUT_TransportEnergyCons!I$3:I$1000)</f>
        <v>4.2441115620415375E-3</v>
      </c>
      <c r="L1519" s="1" cm="1">
        <f t="array" ref="L1519">SUMPRODUCT(("T_TW-BEVELC-S1"=[1]OUT_TransportEnergyCons!$A$3:$A$1000)*1,("var_fout"=[1]OUT_TransportEnergyCons!$B$3:$B$1000)*1,ISNUMBER(SEARCH("TPTWL",[1]OUT_TransportEnergyCons!$C$3:$C$1000))*1,[1]OUT_TransportEnergyCons!J$3:J$1000)</f>
        <v>6.7357447840914117E-3</v>
      </c>
      <c r="M1519" s="1" cm="1">
        <f t="array" ref="M1519">SUMPRODUCT(("T_TW-BEVELC-S1"=[1]OUT_TransportEnergyCons!$A$3:$A$1000)*1,("var_fout"=[1]OUT_TransportEnergyCons!$B$3:$B$1000)*1,ISNUMBER(SEARCH("TPTWL",[1]OUT_TransportEnergyCons!$C$3:$C$1000))*1,[1]OUT_TransportEnergyCons!K$3:K$1000)</f>
        <v>1.3001335028492237E-2</v>
      </c>
      <c r="N1519" s="1" cm="1">
        <f t="array" ref="N1519">SUMPRODUCT(("T_TW-BEVELC-S1"=[1]OUT_TransportEnergyCons!$A$3:$A$1000)*1,("var_fout"=[1]OUT_TransportEnergyCons!$B$3:$B$1000)*1,ISNUMBER(SEARCH("TPTWL",[1]OUT_TransportEnergyCons!$C$3:$C$1000))*1,[1]OUT_TransportEnergyCons!L$3:L$1000)</f>
        <v>2.2525708514396132E-2</v>
      </c>
      <c r="O1519" s="1" cm="1">
        <f t="array" ref="O1519">SUMPRODUCT(("T_TW-BEVELC-S1"=[1]OUT_TransportEnergyCons!$A$3:$A$1000)*1,("var_fout"=[1]OUT_TransportEnergyCons!$B$3:$B$1000)*1,ISNUMBER(SEARCH("TPTWL",[1]OUT_TransportEnergyCons!$C$3:$C$1000))*1,[1]OUT_TransportEnergyCons!M$3:M$1000)</f>
        <v>2.9382914776662612E-2</v>
      </c>
      <c r="P1519" s="1" cm="1">
        <f t="array" ref="P1519">SUMPRODUCT(("T_TW-BEVELC-S1"=[1]OUT_TransportEnergyCons!$A$3:$A$1000)*1,("var_fout"=[1]OUT_TransportEnergyCons!$B$3:$B$1000)*1,ISNUMBER(SEARCH("TPTWL",[1]OUT_TransportEnergyCons!$C$3:$C$1000))*1,[1]OUT_TransportEnergyCons!N$3:N$1000)</f>
        <v>2.7511445192792566E-2</v>
      </c>
      <c r="Q1519" s="1" cm="1">
        <f t="array" ref="Q1519">SUMPRODUCT(("T_TW-BEVELC-S1"=[1]OUT_TransportEnergyCons!$A$3:$A$1000)*1,("var_fout"=[1]OUT_TransportEnergyCons!$B$3:$B$1000)*1,ISNUMBER(SEARCH("TPTWL",[1]OUT_TransportEnergyCons!$C$3:$C$1000))*1,[1]OUT_TransportEnergyCons!O$3:O$1000)</f>
        <v>3.778805287464166E-2</v>
      </c>
      <c r="S1519" s="3"/>
    </row>
    <row r="1520" spans="2:19" x14ac:dyDescent="0.5">
      <c r="B1520" t="str">
        <f t="shared" ref="B1520:B1545" si="1716">B1519</f>
        <v>SPS1</v>
      </c>
      <c r="C1520" t="str">
        <f t="shared" ref="C1520:C1545" si="1717">C1519</f>
        <v>CH</v>
      </c>
      <c r="D1520" t="s">
        <v>1505</v>
      </c>
      <c r="E1520" t="str">
        <f t="shared" ref="E1520:E1531" si="1718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2.2258498653837757E-3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2.9384808253627953E-3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3.0061445378760441E-3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2.6802770758414659E-3</v>
      </c>
      <c r="J1520" s="1" cm="1">
        <f t="array" ref="J1520">SUMPRODUCT(("T_TW-BEVELC-S2"=[1]OUT_TransportEnergyCons!$A$3:$A$1000)*1,("var_fout"=[1]OUT_TransportEnergyCons!$B$3:$B$1000)*1,ISNUMBER(SEARCH("TPTWL",[1]OUT_TransportEnergyCons!$C$3:$C$1000))*1,[1]OUT_TransportEnergyCons!H$3:H$1000)</f>
        <v>1.0830099254227562E-3</v>
      </c>
      <c r="K1520" s="1" cm="1">
        <f t="array" ref="K1520">SUMPRODUCT(("T_TW-BEVELC-S2"=[1]OUT_TransportEnergyCons!$A$3:$A$1000)*1,("var_fout"=[1]OUT_TransportEnergyCons!$B$3:$B$1000)*1,ISNUMBER(SEARCH("TPTWL",[1]OUT_TransportEnergyCons!$C$3:$C$1000))*1,[1]OUT_TransportEnergyCons!I$3:I$1000)</f>
        <v>1.1588813220374747E-3</v>
      </c>
      <c r="L1520" s="1" cm="1">
        <f t="array" ref="L1520">SUMPRODUCT(("T_TW-BEVELC-S2"=[1]OUT_TransportEnergyCons!$A$3:$A$1000)*1,("var_fout"=[1]OUT_TransportEnergyCons!$B$3:$B$1000)*1,ISNUMBER(SEARCH("TPTWL",[1]OUT_TransportEnergyCons!$C$3:$C$1000))*1,[1]OUT_TransportEnergyCons!J$3:J$1000)</f>
        <v>1.6107336620560847E-3</v>
      </c>
      <c r="M1520" s="1" cm="1">
        <f t="array" ref="M1520">SUMPRODUCT(("T_TW-BEVELC-S2"=[1]OUT_TransportEnergyCons!$A$3:$A$1000)*1,("var_fout"=[1]OUT_TransportEnergyCons!$B$3:$B$1000)*1,ISNUMBER(SEARCH("TPTWL",[1]OUT_TransportEnergyCons!$C$3:$C$1000))*1,[1]OUT_TransportEnergyCons!K$3:K$1000)</f>
        <v>2.2198706433766533E-3</v>
      </c>
      <c r="N1520" s="1" cm="1">
        <f t="array" ref="N1520">SUMPRODUCT(("T_TW-BEVELC-S2"=[1]OUT_TransportEnergyCons!$A$3:$A$1000)*1,("var_fout"=[1]OUT_TransportEnergyCons!$B$3:$B$1000)*1,ISNUMBER(SEARCH("TPTWL",[1]OUT_TransportEnergyCons!$C$3:$C$1000))*1,[1]OUT_TransportEnergyCons!L$3:L$1000)</f>
        <v>2.6628330245858554E-3</v>
      </c>
      <c r="O1520" s="1" cm="1">
        <f t="array" ref="O1520">SUMPRODUCT(("T_TW-BEVELC-S2"=[1]OUT_TransportEnergyCons!$A$3:$A$1000)*1,("var_fout"=[1]OUT_TransportEnergyCons!$B$3:$B$1000)*1,ISNUMBER(SEARCH("TPTWL",[1]OUT_TransportEnergyCons!$C$3:$C$1000))*1,[1]OUT_TransportEnergyCons!M$3:M$1000)</f>
        <v>3.4724386329904279E-3</v>
      </c>
      <c r="P1520" s="1" cm="1">
        <f t="array" ref="P1520">SUMPRODUCT(("T_TW-BEVELC-S2"=[1]OUT_TransportEnergyCons!$A$3:$A$1000)*1,("var_fout"=[1]OUT_TransportEnergyCons!$B$3:$B$1000)*1,ISNUMBER(SEARCH("TPTWL",[1]OUT_TransportEnergyCons!$C$3:$C$1000))*1,[1]OUT_TransportEnergyCons!N$3:N$1000)</f>
        <v>3.2815535456995129E-3</v>
      </c>
      <c r="Q1520" s="1" cm="1">
        <f t="array" ref="Q1520">SUMPRODUCT(("T_TW-BEVELC-S2"=[1]OUT_TransportEnergyCons!$A$3:$A$1000)*1,("var_fout"=[1]OUT_TransportEnergyCons!$B$3:$B$1000)*1,ISNUMBER(SEARCH("TPTWL",[1]OUT_TransportEnergyCons!$C$3:$C$1000))*1,[1]OUT_TransportEnergyCons!O$3:O$1000)</f>
        <v>4.6024233831357293E-3</v>
      </c>
      <c r="S1520" s="3"/>
    </row>
    <row r="1521" spans="2:19" x14ac:dyDescent="0.5">
      <c r="B1521" t="str">
        <f t="shared" si="1716"/>
        <v>SPS1</v>
      </c>
      <c r="C1521" t="str">
        <f t="shared" si="1717"/>
        <v>CH</v>
      </c>
      <c r="D1521" t="s">
        <v>1506</v>
      </c>
      <c r="E1521" t="str">
        <f t="shared" si="1718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3.4355241470499756E-4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6.5508774848607146E-4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7.8739439521774174E-4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8.8982662770166021E-4</v>
      </c>
      <c r="J1521" s="1" cm="1">
        <f t="array" ref="J1521">SUMPRODUCT(("T_TW-BEVELC-S3"=[1]OUT_TransportEnergyCons!$A$3:$A$1000)*1,("var_fout"=[1]OUT_TransportEnergyCons!$B$3:$B$1000)*1,ISNUMBER(SEARCH("TPTWL",[1]OUT_TransportEnergyCons!$C$3:$C$1000))*1,[1]OUT_TransportEnergyCons!H$3:H$1000)</f>
        <v>1.1946750342988388E-3</v>
      </c>
      <c r="K1521" s="1" cm="1">
        <f t="array" ref="K1521">SUMPRODUCT(("T_TW-BEVELC-S3"=[1]OUT_TransportEnergyCons!$A$3:$A$1000)*1,("var_fout"=[1]OUT_TransportEnergyCons!$B$3:$B$1000)*1,ISNUMBER(SEARCH("TPTWL",[1]OUT_TransportEnergyCons!$C$3:$C$1000))*1,[1]OUT_TransportEnergyCons!I$3:I$1000)</f>
        <v>1.22039197471108E-3</v>
      </c>
      <c r="L1521" s="1" cm="1">
        <f t="array" ref="L1521">SUMPRODUCT(("T_TW-BEVELC-S3"=[1]OUT_TransportEnergyCons!$A$3:$A$1000)*1,("var_fout"=[1]OUT_TransportEnergyCons!$B$3:$B$1000)*1,ISNUMBER(SEARCH("TPTWL",[1]OUT_TransportEnergyCons!$C$3:$C$1000))*1,[1]OUT_TransportEnergyCons!J$3:J$1000)</f>
        <v>1.1391015644933303E-3</v>
      </c>
      <c r="M1521" s="1" cm="1">
        <f t="array" ref="M1521">SUMPRODUCT(("T_TW-BEVELC-S3"=[1]OUT_TransportEnergyCons!$A$3:$A$1000)*1,("var_fout"=[1]OUT_TransportEnergyCons!$B$3:$B$1000)*1,ISNUMBER(SEARCH("TPTWL",[1]OUT_TransportEnergyCons!$C$3:$C$1000))*1,[1]OUT_TransportEnergyCons!K$3:K$1000)</f>
        <v>1.5253791792856346E-3</v>
      </c>
      <c r="N1521" s="1" cm="1">
        <f t="array" ref="N1521">SUMPRODUCT(("T_TW-BEVELC-S3"=[1]OUT_TransportEnergyCons!$A$3:$A$1000)*1,("var_fout"=[1]OUT_TransportEnergyCons!$B$3:$B$1000)*1,ISNUMBER(SEARCH("TPTWL",[1]OUT_TransportEnergyCons!$C$3:$C$1000))*1,[1]OUT_TransportEnergyCons!L$3:L$1000)</f>
        <v>1.8168307431098544E-3</v>
      </c>
      <c r="O1521" s="1" cm="1">
        <f t="array" ref="O1521">SUMPRODUCT(("T_TW-BEVELC-S3"=[1]OUT_TransportEnergyCons!$A$3:$A$1000)*1,("var_fout"=[1]OUT_TransportEnergyCons!$B$3:$B$1000)*1,ISNUMBER(SEARCH("TPTWL",[1]OUT_TransportEnergyCons!$C$3:$C$1000))*1,[1]OUT_TransportEnergyCons!M$3:M$1000)</f>
        <v>2.1376501159847323E-3</v>
      </c>
      <c r="P1521" s="1" cm="1">
        <f t="array" ref="P1521">SUMPRODUCT(("T_TW-BEVELC-S3"=[1]OUT_TransportEnergyCons!$A$3:$A$1000)*1,("var_fout"=[1]OUT_TransportEnergyCons!$B$3:$B$1000)*1,ISNUMBER(SEARCH("TPTWL",[1]OUT_TransportEnergyCons!$C$3:$C$1000))*1,[1]OUT_TransportEnergyCons!N$3:N$1000)</f>
        <v>2.4627151263173983E-3</v>
      </c>
      <c r="Q1521" s="1" cm="1">
        <f t="array" ref="Q1521">SUMPRODUCT(("T_TW-BEVELC-S3"=[1]OUT_TransportEnergyCons!$A$3:$A$1000)*1,("var_fout"=[1]OUT_TransportEnergyCons!$B$3:$B$1000)*1,ISNUMBER(SEARCH("TPTWL",[1]OUT_TransportEnergyCons!$C$3:$C$1000))*1,[1]OUT_TransportEnergyCons!O$3:O$1000)</f>
        <v>2.9562511254400438E-3</v>
      </c>
      <c r="S1521" s="3"/>
    </row>
    <row r="1522" spans="2:19" x14ac:dyDescent="0.5">
      <c r="B1522" t="str">
        <f t="shared" si="1716"/>
        <v>SPS1</v>
      </c>
      <c r="C1522" t="str">
        <f t="shared" si="1717"/>
        <v>CH</v>
      </c>
      <c r="D1522" t="s">
        <v>1507</v>
      </c>
      <c r="E1522" t="str">
        <f t="shared" si="1718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1.7768008289080554E-4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3.5415690769745876E-4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4.6431511561580624E-4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5.5933999725654737E-4</v>
      </c>
      <c r="J1522" s="1" cm="1">
        <f t="array" ref="J1522">SUMPRODUCT(("T_TW-BEVELC-S4"=[1]OUT_TransportEnergyCons!$A$3:$A$1000)*1,("var_fout"=[1]OUT_TransportEnergyCons!$B$3:$B$1000)*1,ISNUMBER(SEARCH("TPTWL",[1]OUT_TransportEnergyCons!$C$3:$C$1000))*1,[1]OUT_TransportEnergyCons!H$3:H$1000)</f>
        <v>7.383467373833617E-4</v>
      </c>
      <c r="K1522" s="1" cm="1">
        <f t="array" ref="K1522">SUMPRODUCT(("T_TW-BEVELC-S4"=[1]OUT_TransportEnergyCons!$A$3:$A$1000)*1,("var_fout"=[1]OUT_TransportEnergyCons!$B$3:$B$1000)*1,ISNUMBER(SEARCH("TPTWL",[1]OUT_TransportEnergyCons!$C$3:$C$1000))*1,[1]OUT_TransportEnergyCons!I$3:I$1000)</f>
        <v>9.5504135330813059E-4</v>
      </c>
      <c r="L1522" s="1" cm="1">
        <f t="array" ref="L1522">SUMPRODUCT(("T_TW-BEVELC-S4"=[1]OUT_TransportEnergyCons!$A$3:$A$1000)*1,("var_fout"=[1]OUT_TransportEnergyCons!$B$3:$B$1000)*1,ISNUMBER(SEARCH("TPTWL",[1]OUT_TransportEnergyCons!$C$3:$C$1000))*1,[1]OUT_TransportEnergyCons!J$3:J$1000)</f>
        <v>1.0397233709241447E-3</v>
      </c>
      <c r="M1522" s="1" cm="1">
        <f t="array" ref="M1522">SUMPRODUCT(("T_TW-BEVELC-S4"=[1]OUT_TransportEnergyCons!$A$3:$A$1000)*1,("var_fout"=[1]OUT_TransportEnergyCons!$B$3:$B$1000)*1,ISNUMBER(SEARCH("TPTWL",[1]OUT_TransportEnergyCons!$C$3:$C$1000))*1,[1]OUT_TransportEnergyCons!K$3:K$1000)</f>
        <v>1.1641695475522206E-3</v>
      </c>
      <c r="N1522" s="1" cm="1">
        <f t="array" ref="N1522">SUMPRODUCT(("T_TW-BEVELC-S4"=[1]OUT_TransportEnergyCons!$A$3:$A$1000)*1,("var_fout"=[1]OUT_TransportEnergyCons!$B$3:$B$1000)*1,ISNUMBER(SEARCH("TPTWL",[1]OUT_TransportEnergyCons!$C$3:$C$1000))*1,[1]OUT_TransportEnergyCons!L$3:L$1000)</f>
        <v>1.3971041807627918E-3</v>
      </c>
      <c r="O1522" s="1" cm="1">
        <f t="array" ref="O1522">SUMPRODUCT(("T_TW-BEVELC-S4"=[1]OUT_TransportEnergyCons!$A$3:$A$1000)*1,("var_fout"=[1]OUT_TransportEnergyCons!$B$3:$B$1000)*1,ISNUMBER(SEARCH("TPTWL",[1]OUT_TransportEnergyCons!$C$3:$C$1000))*1,[1]OUT_TransportEnergyCons!M$3:M$1000)</f>
        <v>1.6450973868539567E-3</v>
      </c>
      <c r="P1522" s="1" cm="1">
        <f t="array" ref="P1522">SUMPRODUCT(("T_TW-BEVELC-S4"=[1]OUT_TransportEnergyCons!$A$3:$A$1000)*1,("var_fout"=[1]OUT_TransportEnergyCons!$B$3:$B$1000)*1,ISNUMBER(SEARCH("TPTWL",[1]OUT_TransportEnergyCons!$C$3:$C$1000))*1,[1]OUT_TransportEnergyCons!N$3:N$1000)</f>
        <v>1.8250159338642738E-3</v>
      </c>
      <c r="Q1522" s="1" cm="1">
        <f t="array" ref="Q1522">SUMPRODUCT(("T_TW-BEVELC-S4"=[1]OUT_TransportEnergyCons!$A$3:$A$1000)*1,("var_fout"=[1]OUT_TransportEnergyCons!$B$3:$B$1000)*1,ISNUMBER(SEARCH("TPTWL",[1]OUT_TransportEnergyCons!$C$3:$C$1000))*1,[1]OUT_TransportEnergyCons!O$3:O$1000)</f>
        <v>2.2304437093421236E-3</v>
      </c>
      <c r="S1522" s="3"/>
    </row>
    <row r="1523" spans="2:19" x14ac:dyDescent="0.5">
      <c r="B1523" t="str">
        <f t="shared" si="1716"/>
        <v>SPS1</v>
      </c>
      <c r="C1523" t="str">
        <f t="shared" si="1717"/>
        <v>CH</v>
      </c>
      <c r="D1523" t="s">
        <v>1508</v>
      </c>
      <c r="E1523" t="str">
        <f t="shared" si="1718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1.4590679429605326E-4</v>
      </c>
      <c r="J1523" s="1" cm="1">
        <f t="array" ref="J1523">SUMPRODUCT(("T_TW-fclh2o-S1"=[1]OUT_TransportEnergyCons!$A$3:$A$1000)*1,("var_fout"=[1]OUT_TransportEnergyCons!$B$3:$B$1000)*1,ISNUMBER(SEARCH("TPTWL",[1]OUT_TransportEnergyCons!$C$3:$C$1000))*1,[1]OUT_TransportEnergyCons!H$3:H$1000)</f>
        <v>4.1249739616811183E-4</v>
      </c>
      <c r="K1523" s="1" cm="1">
        <f t="array" ref="K1523">SUMPRODUCT(("T_TW-fclh2o-S1"=[1]OUT_TransportEnergyCons!$A$3:$A$1000)*1,("var_fout"=[1]OUT_TransportEnergyCons!$B$3:$B$1000)*1,ISNUMBER(SEARCH("TPTWL",[1]OUT_TransportEnergyCons!$C$3:$C$1000))*1,[1]OUT_TransportEnergyCons!I$3:I$1000)</f>
        <v>6.3763360285420034E-4</v>
      </c>
      <c r="L1523" s="1" cm="1">
        <f t="array" ref="L1523">SUMPRODUCT(("T_TW-fclh2o-S1"=[1]OUT_TransportEnergyCons!$A$3:$A$1000)*1,("var_fout"=[1]OUT_TransportEnergyCons!$B$3:$B$1000)*1,ISNUMBER(SEARCH("TPTWL",[1]OUT_TransportEnergyCons!$C$3:$C$1000))*1,[1]OUT_TransportEnergyCons!J$3:J$1000)</f>
        <v>9.9729568127831245E-4</v>
      </c>
      <c r="M1523" s="1" cm="1">
        <f t="array" ref="M1523">SUMPRODUCT(("T_TW-fclh2o-S1"=[1]OUT_TransportEnergyCons!$A$3:$A$1000)*1,("var_fout"=[1]OUT_TransportEnergyCons!$B$3:$B$1000)*1,ISNUMBER(SEARCH("TPTWL",[1]OUT_TransportEnergyCons!$C$3:$C$1000))*1,[1]OUT_TransportEnergyCons!K$3:K$1000)</f>
        <v>1.535919061639414E-3</v>
      </c>
      <c r="N1523" s="1" cm="1">
        <f t="array" ref="N1523">SUMPRODUCT(("T_TW-fclh2o-S1"=[1]OUT_TransportEnergyCons!$A$3:$A$1000)*1,("var_fout"=[1]OUT_TransportEnergyCons!$B$3:$B$1000)*1,ISNUMBER(SEARCH("TPTWL",[1]OUT_TransportEnergyCons!$C$3:$C$1000))*1,[1]OUT_TransportEnergyCons!L$3:L$1000)</f>
        <v>2.1333344264215749E-3</v>
      </c>
      <c r="O1523" s="1" cm="1">
        <f t="array" ref="O1523">SUMPRODUCT(("T_TW-fclh2o-S1"=[1]OUT_TransportEnergyCons!$A$3:$A$1000)*1,("var_fout"=[1]OUT_TransportEnergyCons!$B$3:$B$1000)*1,ISNUMBER(SEARCH("TPTWL",[1]OUT_TransportEnergyCons!$C$3:$C$1000))*1,[1]OUT_TransportEnergyCons!M$3:M$1000)</f>
        <v>2.6335382526642532E-3</v>
      </c>
      <c r="P1523" s="1" cm="1">
        <f t="array" ref="P1523">SUMPRODUCT(("T_TW-fclh2o-S1"=[1]OUT_TransportEnergyCons!$A$3:$A$1000)*1,("var_fout"=[1]OUT_TransportEnergyCons!$B$3:$B$1000)*1,ISNUMBER(SEARCH("TPTWL",[1]OUT_TransportEnergyCons!$C$3:$C$1000))*1,[1]OUT_TransportEnergyCons!N$3:N$1000)</f>
        <v>2.5319427642042681E-3</v>
      </c>
      <c r="Q1523" s="1" cm="1">
        <f t="array" ref="Q1523">SUMPRODUCT(("T_TW-fclh2o-S1"=[1]OUT_TransportEnergyCons!$A$3:$A$1000)*1,("var_fout"=[1]OUT_TransportEnergyCons!$B$3:$B$1000)*1,ISNUMBER(SEARCH("TPTWL",[1]OUT_TransportEnergyCons!$C$3:$C$1000))*1,[1]OUT_TransportEnergyCons!O$3:O$1000)</f>
        <v>3.615514606174583E-3</v>
      </c>
      <c r="S1523" s="3"/>
    </row>
    <row r="1524" spans="2:19" x14ac:dyDescent="0.5">
      <c r="B1524" t="str">
        <f t="shared" si="1716"/>
        <v>SPS1</v>
      </c>
      <c r="C1524" t="str">
        <f t="shared" si="1717"/>
        <v>CH</v>
      </c>
      <c r="D1524" t="s">
        <v>1509</v>
      </c>
      <c r="E1524" t="str">
        <f t="shared" si="1718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7.4061132337861435E-5</v>
      </c>
      <c r="J1524" s="1" cm="1">
        <f t="array" ref="J1524">SUMPRODUCT(("T_TW-fclh2o-S2"=[1]OUT_TransportEnergyCons!$A$3:$A$1000)*1,("var_fout"=[1]OUT_TransportEnergyCons!$B$3:$B$1000)*1,ISNUMBER(SEARCH("TPTWL",[1]OUT_TransportEnergyCons!$C$3:$C$1000))*1,[1]OUT_TransportEnergyCons!H$3:H$1000)</f>
        <v>1.9491821625023932E-4</v>
      </c>
      <c r="K1524" s="1" cm="1">
        <f t="array" ref="K1524">SUMPRODUCT(("T_TW-fclh2o-S2"=[1]OUT_TransportEnergyCons!$A$3:$A$1000)*1,("var_fout"=[1]OUT_TransportEnergyCons!$B$3:$B$1000)*1,ISNUMBER(SEARCH("TPTWL",[1]OUT_TransportEnergyCons!$C$3:$C$1000))*1,[1]OUT_TransportEnergyCons!I$3:I$1000)</f>
        <v>3.1718527489967328E-4</v>
      </c>
      <c r="L1524" s="1" cm="1">
        <f t="array" ref="L1524">SUMPRODUCT(("T_TW-fclh2o-S2"=[1]OUT_TransportEnergyCons!$A$3:$A$1000)*1,("var_fout"=[1]OUT_TransportEnergyCons!$B$3:$B$1000)*1,ISNUMBER(SEARCH("TPTWL",[1]OUT_TransportEnergyCons!$C$3:$C$1000))*1,[1]OUT_TransportEnergyCons!J$3:J$1000)</f>
        <v>4.5125801087742543E-4</v>
      </c>
      <c r="M1524" s="1" cm="1">
        <f t="array" ref="M1524">SUMPRODUCT(("T_TW-fclh2o-S2"=[1]OUT_TransportEnergyCons!$A$3:$A$1000)*1,("var_fout"=[1]OUT_TransportEnergyCons!$B$3:$B$1000)*1,ISNUMBER(SEARCH("TPTWL",[1]OUT_TransportEnergyCons!$C$3:$C$1000))*1,[1]OUT_TransportEnergyCons!K$3:K$1000)</f>
        <v>6.342052712573125E-4</v>
      </c>
      <c r="N1524" s="1" cm="1">
        <f t="array" ref="N1524">SUMPRODUCT(("T_TW-fclh2o-S2"=[1]OUT_TransportEnergyCons!$A$3:$A$1000)*1,("var_fout"=[1]OUT_TransportEnergyCons!$B$3:$B$1000)*1,ISNUMBER(SEARCH("TPTWL",[1]OUT_TransportEnergyCons!$C$3:$C$1000))*1,[1]OUT_TransportEnergyCons!L$3:L$1000)</f>
        <v>7.3831617503925787E-4</v>
      </c>
      <c r="O1524" s="1" cm="1">
        <f t="array" ref="O1524">SUMPRODUCT(("T_TW-fclh2o-S2"=[1]OUT_TransportEnergyCons!$A$3:$A$1000)*1,("var_fout"=[1]OUT_TransportEnergyCons!$B$3:$B$1000)*1,ISNUMBER(SEARCH("TPTWL",[1]OUT_TransportEnergyCons!$C$3:$C$1000))*1,[1]OUT_TransportEnergyCons!M$3:M$1000)</f>
        <v>9.838158548242837E-4</v>
      </c>
      <c r="P1524" s="1" cm="1">
        <f t="array" ref="P1524">SUMPRODUCT(("T_TW-fclh2o-S2"=[1]OUT_TransportEnergyCons!$A$3:$A$1000)*1,("var_fout"=[1]OUT_TransportEnergyCons!$B$3:$B$1000)*1,ISNUMBER(SEARCH("TPTWL",[1]OUT_TransportEnergyCons!$C$3:$C$1000))*1,[1]OUT_TransportEnergyCons!N$3:N$1000)</f>
        <v>9.5535131524194258E-4</v>
      </c>
      <c r="Q1524" s="1" cm="1">
        <f t="array" ref="Q1524">SUMPRODUCT(("T_TW-fclh2o-S2"=[1]OUT_TransportEnergyCons!$A$3:$A$1000)*1,("var_fout"=[1]OUT_TransportEnergyCons!$B$3:$B$1000)*1,ISNUMBER(SEARCH("TPTWL",[1]OUT_TransportEnergyCons!$C$3:$C$1000))*1,[1]OUT_TransportEnergyCons!O$3:O$1000)</f>
        <v>1.3967291101516146E-3</v>
      </c>
      <c r="S1524" s="3"/>
    </row>
    <row r="1525" spans="2:19" x14ac:dyDescent="0.5">
      <c r="B1525" t="str">
        <f t="shared" si="1716"/>
        <v>SPS1</v>
      </c>
      <c r="C1525" t="str">
        <f t="shared" si="1717"/>
        <v>CH</v>
      </c>
      <c r="D1525" t="s">
        <v>1510</v>
      </c>
      <c r="E1525" t="str">
        <f t="shared" si="1718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4.3137353509997016E-5</v>
      </c>
      <c r="J1525" s="1" cm="1">
        <f t="array" ref="J1525">SUMPRODUCT(("T_TW-fclh2o-S3"=[1]OUT_TransportEnergyCons!$A$3:$A$1000)*1,("var_fout"=[1]OUT_TransportEnergyCons!$B$3:$B$1000)*1,ISNUMBER(SEARCH("TPTWL",[1]OUT_TransportEnergyCons!$C$3:$C$1000))*1,[1]OUT_TransportEnergyCons!H$3:H$1000)</f>
        <v>1.2665614758970261E-4</v>
      </c>
      <c r="K1525" s="1" cm="1">
        <f t="array" ref="K1525">SUMPRODUCT(("T_TW-fclh2o-S3"=[1]OUT_TransportEnergyCons!$A$3:$A$1000)*1,("var_fout"=[1]OUT_TransportEnergyCons!$B$3:$B$1000)*1,ISNUMBER(SEARCH("TPTWL",[1]OUT_TransportEnergyCons!$C$3:$C$1000))*1,[1]OUT_TransportEnergyCons!I$3:I$1000)</f>
        <v>2.0852800824104658E-4</v>
      </c>
      <c r="L1525" s="1" cm="1">
        <f t="array" ref="L1525">SUMPRODUCT(("T_TW-fclh2o-S3"=[1]OUT_TransportEnergyCons!$A$3:$A$1000)*1,("var_fout"=[1]OUT_TransportEnergyCons!$B$3:$B$1000)*1,ISNUMBER(SEARCH("TPTWL",[1]OUT_TransportEnergyCons!$C$3:$C$1000))*1,[1]OUT_TransportEnergyCons!J$3:J$1000)</f>
        <v>3.0237116369320142E-4</v>
      </c>
      <c r="M1525" s="1" cm="1">
        <f t="array" ref="M1525">SUMPRODUCT(("T_TW-fclh2o-S3"=[1]OUT_TransportEnergyCons!$A$3:$A$1000)*1,("var_fout"=[1]OUT_TransportEnergyCons!$B$3:$B$1000)*1,ISNUMBER(SEARCH("TPTWL",[1]OUT_TransportEnergyCons!$C$3:$C$1000))*1,[1]OUT_TransportEnergyCons!K$3:K$1000)</f>
        <v>4.2649334378376443E-4</v>
      </c>
      <c r="N1525" s="1" cm="1">
        <f t="array" ref="N1525">SUMPRODUCT(("T_TW-fclh2o-S3"=[1]OUT_TransportEnergyCons!$A$3:$A$1000)*1,("var_fout"=[1]OUT_TransportEnergyCons!$B$3:$B$1000)*1,ISNUMBER(SEARCH("TPTWL",[1]OUT_TransportEnergyCons!$C$3:$C$1000))*1,[1]OUT_TransportEnergyCons!L$3:L$1000)</f>
        <v>5.190640783245238E-4</v>
      </c>
      <c r="O1525" s="1" cm="1">
        <f t="array" ref="O1525">SUMPRODUCT(("T_TW-fclh2o-S3"=[1]OUT_TransportEnergyCons!$A$3:$A$1000)*1,("var_fout"=[1]OUT_TransportEnergyCons!$B$3:$B$1000)*1,ISNUMBER(SEARCH("TPTWL",[1]OUT_TransportEnergyCons!$C$3:$C$1000))*1,[1]OUT_TransportEnergyCons!M$3:M$1000)</f>
        <v>6.3281714230076864E-4</v>
      </c>
      <c r="P1525" s="1" cm="1">
        <f t="array" ref="P1525">SUMPRODUCT(("T_TW-fclh2o-S3"=[1]OUT_TransportEnergyCons!$A$3:$A$1000)*1,("var_fout"=[1]OUT_TransportEnergyCons!$B$3:$B$1000)*1,ISNUMBER(SEARCH("TPTWL",[1]OUT_TransportEnergyCons!$C$3:$C$1000))*1,[1]OUT_TransportEnergyCons!N$3:N$1000)</f>
        <v>7.3947515842767209E-4</v>
      </c>
      <c r="Q1525" s="1" cm="1">
        <f t="array" ref="Q1525">SUMPRODUCT(("T_TW-fclh2o-S3"=[1]OUT_TransportEnergyCons!$A$3:$A$1000)*1,("var_fout"=[1]OUT_TransportEnergyCons!$B$3:$B$1000)*1,ISNUMBER(SEARCH("TPTWL",[1]OUT_TransportEnergyCons!$C$3:$C$1000))*1,[1]OUT_TransportEnergyCons!O$3:O$1000)</f>
        <v>9.1789480508929042E-4</v>
      </c>
      <c r="S1525" s="3"/>
    </row>
    <row r="1526" spans="2:19" x14ac:dyDescent="0.5">
      <c r="B1526" t="str">
        <f t="shared" si="1716"/>
        <v>SPS1</v>
      </c>
      <c r="C1526" t="str">
        <f t="shared" si="1717"/>
        <v>CH</v>
      </c>
      <c r="D1526" t="s">
        <v>1511</v>
      </c>
      <c r="E1526" t="str">
        <f t="shared" si="1718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2.6091846690497293E-5</v>
      </c>
      <c r="J1526" s="1" cm="1">
        <f t="array" ref="J1526">SUMPRODUCT(("T_TW-fclh2o-S4"=[1]OUT_TransportEnergyCons!$A$3:$A$1000)*1,("var_fout"=[1]OUT_TransportEnergyCons!$B$3:$B$1000)*1,ISNUMBER(SEARCH("TPTWL",[1]OUT_TransportEnergyCons!$C$3:$C$1000))*1,[1]OUT_TransportEnergyCons!H$3:H$1000)</f>
        <v>6.7105710761805506E-5</v>
      </c>
      <c r="K1526" s="1" cm="1">
        <f t="array" ref="K1526">SUMPRODUCT(("T_TW-fclh2o-S4"=[1]OUT_TransportEnergyCons!$A$3:$A$1000)*1,("var_fout"=[1]OUT_TransportEnergyCons!$B$3:$B$1000)*1,ISNUMBER(SEARCH("TPTWL",[1]OUT_TransportEnergyCons!$C$3:$C$1000))*1,[1]OUT_TransportEnergyCons!I$3:I$1000)</f>
        <v>1.1706955148711944E-4</v>
      </c>
      <c r="L1526" s="1" cm="1">
        <f t="array" ref="L1526">SUMPRODUCT(("T_TW-fclh2o-S4"=[1]OUT_TransportEnergyCons!$A$3:$A$1000)*1,("var_fout"=[1]OUT_TransportEnergyCons!$B$3:$B$1000)*1,ISNUMBER(SEARCH("TPTWL",[1]OUT_TransportEnergyCons!$C$3:$C$1000))*1,[1]OUT_TransportEnergyCons!J$3:J$1000)</f>
        <v>1.8673027574166994E-4</v>
      </c>
      <c r="M1526" s="1" cm="1">
        <f t="array" ref="M1526">SUMPRODUCT(("T_TW-fclh2o-S4"=[1]OUT_TransportEnergyCons!$A$3:$A$1000)*1,("var_fout"=[1]OUT_TransportEnergyCons!$B$3:$B$1000)*1,ISNUMBER(SEARCH("TPTWL",[1]OUT_TransportEnergyCons!$C$3:$C$1000))*1,[1]OUT_TransportEnergyCons!K$3:K$1000)</f>
        <v>2.9148704618124508E-4</v>
      </c>
      <c r="N1526" s="1" cm="1">
        <f t="array" ref="N1526">SUMPRODUCT(("T_TW-fclh2o-S4"=[1]OUT_TransportEnergyCons!$A$3:$A$1000)*1,("var_fout"=[1]OUT_TransportEnergyCons!$B$3:$B$1000)*1,ISNUMBER(SEARCH("TPTWL",[1]OUT_TransportEnergyCons!$C$3:$C$1000))*1,[1]OUT_TransportEnergyCons!L$3:L$1000)</f>
        <v>3.6216959950196648E-4</v>
      </c>
      <c r="O1526" s="1" cm="1">
        <f t="array" ref="O1526">SUMPRODUCT(("T_TW-fclh2o-S4"=[1]OUT_TransportEnergyCons!$A$3:$A$1000)*1,("var_fout"=[1]OUT_TransportEnergyCons!$B$3:$B$1000)*1,ISNUMBER(SEARCH("TPTWL",[1]OUT_TransportEnergyCons!$C$3:$C$1000))*1,[1]OUT_TransportEnergyCons!M$3:M$1000)</f>
        <v>4.536855628438225E-4</v>
      </c>
      <c r="P1526" s="1" cm="1">
        <f t="array" ref="P1526">SUMPRODUCT(("T_TW-fclh2o-S4"=[1]OUT_TransportEnergyCons!$A$3:$A$1000)*1,("var_fout"=[1]OUT_TransportEnergyCons!$B$3:$B$1000)*1,ISNUMBER(SEARCH("TPTWL",[1]OUT_TransportEnergyCons!$C$3:$C$1000))*1,[1]OUT_TransportEnergyCons!N$3:N$1000)</f>
        <v>5.2148934945643079E-4</v>
      </c>
      <c r="Q1526" s="1" cm="1">
        <f t="array" ref="Q1526">SUMPRODUCT(("T_TW-fclh2o-S4"=[1]OUT_TransportEnergyCons!$A$3:$A$1000)*1,("var_fout"=[1]OUT_TransportEnergyCons!$B$3:$B$1000)*1,ISNUMBER(SEARCH("TPTWL",[1]OUT_TransportEnergyCons!$C$3:$C$1000))*1,[1]OUT_TransportEnergyCons!O$3:O$1000)</f>
        <v>6.7579502305674876E-4</v>
      </c>
      <c r="S1526" s="3"/>
    </row>
    <row r="1527" spans="2:19" x14ac:dyDescent="0.5">
      <c r="B1527" t="str">
        <f t="shared" si="1716"/>
        <v>SPS1</v>
      </c>
      <c r="C1527" t="str">
        <f t="shared" si="1717"/>
        <v>CH</v>
      </c>
      <c r="D1527" t="s">
        <v>1512</v>
      </c>
      <c r="E1527" t="str">
        <f t="shared" si="1718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1.5297293710858513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0.56144543241299238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0.56174822544858727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0.38590372100440229</v>
      </c>
      <c r="J1527" s="1" cm="1">
        <f t="array" ref="J1527">SUMPRODUCT(("T_TW-ICEGSLEXT"=[1]OUT_TransportEnergyCons!$A$3:$A$1000)*1,("var_fout"=[1]OUT_TransportEnergyCons!$B$3:$B$1000)*1,ISNUMBER(SEARCH("TPTWL",[1]OUT_TransportEnergyCons!$C$3:$C$1000))*1,[1]OUT_TransportEnergyCons!H$3:H$1000)</f>
        <v>0</v>
      </c>
      <c r="K1527" s="1" cm="1">
        <f t="array" ref="K1527">SUMPRODUCT(("T_TW-ICEGSLEXT"=[1]OUT_TransportEnergyCons!$A$3:$A$1000)*1,("var_fout"=[1]OUT_TransportEnergyCons!$B$3:$B$1000)*1,ISNUMBER(SEARCH("TPTWL",[1]OUT_TransportEnergyCons!$C$3:$C$1000))*1,[1]OUT_TransportEnergyCons!I$3:I$1000)</f>
        <v>0</v>
      </c>
      <c r="L1527" s="1" cm="1">
        <f t="array" ref="L1527">SUMPRODUCT(("T_TW-ICEGSLEXT"=[1]OUT_TransportEnergyCons!$A$3:$A$1000)*1,("var_fout"=[1]OUT_TransportEnergyCons!$B$3:$B$1000)*1,ISNUMBER(SEARCH("TPTWL",[1]OUT_TransportEnergyCons!$C$3:$C$1000))*1,[1]OUT_TransportEnergyCons!J$3:J$1000)</f>
        <v>0</v>
      </c>
      <c r="M1527" s="1" cm="1">
        <f t="array" ref="M1527">SUMPRODUCT(("T_TW-ICEGSLEXT"=[1]OUT_TransportEnergyCons!$A$3:$A$1000)*1,("var_fout"=[1]OUT_TransportEnergyCons!$B$3:$B$1000)*1,ISNUMBER(SEARCH("TPTWL",[1]OUT_TransportEnergyCons!$C$3:$C$1000))*1,[1]OUT_TransportEnergyCons!K$3:K$1000)</f>
        <v>0</v>
      </c>
      <c r="N1527" s="1" cm="1">
        <f t="array" ref="N1527">SUMPRODUCT(("T_TW-ICEGSLEXT"=[1]OUT_TransportEnergyCons!$A$3:$A$1000)*1,("var_fout"=[1]OUT_TransportEnergyCons!$B$3:$B$1000)*1,ISNUMBER(SEARCH("TPTWL",[1]OUT_TransportEnergyCons!$C$3:$C$1000))*1,[1]OUT_TransportEnergyCons!L$3:L$1000)</f>
        <v>0</v>
      </c>
      <c r="O1527" s="1" cm="1">
        <f t="array" ref="O1527">SUMPRODUCT(("T_TW-ICEGSLEXT"=[1]OUT_TransportEnergyCons!$A$3:$A$1000)*1,("var_fout"=[1]OUT_TransportEnergyCons!$B$3:$B$1000)*1,ISNUMBER(SEARCH("TPTWL",[1]OUT_TransportEnergyCons!$C$3:$C$1000))*1,[1]OUT_TransportEnergyCons!M$3:M$1000)</f>
        <v>0</v>
      </c>
      <c r="P1527" s="1" cm="1">
        <f t="array" ref="P1527">SUMPRODUCT(("T_TW-ICEGSLEXT"=[1]OUT_TransportEnergyCons!$A$3:$A$1000)*1,("var_fout"=[1]OUT_TransportEnergyCons!$B$3:$B$1000)*1,ISNUMBER(SEARCH("TPTWL",[1]OUT_TransportEnergyCons!$C$3:$C$1000))*1,[1]OUT_TransportEnergyCons!N$3:N$1000)</f>
        <v>0</v>
      </c>
      <c r="Q1527" s="1" cm="1">
        <f t="array" ref="Q1527">SUMPRODUCT(("T_TW-ICEGSLEXT"=[1]OUT_TransportEnergyCons!$A$3:$A$1000)*1,("var_fout"=[1]OUT_TransportEnergyCons!$B$3:$B$1000)*1,ISNUMBER(SEARCH("TPTWL",[1]OUT_TransportEnergyCons!$C$3:$C$1000))*1,[1]OUT_TransportEnergyCons!O$3:O$1000)</f>
        <v>0</v>
      </c>
      <c r="S1527" s="3"/>
    </row>
    <row r="1528" spans="2:19" x14ac:dyDescent="0.5">
      <c r="B1528" t="str">
        <f t="shared" si="1716"/>
        <v>SPS1</v>
      </c>
      <c r="C1528" t="str">
        <f t="shared" si="1717"/>
        <v>CH</v>
      </c>
      <c r="D1528" t="s">
        <v>1513</v>
      </c>
      <c r="E1528" t="str">
        <f t="shared" si="1718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8.4370820290489729E-2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0.95339467351729534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0.96414728095236069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1.2110753721031817</v>
      </c>
      <c r="J1528" s="1" cm="1">
        <f t="array" ref="J1528">SUMPRODUCT(("T_TW-icegsl-S1"=[1]OUT_TransportEnergyCons!$A$3:$A$1000)*1,("var_fout"=[1]OUT_TransportEnergyCons!$B$3:$B$1000)*1,ISNUMBER(SEARCH("TPTWL",[1]OUT_TransportEnergyCons!$C$3:$C$1000))*1,[1]OUT_TransportEnergyCons!H$3:H$1000)</f>
        <v>1.7211371720999782</v>
      </c>
      <c r="K1528" s="1" cm="1">
        <f t="array" ref="K1528">SUMPRODUCT(("T_TW-icegsl-S1"=[1]OUT_TransportEnergyCons!$A$3:$A$1000)*1,("var_fout"=[1]OUT_TransportEnergyCons!$B$3:$B$1000)*1,ISNUMBER(SEARCH("TPTWL",[1]OUT_TransportEnergyCons!$C$3:$C$1000))*1,[1]OUT_TransportEnergyCons!I$3:I$1000)</f>
        <v>1.8353373685480905</v>
      </c>
      <c r="L1528" s="1" cm="1">
        <f t="array" ref="L1528">SUMPRODUCT(("T_TW-icegsl-S1"=[1]OUT_TransportEnergyCons!$A$3:$A$1000)*1,("var_fout"=[1]OUT_TransportEnergyCons!$B$3:$B$1000)*1,ISNUMBER(SEARCH("TPTWL",[1]OUT_TransportEnergyCons!$C$3:$C$1000))*1,[1]OUT_TransportEnergyCons!J$3:J$1000)</f>
        <v>1.9109077432712114</v>
      </c>
      <c r="M1528" s="1" cm="1">
        <f t="array" ref="M1528">SUMPRODUCT(("T_TW-icegsl-S1"=[1]OUT_TransportEnergyCons!$A$3:$A$1000)*1,("var_fout"=[1]OUT_TransportEnergyCons!$B$3:$B$1000)*1,ISNUMBER(SEARCH("TPTWL",[1]OUT_TransportEnergyCons!$C$3:$C$1000))*1,[1]OUT_TransportEnergyCons!K$3:K$1000)</f>
        <v>1.8962188919444567</v>
      </c>
      <c r="N1528" s="1" cm="1">
        <f t="array" ref="N1528">SUMPRODUCT(("T_TW-icegsl-S1"=[1]OUT_TransportEnergyCons!$A$3:$A$1000)*1,("var_fout"=[1]OUT_TransportEnergyCons!$B$3:$B$1000)*1,ISNUMBER(SEARCH("TPTWL",[1]OUT_TransportEnergyCons!$C$3:$C$1000))*1,[1]OUT_TransportEnergyCons!L$3:L$1000)</f>
        <v>1.8431875573631575</v>
      </c>
      <c r="O1528" s="1" cm="1">
        <f t="array" ref="O1528">SUMPRODUCT(("T_TW-icegsl-S1"=[1]OUT_TransportEnergyCons!$A$3:$A$1000)*1,("var_fout"=[1]OUT_TransportEnergyCons!$B$3:$B$1000)*1,ISNUMBER(SEARCH("TPTWL",[1]OUT_TransportEnergyCons!$C$3:$C$1000))*1,[1]OUT_TransportEnergyCons!M$3:M$1000)</f>
        <v>1.7915488052080293</v>
      </c>
      <c r="P1528" s="1" cm="1">
        <f t="array" ref="P1528">SUMPRODUCT(("T_TW-icegsl-S1"=[1]OUT_TransportEnergyCons!$A$3:$A$1000)*1,("var_fout"=[1]OUT_TransportEnergyCons!$B$3:$B$1000)*1,ISNUMBER(SEARCH("TPTWL",[1]OUT_TransportEnergyCons!$C$3:$C$1000))*1,[1]OUT_TransportEnergyCons!N$3:N$1000)</f>
        <v>1.7587830538179063</v>
      </c>
      <c r="Q1528" s="1" cm="1">
        <f t="array" ref="Q1528">SUMPRODUCT(("T_TW-icegsl-S1"=[1]OUT_TransportEnergyCons!$A$3:$A$1000)*1,("var_fout"=[1]OUT_TransportEnergyCons!$B$3:$B$1000)*1,ISNUMBER(SEARCH("TPTWL",[1]OUT_TransportEnergyCons!$C$3:$C$1000))*1,[1]OUT_TransportEnergyCons!O$3:O$1000)</f>
        <v>1.7103052439824595</v>
      </c>
      <c r="S1528" s="3"/>
    </row>
    <row r="1529" spans="2:19" x14ac:dyDescent="0.5">
      <c r="B1529" t="str">
        <f t="shared" si="1716"/>
        <v>SPS1</v>
      </c>
      <c r="C1529" t="str">
        <f t="shared" si="1717"/>
        <v>CH</v>
      </c>
      <c r="D1529" t="s">
        <v>1514</v>
      </c>
      <c r="E1529" t="str">
        <f t="shared" si="1718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0.12366664944945829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0.17999159135320852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0.16971757502582663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0.11287544056485693</v>
      </c>
      <c r="J1529" s="1" cm="1">
        <f t="array" ref="J1529">SUMPRODUCT(("T_TW-icegsl-S2"=[1]OUT_TransportEnergyCons!$A$3:$A$1000)*1,("var_fout"=[1]OUT_TransportEnergyCons!$B$3:$B$1000)*1,ISNUMBER(SEARCH("TPTWL",[1]OUT_TransportEnergyCons!$C$3:$C$1000))*1,[1]OUT_TransportEnergyCons!H$3:H$1000)</f>
        <v>1.1483186854614E-2</v>
      </c>
      <c r="K1529" s="1" cm="1">
        <f t="array" ref="K1529">SUMPRODUCT(("T_TW-icegsl-S2"=[1]OUT_TransportEnergyCons!$A$3:$A$1000)*1,("var_fout"=[1]OUT_TransportEnergyCons!$B$3:$B$1000)*1,ISNUMBER(SEARCH("TPTWL",[1]OUT_TransportEnergyCons!$C$3:$C$1000))*1,[1]OUT_TransportEnergyCons!I$3:I$1000)</f>
        <v>8.8446731627671576E-4</v>
      </c>
      <c r="L1529" s="1" cm="1">
        <f t="array" ref="L1529">SUMPRODUCT(("T_TW-icegsl-S2"=[1]OUT_TransportEnergyCons!$A$3:$A$1000)*1,("var_fout"=[1]OUT_TransportEnergyCons!$B$3:$B$1000)*1,ISNUMBER(SEARCH("TPTWL",[1]OUT_TransportEnergyCons!$C$3:$C$1000))*1,[1]OUT_TransportEnergyCons!J$3:J$1000)</f>
        <v>1.0863246422847747E-3</v>
      </c>
      <c r="M1529" s="1" cm="1">
        <f t="array" ref="M1529">SUMPRODUCT(("T_TW-icegsl-S2"=[1]OUT_TransportEnergyCons!$A$3:$A$1000)*1,("var_fout"=[1]OUT_TransportEnergyCons!$B$3:$B$1000)*1,ISNUMBER(SEARCH("TPTWL",[1]OUT_TransportEnergyCons!$C$3:$C$1000))*1,[1]OUT_TransportEnergyCons!K$3:K$1000)</f>
        <v>1.3095443519004618E-3</v>
      </c>
      <c r="N1529" s="1" cm="1">
        <f t="array" ref="N1529">SUMPRODUCT(("T_TW-icegsl-S2"=[1]OUT_TransportEnergyCons!$A$3:$A$1000)*1,("var_fout"=[1]OUT_TransportEnergyCons!$B$3:$B$1000)*1,ISNUMBER(SEARCH("TPTWL",[1]OUT_TransportEnergyCons!$C$3:$C$1000))*1,[1]OUT_TransportEnergyCons!L$3:L$1000)</f>
        <v>1.3254911180232989E-3</v>
      </c>
      <c r="O1529" s="1" cm="1">
        <f t="array" ref="O1529">SUMPRODUCT(("T_TW-icegsl-S2"=[1]OUT_TransportEnergyCons!$A$3:$A$1000)*1,("var_fout"=[1]OUT_TransportEnergyCons!$B$3:$B$1000)*1,ISNUMBER(SEARCH("TPTWL",[1]OUT_TransportEnergyCons!$C$3:$C$1000))*1,[1]OUT_TransportEnergyCons!M$3:M$1000)</f>
        <v>1.684223943509685E-3</v>
      </c>
      <c r="P1529" s="1" cm="1">
        <f t="array" ref="P1529">SUMPRODUCT(("T_TW-icegsl-S2"=[1]OUT_TransportEnergyCons!$A$3:$A$1000)*1,("var_fout"=[1]OUT_TransportEnergyCons!$B$3:$B$1000)*1,ISNUMBER(SEARCH("TPTWL",[1]OUT_TransportEnergyCons!$C$3:$C$1000))*1,[1]OUT_TransportEnergyCons!N$3:N$1000)</f>
        <v>1.5964771220666721E-3</v>
      </c>
      <c r="Q1529" s="1" cm="1">
        <f t="array" ref="Q1529">SUMPRODUCT(("T_TW-icegsl-S2"=[1]OUT_TransportEnergyCons!$A$3:$A$1000)*1,("var_fout"=[1]OUT_TransportEnergyCons!$B$3:$B$1000)*1,ISNUMBER(SEARCH("TPTWL",[1]OUT_TransportEnergyCons!$C$3:$C$1000))*1,[1]OUT_TransportEnergyCons!O$3:O$1000)</f>
        <v>2.3163071293153836E-3</v>
      </c>
      <c r="S1529" s="3"/>
    </row>
    <row r="1530" spans="2:19" x14ac:dyDescent="0.5">
      <c r="B1530" t="str">
        <f t="shared" si="1716"/>
        <v>SPS1</v>
      </c>
      <c r="C1530" t="str">
        <f t="shared" si="1717"/>
        <v>CH</v>
      </c>
      <c r="D1530" t="s">
        <v>1515</v>
      </c>
      <c r="E1530" t="str">
        <f t="shared" si="1718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0.11931696737450079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0.14375049072179713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0.14492718047658376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0.14414450862611131</v>
      </c>
      <c r="J1530" s="1" cm="1">
        <f t="array" ref="J1530">SUMPRODUCT(("T_TW-icegsl-S3"=[1]OUT_TransportEnergyCons!$A$3:$A$1000)*1,("var_fout"=[1]OUT_TransportEnergyCons!$B$3:$B$1000)*1,ISNUMBER(SEARCH("TPTWL",[1]OUT_TransportEnergyCons!$C$3:$C$1000))*1,[1]OUT_TransportEnergyCons!H$3:H$1000)</f>
        <v>0.13823736157821784</v>
      </c>
      <c r="K1530" s="1" cm="1">
        <f t="array" ref="K1530">SUMPRODUCT(("T_TW-icegsl-S3"=[1]OUT_TransportEnergyCons!$A$3:$A$1000)*1,("var_fout"=[1]OUT_TransportEnergyCons!$B$3:$B$1000)*1,ISNUMBER(SEARCH("TPTWL",[1]OUT_TransportEnergyCons!$C$3:$C$1000))*1,[1]OUT_TransportEnergyCons!I$3:I$1000)</f>
        <v>4.0270399712932455E-2</v>
      </c>
      <c r="L1530" s="1" cm="1">
        <f t="array" ref="L1530">SUMPRODUCT(("T_TW-icegsl-S3"=[1]OUT_TransportEnergyCons!$A$3:$A$1000)*1,("var_fout"=[1]OUT_TransportEnergyCons!$B$3:$B$1000)*1,ISNUMBER(SEARCH("TPTWL",[1]OUT_TransportEnergyCons!$C$3:$C$1000))*1,[1]OUT_TransportEnergyCons!J$3:J$1000)</f>
        <v>6.4020022466967843E-4</v>
      </c>
      <c r="M1530" s="1" cm="1">
        <f t="array" ref="M1530">SUMPRODUCT(("T_TW-icegsl-S3"=[1]OUT_TransportEnergyCons!$A$3:$A$1000)*1,("var_fout"=[1]OUT_TransportEnergyCons!$B$3:$B$1000)*1,ISNUMBER(SEARCH("TPTWL",[1]OUT_TransportEnergyCons!$C$3:$C$1000))*1,[1]OUT_TransportEnergyCons!K$3:K$1000)</f>
        <v>7.6967917409170882E-4</v>
      </c>
      <c r="N1530" s="1" cm="1">
        <f t="array" ref="N1530">SUMPRODUCT(("T_TW-icegsl-S3"=[1]OUT_TransportEnergyCons!$A$3:$A$1000)*1,("var_fout"=[1]OUT_TransportEnergyCons!$B$3:$B$1000)*1,ISNUMBER(SEARCH("TPTWL",[1]OUT_TransportEnergyCons!$C$3:$C$1000))*1,[1]OUT_TransportEnergyCons!L$3:L$1000)</f>
        <v>8.3965888063214735E-4</v>
      </c>
      <c r="O1530" s="1" cm="1">
        <f t="array" ref="O1530">SUMPRODUCT(("T_TW-icegsl-S3"=[1]OUT_TransportEnergyCons!$A$3:$A$1000)*1,("var_fout"=[1]OUT_TransportEnergyCons!$B$3:$B$1000)*1,ISNUMBER(SEARCH("TPTWL",[1]OUT_TransportEnergyCons!$C$3:$C$1000))*1,[1]OUT_TransportEnergyCons!M$3:M$1000)</f>
        <v>9.4755877951362805E-4</v>
      </c>
      <c r="P1530" s="1" cm="1">
        <f t="array" ref="P1530">SUMPRODUCT(("T_TW-icegsl-S3"=[1]OUT_TransportEnergyCons!$A$3:$A$1000)*1,("var_fout"=[1]OUT_TransportEnergyCons!$B$3:$B$1000)*1,ISNUMBER(SEARCH("TPTWL",[1]OUT_TransportEnergyCons!$C$3:$C$1000))*1,[1]OUT_TransportEnergyCons!N$3:N$1000)</f>
        <v>1.0529374140069486E-3</v>
      </c>
      <c r="Q1530" s="1" cm="1">
        <f t="array" ref="Q1530">SUMPRODUCT(("T_TW-icegsl-S3"=[1]OUT_TransportEnergyCons!$A$3:$A$1000)*1,("var_fout"=[1]OUT_TransportEnergyCons!$B$3:$B$1000)*1,ISNUMBER(SEARCH("TPTWL",[1]OUT_TransportEnergyCons!$C$3:$C$1000))*1,[1]OUT_TransportEnergyCons!O$3:O$1000)</f>
        <v>1.2971623768795457E-3</v>
      </c>
      <c r="S1530" s="3"/>
    </row>
    <row r="1531" spans="2:19" x14ac:dyDescent="0.5">
      <c r="B1531" t="str">
        <f t="shared" si="1716"/>
        <v>SPS1</v>
      </c>
      <c r="C1531" t="str">
        <f t="shared" si="1717"/>
        <v>CH</v>
      </c>
      <c r="D1531" t="s">
        <v>1516</v>
      </c>
      <c r="E1531" t="str">
        <f t="shared" si="1718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7.203810681305825E-2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8.5120538732385259E-2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8.5992358294302212E-2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8.5419570812144227E-2</v>
      </c>
      <c r="J1531" s="1" cm="1">
        <f t="array" ref="J1531">SUMPRODUCT(("T_TW-icegsl-S4"=[1]OUT_TransportEnergyCons!$A$3:$A$1000)*1,("var_fout"=[1]OUT_TransportEnergyCons!$B$3:$B$1000)*1,ISNUMBER(SEARCH("TPTWL",[1]OUT_TransportEnergyCons!$C$3:$C$1000))*1,[1]OUT_TransportEnergyCons!H$3:H$1000)</f>
        <v>8.5829071386241587E-2</v>
      </c>
      <c r="K1531" s="1" cm="1">
        <f t="array" ref="K1531">SUMPRODUCT(("T_TW-icegsl-S4"=[1]OUT_TransportEnergyCons!$A$3:$A$1000)*1,("var_fout"=[1]OUT_TransportEnergyCons!$B$3:$B$1000)*1,ISNUMBER(SEARCH("TPTWL",[1]OUT_TransportEnergyCons!$C$3:$C$1000))*1,[1]OUT_TransportEnergyCons!I$3:I$1000)</f>
        <v>8.2592864124950982E-2</v>
      </c>
      <c r="L1531" s="1" cm="1">
        <f t="array" ref="L1531">SUMPRODUCT(("T_TW-icegsl-S4"=[1]OUT_TransportEnergyCons!$A$3:$A$1000)*1,("var_fout"=[1]OUT_TransportEnergyCons!$B$3:$B$1000)*1,ISNUMBER(SEARCH("TPTWL",[1]OUT_TransportEnergyCons!$C$3:$C$1000))*1,[1]OUT_TransportEnergyCons!J$3:J$1000)</f>
        <v>1.8644301474967862E-2</v>
      </c>
      <c r="M1531" s="1" cm="1">
        <f t="array" ref="M1531">SUMPRODUCT(("T_TW-icegsl-S4"=[1]OUT_TransportEnergyCons!$A$3:$A$1000)*1,("var_fout"=[1]OUT_TransportEnergyCons!$B$3:$B$1000)*1,ISNUMBER(SEARCH("TPTWL",[1]OUT_TransportEnergyCons!$C$3:$C$1000))*1,[1]OUT_TransportEnergyCons!K$3:K$1000)</f>
        <v>4.6218363144116998E-4</v>
      </c>
      <c r="N1531" s="1" cm="1">
        <f t="array" ref="N1531">SUMPRODUCT(("T_TW-icegsl-S4"=[1]OUT_TransportEnergyCons!$A$3:$A$1000)*1,("var_fout"=[1]OUT_TransportEnergyCons!$B$3:$B$1000)*1,ISNUMBER(SEARCH("TPTWL",[1]OUT_TransportEnergyCons!$C$3:$C$1000))*1,[1]OUT_TransportEnergyCons!L$3:L$1000)</f>
        <v>5.0833716541510846E-4</v>
      </c>
      <c r="O1531" s="1" cm="1">
        <f t="array" ref="O1531">SUMPRODUCT(("T_TW-icegsl-S4"=[1]OUT_TransportEnergyCons!$A$3:$A$1000)*1,("var_fout"=[1]OUT_TransportEnergyCons!$B$3:$B$1000)*1,ISNUMBER(SEARCH("TPTWL",[1]OUT_TransportEnergyCons!$C$3:$C$1000))*1,[1]OUT_TransportEnergyCons!M$3:M$1000)</f>
        <v>5.8865417020204851E-4</v>
      </c>
      <c r="P1531" s="1" cm="1">
        <f t="array" ref="P1531">SUMPRODUCT(("T_TW-icegsl-S4"=[1]OUT_TransportEnergyCons!$A$3:$A$1000)*1,("var_fout"=[1]OUT_TransportEnergyCons!$B$3:$B$1000)*1,ISNUMBER(SEARCH("TPTWL",[1]OUT_TransportEnergyCons!$C$3:$C$1000))*1,[1]OUT_TransportEnergyCons!N$3:N$1000)</f>
        <v>6.350387946965786E-4</v>
      </c>
      <c r="Q1531" s="1" cm="1">
        <f t="array" ref="Q1531">SUMPRODUCT(("T_TW-icegsl-S4"=[1]OUT_TransportEnergyCons!$A$3:$A$1000)*1,("var_fout"=[1]OUT_TransportEnergyCons!$B$3:$B$1000)*1,ISNUMBER(SEARCH("TPTWL",[1]OUT_TransportEnergyCons!$C$3:$C$1000))*1,[1]OUT_TransportEnergyCons!O$3:O$1000)</f>
        <v>7.9749479188874635E-4</v>
      </c>
      <c r="S1531" s="3"/>
    </row>
    <row r="1532" spans="2:19" x14ac:dyDescent="0.5">
      <c r="B1532" s="9" t="str">
        <f t="shared" si="1716"/>
        <v>SPS1</v>
      </c>
      <c r="C1532" s="9" t="str">
        <f t="shared" si="1717"/>
        <v>CH</v>
      </c>
      <c r="D1532" s="2" t="s">
        <v>1518</v>
      </c>
      <c r="E1532" s="2" t="s">
        <v>1229</v>
      </c>
      <c r="F1532" s="21" t="s">
        <v>1527</v>
      </c>
      <c r="G1532" s="21" t="s">
        <v>1527</v>
      </c>
      <c r="H1532" s="21" t="s">
        <v>1527</v>
      </c>
      <c r="I1532" s="21" t="s">
        <v>1527</v>
      </c>
      <c r="J1532" s="21" t="s">
        <v>1527</v>
      </c>
      <c r="K1532" s="21" t="s">
        <v>1527</v>
      </c>
      <c r="L1532" s="21" t="s">
        <v>1527</v>
      </c>
      <c r="M1532" s="21" t="s">
        <v>1527</v>
      </c>
      <c r="N1532" s="21" t="s">
        <v>1527</v>
      </c>
      <c r="O1532" s="21" t="s">
        <v>1527</v>
      </c>
      <c r="P1532" s="21" t="s">
        <v>1527</v>
      </c>
      <c r="Q1532" s="21" t="s">
        <v>1527</v>
      </c>
      <c r="S1532" s="3"/>
    </row>
    <row r="1533" spans="2:19" x14ac:dyDescent="0.5">
      <c r="B1533" t="str">
        <f t="shared" si="1716"/>
        <v>SPS1</v>
      </c>
      <c r="C1533" t="str">
        <f t="shared" si="1717"/>
        <v>CH</v>
      </c>
      <c r="D1533" t="s">
        <v>1519</v>
      </c>
      <c r="E1533" t="s">
        <v>1229</v>
      </c>
      <c r="F1533" s="1">
        <f t="shared" ref="F1533:K1536" si="1719">IFERROR(F1519/F1499,"-")</f>
        <v>11.098927012431915</v>
      </c>
      <c r="G1533" s="1">
        <f t="shared" si="1719"/>
        <v>11.10728237713333</v>
      </c>
      <c r="H1533" s="1">
        <f t="shared" si="1719"/>
        <v>11.109204008148245</v>
      </c>
      <c r="I1533" s="1">
        <f t="shared" si="1719"/>
        <v>11.122653371608449</v>
      </c>
      <c r="J1533" s="1">
        <f t="shared" si="1719"/>
        <v>11.474210374220023</v>
      </c>
      <c r="K1533" s="1">
        <f t="shared" si="1719"/>
        <v>11.566074128269745</v>
      </c>
      <c r="L1533" s="1">
        <f t="shared" ref="L1533:O1533" si="1720">IFERROR(L1519/L1499,"-")</f>
        <v>11.698641269651503</v>
      </c>
      <c r="M1533" s="1">
        <f t="shared" si="1720"/>
        <v>11.864253064099714</v>
      </c>
      <c r="N1533" s="1">
        <f t="shared" si="1720"/>
        <v>11.904024520963475</v>
      </c>
      <c r="O1533" s="1">
        <f t="shared" si="1720"/>
        <v>11.913862498205916</v>
      </c>
      <c r="P1533" s="1">
        <f t="shared" ref="P1533:Q1536" si="1721">IFERROR(P1519/P1499,"-")</f>
        <v>11.913862498205884</v>
      </c>
      <c r="Q1533" s="1">
        <f t="shared" si="1721"/>
        <v>11.913862498205896</v>
      </c>
      <c r="S1533" s="3"/>
    </row>
    <row r="1534" spans="2:19" x14ac:dyDescent="0.5">
      <c r="B1534" t="str">
        <f t="shared" si="1716"/>
        <v>SPS1</v>
      </c>
      <c r="C1534" t="str">
        <f t="shared" si="1717"/>
        <v>CH</v>
      </c>
      <c r="D1534" t="s">
        <v>1520</v>
      </c>
      <c r="E1534" t="s">
        <v>1229</v>
      </c>
      <c r="F1534" s="1">
        <f t="shared" si="1719"/>
        <v>6.2845243629359873</v>
      </c>
      <c r="G1534" s="1">
        <f t="shared" si="1719"/>
        <v>6.288952255570174</v>
      </c>
      <c r="H1534" s="1">
        <f t="shared" si="1719"/>
        <v>6.2934689318344201</v>
      </c>
      <c r="I1534" s="1">
        <f t="shared" si="1719"/>
        <v>6.3068119546022787</v>
      </c>
      <c r="J1534" s="1">
        <f t="shared" si="1719"/>
        <v>6.4564515303771062</v>
      </c>
      <c r="K1534" s="1">
        <f t="shared" si="1719"/>
        <v>6.5443531116156741</v>
      </c>
      <c r="L1534" s="1">
        <f t="shared" ref="L1534:O1534" si="1722">IFERROR(L1520/L1500,"-")</f>
        <v>6.6059271695958213</v>
      </c>
      <c r="M1534" s="1">
        <f t="shared" si="1722"/>
        <v>6.6935624168757801</v>
      </c>
      <c r="N1534" s="1">
        <f t="shared" si="1722"/>
        <v>6.7329379743504392</v>
      </c>
      <c r="O1534" s="1">
        <f t="shared" si="1722"/>
        <v>6.7466492376300016</v>
      </c>
      <c r="P1534" s="1">
        <f t="shared" si="1721"/>
        <v>6.7466492376300025</v>
      </c>
      <c r="Q1534" s="1">
        <f t="shared" si="1721"/>
        <v>6.7466492376299954</v>
      </c>
      <c r="S1534" s="3"/>
    </row>
    <row r="1535" spans="2:19" x14ac:dyDescent="0.5">
      <c r="B1535" t="str">
        <f t="shared" si="1716"/>
        <v>SPS1</v>
      </c>
      <c r="C1535" t="str">
        <f t="shared" si="1717"/>
        <v>CH</v>
      </c>
      <c r="D1535" t="s">
        <v>1521</v>
      </c>
      <c r="E1535" t="s">
        <v>1229</v>
      </c>
      <c r="F1535" s="1">
        <f t="shared" si="1719"/>
        <v>4.0901432735634877</v>
      </c>
      <c r="G1535" s="1">
        <f t="shared" si="1719"/>
        <v>4.0982249889316735</v>
      </c>
      <c r="H1535" s="1">
        <f t="shared" si="1719"/>
        <v>4.1084218793599101</v>
      </c>
      <c r="I1535" s="1">
        <f t="shared" si="1719"/>
        <v>4.1242186112271018</v>
      </c>
      <c r="J1535" s="1">
        <f t="shared" si="1719"/>
        <v>4.1622635335847082</v>
      </c>
      <c r="K1535" s="1">
        <f t="shared" si="1719"/>
        <v>4.2263949890896235</v>
      </c>
      <c r="L1535" s="1">
        <f t="shared" ref="L1535:O1535" si="1723">IFERROR(L1521/L1501,"-")</f>
        <v>4.3169905438445531</v>
      </c>
      <c r="M1535" s="1">
        <f t="shared" si="1723"/>
        <v>4.3656915274732206</v>
      </c>
      <c r="N1535" s="1">
        <f t="shared" si="1723"/>
        <v>4.4002389315121757</v>
      </c>
      <c r="O1535" s="1">
        <f t="shared" si="1723"/>
        <v>4.4295555675541607</v>
      </c>
      <c r="P1535" s="1">
        <f t="shared" si="1721"/>
        <v>4.4389918965394122</v>
      </c>
      <c r="Q1535" s="1">
        <f t="shared" si="1721"/>
        <v>4.438991896539414</v>
      </c>
      <c r="S1535" s="3"/>
    </row>
    <row r="1536" spans="2:19" x14ac:dyDescent="0.5">
      <c r="B1536" t="str">
        <f t="shared" si="1716"/>
        <v>SPS1</v>
      </c>
      <c r="C1536" t="str">
        <f t="shared" si="1717"/>
        <v>CH</v>
      </c>
      <c r="D1536" t="s">
        <v>1522</v>
      </c>
      <c r="E1536" t="s">
        <v>1229</v>
      </c>
      <c r="F1536" s="1">
        <f t="shared" si="1719"/>
        <v>3.7650534829600382</v>
      </c>
      <c r="G1536" s="1">
        <f t="shared" si="1719"/>
        <v>3.7752020819819543</v>
      </c>
      <c r="H1536" s="1">
        <f t="shared" si="1719"/>
        <v>3.788473713106407</v>
      </c>
      <c r="I1536" s="1">
        <f t="shared" si="1719"/>
        <v>3.8095990061051332</v>
      </c>
      <c r="J1536" s="1">
        <f t="shared" si="1719"/>
        <v>3.8435434489603697</v>
      </c>
      <c r="K1536" s="1">
        <f t="shared" si="1719"/>
        <v>3.8799289805564525</v>
      </c>
      <c r="L1536" s="1">
        <f t="shared" ref="L1536:O1536" si="1724">IFERROR(L1522/L1502,"-")</f>
        <v>3.9505539350220427</v>
      </c>
      <c r="M1536" s="1">
        <f t="shared" si="1724"/>
        <v>4.0377582841589383</v>
      </c>
      <c r="N1536" s="1">
        <f t="shared" si="1724"/>
        <v>4.0707993441567911</v>
      </c>
      <c r="O1536" s="1">
        <f t="shared" si="1724"/>
        <v>4.0984043113169895</v>
      </c>
      <c r="P1536" s="1">
        <f t="shared" si="1721"/>
        <v>4.1161289947273962</v>
      </c>
      <c r="Q1536" s="1">
        <f t="shared" si="1721"/>
        <v>4.1237577328637185</v>
      </c>
      <c r="S1536" s="3"/>
    </row>
    <row r="1537" spans="2:19" x14ac:dyDescent="0.5">
      <c r="B1537" t="str">
        <f t="shared" si="1716"/>
        <v>SPS1</v>
      </c>
      <c r="C1537" t="str">
        <f t="shared" si="1717"/>
        <v>CH</v>
      </c>
      <c r="D1537" t="s">
        <v>1523</v>
      </c>
      <c r="E1537" t="s">
        <v>1229</v>
      </c>
      <c r="F1537" s="1" t="str">
        <f t="shared" ref="F1537:K1540" si="1725">IFERROR(F1523/F1504,"-")</f>
        <v>-</v>
      </c>
      <c r="G1537" s="1" t="str">
        <f t="shared" si="1725"/>
        <v>-</v>
      </c>
      <c r="H1537" s="1" t="str">
        <f t="shared" si="1725"/>
        <v>-</v>
      </c>
      <c r="I1537" s="1">
        <f t="shared" si="1725"/>
        <v>4.6391179485367866</v>
      </c>
      <c r="J1537" s="1">
        <f t="shared" si="1725"/>
        <v>4.6874094606538108</v>
      </c>
      <c r="K1537" s="1">
        <f t="shared" si="1725"/>
        <v>4.7495048662725603</v>
      </c>
      <c r="L1537" s="1">
        <f t="shared" ref="L1537:O1537" si="1726">IFERROR(L1523/L1504,"-")</f>
        <v>4.8161999194863538</v>
      </c>
      <c r="M1537" s="1">
        <f t="shared" si="1726"/>
        <v>4.9009600585018793</v>
      </c>
      <c r="N1537" s="1">
        <f t="shared" si="1726"/>
        <v>4.9294159058291749</v>
      </c>
      <c r="O1537" s="1">
        <f t="shared" si="1726"/>
        <v>4.9376073198960206</v>
      </c>
      <c r="P1537" s="1">
        <f t="shared" ref="P1537:Q1540" si="1727">IFERROR(P1523/P1504,"-")</f>
        <v>4.9376073198960162</v>
      </c>
      <c r="Q1537" s="1">
        <f t="shared" si="1727"/>
        <v>4.9376073198960233</v>
      </c>
      <c r="S1537" s="3"/>
    </row>
    <row r="1538" spans="2:19" x14ac:dyDescent="0.5">
      <c r="B1538" t="str">
        <f t="shared" si="1716"/>
        <v>SPS1</v>
      </c>
      <c r="C1538" t="str">
        <f t="shared" si="1717"/>
        <v>CH</v>
      </c>
      <c r="D1538" t="s">
        <v>1524</v>
      </c>
      <c r="E1538" t="s">
        <v>1229</v>
      </c>
      <c r="F1538" s="1" t="str">
        <f t="shared" si="1725"/>
        <v>-</v>
      </c>
      <c r="G1538" s="1" t="str">
        <f t="shared" si="1725"/>
        <v>-</v>
      </c>
      <c r="H1538" s="1" t="str">
        <f t="shared" si="1725"/>
        <v>-</v>
      </c>
      <c r="I1538" s="1">
        <f t="shared" si="1725"/>
        <v>2.7008868509993595</v>
      </c>
      <c r="J1538" s="1">
        <f t="shared" si="1725"/>
        <v>2.7259358979856319</v>
      </c>
      <c r="K1538" s="1">
        <f t="shared" si="1725"/>
        <v>2.7545691938611747</v>
      </c>
      <c r="L1538" s="1">
        <f t="shared" ref="L1538:O1538" si="1728">IFERROR(L1524/L1505,"-")</f>
        <v>2.7901573062993066</v>
      </c>
      <c r="M1538" s="1">
        <f t="shared" si="1728"/>
        <v>2.8306964500926646</v>
      </c>
      <c r="N1538" s="1">
        <f t="shared" si="1728"/>
        <v>2.8548934858005279</v>
      </c>
      <c r="O1538" s="1">
        <f t="shared" si="1728"/>
        <v>2.8629122117594514</v>
      </c>
      <c r="P1538" s="1">
        <f t="shared" si="1727"/>
        <v>2.8629122117594483</v>
      </c>
      <c r="Q1538" s="1">
        <f t="shared" si="1727"/>
        <v>2.8629122117594505</v>
      </c>
      <c r="S1538" s="3"/>
    </row>
    <row r="1539" spans="2:19" x14ac:dyDescent="0.5">
      <c r="B1539" t="str">
        <f t="shared" si="1716"/>
        <v>SPS1</v>
      </c>
      <c r="C1539" t="str">
        <f t="shared" si="1717"/>
        <v>CH</v>
      </c>
      <c r="D1539" t="s">
        <v>1525</v>
      </c>
      <c r="E1539" t="s">
        <v>1229</v>
      </c>
      <c r="F1539" s="1" t="str">
        <f t="shared" si="1725"/>
        <v>-</v>
      </c>
      <c r="G1539" s="1" t="str">
        <f t="shared" si="1725"/>
        <v>-</v>
      </c>
      <c r="H1539" s="1" t="str">
        <f t="shared" si="1725"/>
        <v>-</v>
      </c>
      <c r="I1539" s="1">
        <f t="shared" si="1725"/>
        <v>1.7606485351727297</v>
      </c>
      <c r="J1539" s="1">
        <f t="shared" si="1725"/>
        <v>1.7795189388743438</v>
      </c>
      <c r="K1539" s="1">
        <f t="shared" si="1725"/>
        <v>1.794403712212046</v>
      </c>
      <c r="L1539" s="1">
        <f t="shared" ref="L1539:O1539" si="1729">IFERROR(L1525/L1506,"-")</f>
        <v>1.8141316043115852</v>
      </c>
      <c r="M1539" s="1">
        <f t="shared" si="1729"/>
        <v>1.8394544090783038</v>
      </c>
      <c r="N1539" s="1">
        <f t="shared" si="1729"/>
        <v>1.8569553807758097</v>
      </c>
      <c r="O1539" s="1">
        <f t="shared" si="1729"/>
        <v>1.8703341149066937</v>
      </c>
      <c r="P1539" s="1">
        <f t="shared" si="1727"/>
        <v>1.8752252137142971</v>
      </c>
      <c r="Q1539" s="1">
        <f t="shared" si="1727"/>
        <v>1.8752252137142993</v>
      </c>
      <c r="S1539" s="3"/>
    </row>
    <row r="1540" spans="2:19" x14ac:dyDescent="0.5">
      <c r="B1540" t="str">
        <f t="shared" si="1716"/>
        <v>SPS1</v>
      </c>
      <c r="C1540" t="str">
        <f t="shared" si="1717"/>
        <v>CH</v>
      </c>
      <c r="D1540" t="s">
        <v>1526</v>
      </c>
      <c r="E1540" t="s">
        <v>1229</v>
      </c>
      <c r="F1540" s="1" t="str">
        <f t="shared" si="1725"/>
        <v>-</v>
      </c>
      <c r="G1540" s="1" t="str">
        <f t="shared" si="1725"/>
        <v>-</v>
      </c>
      <c r="H1540" s="1" t="str">
        <f t="shared" si="1725"/>
        <v>-</v>
      </c>
      <c r="I1540" s="1">
        <f t="shared" si="1725"/>
        <v>1.5620411785777188</v>
      </c>
      <c r="J1540" s="1">
        <f t="shared" si="1725"/>
        <v>1.5799393780107631</v>
      </c>
      <c r="K1540" s="1">
        <f t="shared" si="1725"/>
        <v>1.59698055181581</v>
      </c>
      <c r="L1540" s="1">
        <f t="shared" ref="L1540:O1540" si="1730">IFERROR(L1526/L1507,"-")</f>
        <v>1.6154553587608602</v>
      </c>
      <c r="M1540" s="1">
        <f t="shared" si="1730"/>
        <v>1.637361442050137</v>
      </c>
      <c r="N1540" s="1">
        <f t="shared" si="1730"/>
        <v>1.6541458285619957</v>
      </c>
      <c r="O1540" s="1">
        <f t="shared" si="1730"/>
        <v>1.6669246821940922</v>
      </c>
      <c r="P1540" s="1">
        <f t="shared" si="1727"/>
        <v>1.6747916126345104</v>
      </c>
      <c r="Q1540" s="1">
        <f t="shared" si="1727"/>
        <v>1.6779856082197373</v>
      </c>
      <c r="S1540" s="3"/>
    </row>
    <row r="1541" spans="2:19" x14ac:dyDescent="0.5">
      <c r="B1541" t="str">
        <f t="shared" si="1716"/>
        <v>SPS1</v>
      </c>
      <c r="C1541" t="str">
        <f t="shared" si="1717"/>
        <v>CH</v>
      </c>
      <c r="D1541" t="s">
        <v>1582</v>
      </c>
      <c r="E1541" t="s">
        <v>1229</v>
      </c>
      <c r="F1541" s="1">
        <f t="shared" ref="F1541:K1545" si="1731">IFERROR(F1527/F1513,"-")</f>
        <v>0.77116510534577809</v>
      </c>
      <c r="G1541" s="1">
        <f t="shared" si="1731"/>
        <v>0.78723832996732079</v>
      </c>
      <c r="H1541" s="1">
        <f t="shared" si="1731"/>
        <v>0.81134816689963407</v>
      </c>
      <c r="I1541" s="1">
        <f t="shared" si="1731"/>
        <v>0.85153122845348894</v>
      </c>
      <c r="J1541" s="1" t="str">
        <f t="shared" si="1731"/>
        <v>-</v>
      </c>
      <c r="K1541" s="1" t="str">
        <f t="shared" si="1731"/>
        <v>-</v>
      </c>
      <c r="L1541" s="1" t="str">
        <f t="shared" ref="L1541:O1541" si="1732">IFERROR(L1527/L1513,"-")</f>
        <v>-</v>
      </c>
      <c r="M1541" s="1" t="str">
        <f t="shared" si="1732"/>
        <v>-</v>
      </c>
      <c r="N1541" s="1" t="str">
        <f t="shared" si="1732"/>
        <v>-</v>
      </c>
      <c r="O1541" s="1" t="str">
        <f t="shared" si="1732"/>
        <v>-</v>
      </c>
      <c r="P1541" s="1" t="str">
        <f t="shared" ref="P1541:Q1545" si="1733">IFERROR(P1527/P1513,"-")</f>
        <v>-</v>
      </c>
      <c r="Q1541" s="1" t="str">
        <f t="shared" si="1733"/>
        <v>-</v>
      </c>
      <c r="S1541" s="3"/>
    </row>
    <row r="1542" spans="2:19" x14ac:dyDescent="0.5">
      <c r="B1542" t="str">
        <f t="shared" si="1716"/>
        <v>SPS1</v>
      </c>
      <c r="C1542" t="str">
        <f t="shared" si="1717"/>
        <v>CH</v>
      </c>
      <c r="D1542" t="s">
        <v>1583</v>
      </c>
      <c r="E1542" t="s">
        <v>1229</v>
      </c>
      <c r="F1542" s="1">
        <f t="shared" si="1731"/>
        <v>1.9078836334110876</v>
      </c>
      <c r="G1542" s="1">
        <f t="shared" si="1731"/>
        <v>1.9240565488058383</v>
      </c>
      <c r="H1542" s="1">
        <f t="shared" si="1731"/>
        <v>1.9243796837866243</v>
      </c>
      <c r="I1542" s="1">
        <f t="shared" si="1731"/>
        <v>1.9526780244703354</v>
      </c>
      <c r="J1542" s="1">
        <f t="shared" si="1731"/>
        <v>2.0348285025752051</v>
      </c>
      <c r="K1542" s="1">
        <f t="shared" si="1731"/>
        <v>2.0565848298118778</v>
      </c>
      <c r="L1542" s="1">
        <f t="shared" ref="L1542:O1542" si="1734">IFERROR(L1528/L1514,"-")</f>
        <v>2.1014667899651935</v>
      </c>
      <c r="M1542" s="1">
        <f t="shared" si="1734"/>
        <v>2.1625479861463117</v>
      </c>
      <c r="N1542" s="1">
        <f t="shared" si="1734"/>
        <v>2.1797349484221766</v>
      </c>
      <c r="O1542" s="1">
        <f t="shared" si="1734"/>
        <v>2.1882785185199531</v>
      </c>
      <c r="P1542" s="1">
        <f t="shared" si="1733"/>
        <v>2.1882785185199514</v>
      </c>
      <c r="Q1542" s="1">
        <f t="shared" si="1733"/>
        <v>2.1882785185199536</v>
      </c>
      <c r="S1542" s="3"/>
    </row>
    <row r="1543" spans="2:19" x14ac:dyDescent="0.5">
      <c r="B1543" t="str">
        <f t="shared" si="1716"/>
        <v>SPS1</v>
      </c>
      <c r="C1543" t="str">
        <f t="shared" si="1717"/>
        <v>CH</v>
      </c>
      <c r="D1543" t="s">
        <v>1584</v>
      </c>
      <c r="E1543" t="s">
        <v>1229</v>
      </c>
      <c r="F1543" s="1">
        <f t="shared" si="1731"/>
        <v>1.1027629847473199</v>
      </c>
      <c r="G1543" s="1">
        <f t="shared" si="1731"/>
        <v>1.1043004571837043</v>
      </c>
      <c r="H1543" s="1">
        <f t="shared" si="1731"/>
        <v>1.1043658104442908</v>
      </c>
      <c r="I1543" s="1">
        <f t="shared" si="1731"/>
        <v>1.1046883148557027</v>
      </c>
      <c r="J1543" s="1">
        <f t="shared" si="1731"/>
        <v>1.1111136009732818</v>
      </c>
      <c r="K1543" s="1">
        <f t="shared" si="1731"/>
        <v>1.1842803618870705</v>
      </c>
      <c r="L1543" s="1">
        <f t="shared" ref="L1543:O1543" si="1735">IFERROR(L1529/L1515,"-")</f>
        <v>1.2078158234814942</v>
      </c>
      <c r="M1543" s="1">
        <f t="shared" si="1735"/>
        <v>1.2334125471876565</v>
      </c>
      <c r="N1543" s="1">
        <f t="shared" si="1735"/>
        <v>1.2512901113548318</v>
      </c>
      <c r="O1543" s="1">
        <f t="shared" si="1735"/>
        <v>1.2575779131572398</v>
      </c>
      <c r="P1543" s="1">
        <f t="shared" si="1733"/>
        <v>1.2575779131572413</v>
      </c>
      <c r="Q1543" s="1">
        <f t="shared" si="1733"/>
        <v>1.2575779131572389</v>
      </c>
      <c r="S1543" s="3"/>
    </row>
    <row r="1544" spans="2:19" x14ac:dyDescent="0.5">
      <c r="B1544" t="str">
        <f t="shared" si="1716"/>
        <v>SPS1</v>
      </c>
      <c r="C1544" t="str">
        <f t="shared" si="1717"/>
        <v>CH</v>
      </c>
      <c r="D1544" t="s">
        <v>1585</v>
      </c>
      <c r="E1544" t="s">
        <v>1229</v>
      </c>
      <c r="F1544" s="1">
        <f t="shared" si="1731"/>
        <v>0.72942698043637022</v>
      </c>
      <c r="G1544" s="1">
        <f t="shared" si="1731"/>
        <v>0.73017433980276825</v>
      </c>
      <c r="H1544" s="1">
        <f t="shared" si="1731"/>
        <v>0.73018718597691579</v>
      </c>
      <c r="I1544" s="1">
        <f t="shared" si="1731"/>
        <v>0.73021243277590608</v>
      </c>
      <c r="J1544" s="1">
        <f t="shared" si="1731"/>
        <v>0.73031094202283742</v>
      </c>
      <c r="K1544" s="1">
        <f t="shared" si="1731"/>
        <v>0.73168583008466781</v>
      </c>
      <c r="L1544" s="1">
        <f t="shared" ref="L1544:O1544" si="1736">IFERROR(L1530/L1516,"-")</f>
        <v>0.78998803911394477</v>
      </c>
      <c r="M1544" s="1">
        <f t="shared" si="1736"/>
        <v>0.80643316134431853</v>
      </c>
      <c r="N1544" s="1">
        <f t="shared" si="1736"/>
        <v>0.817749199742691</v>
      </c>
      <c r="O1544" s="1">
        <f t="shared" si="1736"/>
        <v>0.82784443253989737</v>
      </c>
      <c r="P1544" s="1">
        <f t="shared" si="1733"/>
        <v>0.83134781163543092</v>
      </c>
      <c r="Q1544" s="1">
        <f t="shared" si="1733"/>
        <v>0.83134781163543203</v>
      </c>
      <c r="S1544" s="3"/>
    </row>
    <row r="1545" spans="2:19" x14ac:dyDescent="0.5">
      <c r="B1545" t="str">
        <f t="shared" si="1716"/>
        <v>SPS1</v>
      </c>
      <c r="C1545" t="str">
        <f t="shared" si="1717"/>
        <v>CH</v>
      </c>
      <c r="D1545" t="s">
        <v>1586</v>
      </c>
      <c r="E1545" t="s">
        <v>1229</v>
      </c>
      <c r="F1545" s="1">
        <f t="shared" si="1731"/>
        <v>0.67580166525687213</v>
      </c>
      <c r="G1545" s="1">
        <f t="shared" si="1731"/>
        <v>0.67641542463758442</v>
      </c>
      <c r="H1545" s="1">
        <f t="shared" si="1731"/>
        <v>0.67642512563402757</v>
      </c>
      <c r="I1545" s="1">
        <f t="shared" si="1731"/>
        <v>0.67644667748660769</v>
      </c>
      <c r="J1545" s="1">
        <f t="shared" si="1731"/>
        <v>0.67648653152824034</v>
      </c>
      <c r="K1545" s="1">
        <f t="shared" si="1731"/>
        <v>0.67657357860025646</v>
      </c>
      <c r="L1545" s="1">
        <f t="shared" ref="L1545:O1545" si="1737">IFERROR(L1531/L1517,"-")</f>
        <v>0.67826123717107678</v>
      </c>
      <c r="M1545" s="1">
        <f t="shared" si="1737"/>
        <v>0.74390512358682415</v>
      </c>
      <c r="N1545" s="1">
        <f t="shared" si="1737"/>
        <v>0.75536187428350099</v>
      </c>
      <c r="O1545" s="1">
        <f t="shared" si="1737"/>
        <v>0.76433697775158704</v>
      </c>
      <c r="P1545" s="1">
        <f t="shared" si="1733"/>
        <v>0.77000590883585551</v>
      </c>
      <c r="Q1545" s="1">
        <f t="shared" si="1733"/>
        <v>0.7722317579006045</v>
      </c>
      <c r="S1545" s="3"/>
    </row>
    <row r="1546" spans="2:19" x14ac:dyDescent="0.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16.710591212217025</v>
      </c>
      <c r="G1546" s="3">
        <f t="shared" ref="G1546:K1546" si="1738">G1547+G1550+G1552+G1559+G1567</f>
        <v>15.636409568528086</v>
      </c>
      <c r="H1546" s="3">
        <f t="shared" si="1738"/>
        <v>14.077359434523416</v>
      </c>
      <c r="I1546" s="3">
        <f t="shared" si="1738"/>
        <v>11.583076722008594</v>
      </c>
      <c r="J1546" s="3">
        <f t="shared" si="1738"/>
        <v>9.6770910268534855</v>
      </c>
      <c r="K1546" s="3">
        <f t="shared" si="1738"/>
        <v>8.8001971623541806</v>
      </c>
      <c r="L1546" s="3">
        <f t="shared" ref="L1546:O1546" si="1739">L1547+L1550+L1552+L1559+L1567</f>
        <v>9.165536301689599</v>
      </c>
      <c r="M1546" s="3">
        <f t="shared" si="1739"/>
        <v>9.5170122126974359</v>
      </c>
      <c r="N1546" s="3">
        <f t="shared" si="1739"/>
        <v>9.9152195039058491</v>
      </c>
      <c r="O1546" s="3">
        <f t="shared" si="1739"/>
        <v>10.449986132134532</v>
      </c>
      <c r="P1546" s="3">
        <f>P1547+P1550+P1552+P1559+P1567</f>
        <v>11.022744558065117</v>
      </c>
      <c r="Q1546" s="3">
        <f>Q1547+Q1550+Q1552+Q1559+Q1567</f>
        <v>11.681020850945748</v>
      </c>
      <c r="S1546" s="3"/>
    </row>
    <row r="1547" spans="2:19" x14ac:dyDescent="0.5">
      <c r="B1547" t="str">
        <f t="shared" ref="B1547:B1592" si="1740">B1546</f>
        <v>SPS1</v>
      </c>
      <c r="C1547" t="str">
        <f t="shared" ref="C1547:C1592" si="1741">C1546</f>
        <v>CH</v>
      </c>
      <c r="D1547" t="s">
        <v>1536</v>
      </c>
      <c r="E1547" t="str">
        <f>E1546</f>
        <v>PJ/yr.</v>
      </c>
      <c r="F1547" s="1">
        <f>SUM(F1548:F1549)</f>
        <v>7.5779484649210443E-2</v>
      </c>
      <c r="G1547" s="1">
        <f t="shared" ref="G1547:K1547" si="1742">SUM(G1548:G1549)</f>
        <v>9.553542412156088E-2</v>
      </c>
      <c r="H1547" s="1">
        <f t="shared" si="1742"/>
        <v>0.32283123181194801</v>
      </c>
      <c r="I1547" s="1">
        <f t="shared" si="1742"/>
        <v>1.2338922484245682</v>
      </c>
      <c r="J1547" s="1">
        <f t="shared" si="1742"/>
        <v>2.8758514503358668</v>
      </c>
      <c r="K1547" s="1">
        <f t="shared" si="1742"/>
        <v>5.081169941563628</v>
      </c>
      <c r="L1547" s="1">
        <f t="shared" ref="L1547:O1547" si="1743">SUM(L1548:L1549)</f>
        <v>5.2591129913120938</v>
      </c>
      <c r="M1547" s="1">
        <f t="shared" si="1743"/>
        <v>5.4661701196128796</v>
      </c>
      <c r="N1547" s="1">
        <f t="shared" si="1743"/>
        <v>5.7902958965901661</v>
      </c>
      <c r="O1547" s="1">
        <f t="shared" si="1743"/>
        <v>6.3006315281977647</v>
      </c>
      <c r="P1547" s="1">
        <f>SUM(P1548:P1549)</f>
        <v>6.9016692896283356</v>
      </c>
      <c r="Q1547" s="1">
        <f>SUM(Q1548:Q1549)</f>
        <v>7.5065314794209606</v>
      </c>
      <c r="S1547" s="3"/>
    </row>
    <row r="1548" spans="2:19" x14ac:dyDescent="0.5">
      <c r="B1548" t="str">
        <f t="shared" si="1740"/>
        <v>SPS1</v>
      </c>
      <c r="C1548" t="str">
        <f t="shared" si="1741"/>
        <v>CH</v>
      </c>
      <c r="D1548" t="s">
        <v>1543</v>
      </c>
      <c r="E1548" t="str">
        <f t="shared" ref="E1548:E1572" si="174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4.0482602546606329E-2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3.1400601964657431E-2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2.638574714270716E-2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1.315721017981694E-2</v>
      </c>
      <c r="J1548" s="1" cm="1">
        <f t="array" ref="J1548">SUMPRODUCT(("TFLGV-BeVELCExt"=[1]OUT_TransportEnergyCons!$A$3:$A$1000)*1,("Var_Fin"=[1]OUT_TransportEnergyCons!$B$3:$B$1000)*1,ISNUMBER(SEARCH("ELC",[1]OUT_TransportEnergyCons!$C$3:$C$1000))*1,[1]OUT_TransportEnergyCons!H$3:H$1000)</f>
        <v>0</v>
      </c>
      <c r="K1548" s="1" cm="1">
        <f t="array" ref="K1548">SUMPRODUCT(("TFLGV-BeVELCExt"=[1]OUT_TransportEnergyCons!$A$3:$A$1000)*1,("Var_Fin"=[1]OUT_TransportEnergyCons!$B$3:$B$1000)*1,ISNUMBER(SEARCH("ELC",[1]OUT_TransportEnergyCons!$C$3:$C$1000))*1,[1]OUT_TransportEnergyCons!I$3:I$1000)</f>
        <v>0</v>
      </c>
      <c r="L1548" s="1" cm="1">
        <f t="array" ref="L1548">SUMPRODUCT(("TFLGV-BeVELCExt"=[1]OUT_TransportEnergyCons!$A$3:$A$1000)*1,("Var_Fin"=[1]OUT_TransportEnergyCons!$B$3:$B$1000)*1,ISNUMBER(SEARCH("ELC",[1]OUT_TransportEnergyCons!$C$3:$C$1000))*1,[1]OUT_TransportEnergyCons!J$3:J$1000)</f>
        <v>0</v>
      </c>
      <c r="M1548" s="1" cm="1">
        <f t="array" ref="M1548">SUMPRODUCT(("TFLGV-BeVELCExt"=[1]OUT_TransportEnergyCons!$A$3:$A$1000)*1,("Var_Fin"=[1]OUT_TransportEnergyCons!$B$3:$B$1000)*1,ISNUMBER(SEARCH("ELC",[1]OUT_TransportEnergyCons!$C$3:$C$1000))*1,[1]OUT_TransportEnergyCons!K$3:K$1000)</f>
        <v>0</v>
      </c>
      <c r="N1548" s="1" cm="1">
        <f t="array" ref="N1548">SUMPRODUCT(("TFLGV-BeVELCExt"=[1]OUT_TransportEnergyCons!$A$3:$A$1000)*1,("Var_Fin"=[1]OUT_TransportEnergyCons!$B$3:$B$1000)*1,ISNUMBER(SEARCH("ELC",[1]OUT_TransportEnergyCons!$C$3:$C$1000))*1,[1]OUT_TransportEnergyCons!L$3:L$1000)</f>
        <v>0</v>
      </c>
      <c r="O1548" s="1" cm="1">
        <f t="array" ref="O1548">SUMPRODUCT(("TFLGV-BeVELCExt"=[1]OUT_TransportEnergyCons!$A$3:$A$1000)*1,("Var_Fin"=[1]OUT_TransportEnergyCons!$B$3:$B$1000)*1,ISNUMBER(SEARCH("ELC",[1]OUT_TransportEnergyCons!$C$3:$C$1000))*1,[1]OUT_TransportEnergyCons!M$3:M$1000)</f>
        <v>0</v>
      </c>
      <c r="P1548" s="1" cm="1">
        <f t="array" ref="P1548">SUMPRODUCT(("TFLGV-BeVELCExt"=[1]OUT_TransportEnergyCons!$A$3:$A$1000)*1,("Var_Fin"=[1]OUT_TransportEnergyCons!$B$3:$B$1000)*1,ISNUMBER(SEARCH("ELC",[1]OUT_TransportEnergyCons!$C$3:$C$1000))*1,[1]OUT_TransportEnergyCons!N$3:N$1000)</f>
        <v>0</v>
      </c>
      <c r="Q1548" s="1" cm="1">
        <f t="array" ref="Q1548">SUMPRODUCT(("TFLGV-BeVELCExt"=[1]OUT_TransportEnergyCons!$A$3:$A$1000)*1,("Var_Fin"=[1]OUT_TransportEnergyCons!$B$3:$B$1000)*1,ISNUMBER(SEARCH("ELC",[1]OUT_TransportEnergyCons!$C$3:$C$1000))*1,[1]OUT_TransportEnergyCons!O$3:O$1000)</f>
        <v>0</v>
      </c>
      <c r="S1548" s="3"/>
    </row>
    <row r="1549" spans="2:19" x14ac:dyDescent="0.5">
      <c r="B1549" t="str">
        <f t="shared" si="1740"/>
        <v>SPS1</v>
      </c>
      <c r="C1549" t="str">
        <f t="shared" si="1741"/>
        <v>CH</v>
      </c>
      <c r="D1549" t="s">
        <v>1544</v>
      </c>
      <c r="E1549" t="str">
        <f t="shared" si="174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3.5296882102604114E-2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6.4134822156903457E-2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0.29644548466924087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1.2207350382447513</v>
      </c>
      <c r="J1549" s="1" cm="1">
        <f t="array" ref="J1549">SUMPRODUCT(("TFLGV-BEVELC"=[1]OUT_TransportEnergyCons!$A$3:$A$1000)*1,("Var_Fin"=[1]OUT_TransportEnergyCons!$B$3:$B$1000)*1,ISNUMBER(SEARCH("ELC",[1]OUT_TransportEnergyCons!$C$3:$C$1000))*1,[1]OUT_TransportEnergyCons!H$3:H$1000)</f>
        <v>2.8758514503358668</v>
      </c>
      <c r="K1549" s="1" cm="1">
        <f t="array" ref="K1549">SUMPRODUCT(("TFLGV-BEVELC"=[1]OUT_TransportEnergyCons!$A$3:$A$1000)*1,("Var_Fin"=[1]OUT_TransportEnergyCons!$B$3:$B$1000)*1,ISNUMBER(SEARCH("ELC",[1]OUT_TransportEnergyCons!$C$3:$C$1000))*1,[1]OUT_TransportEnergyCons!I$3:I$1000)</f>
        <v>5.081169941563628</v>
      </c>
      <c r="L1549" s="1" cm="1">
        <f t="array" ref="L1549">SUMPRODUCT(("TFLGV-BEVELC"=[1]OUT_TransportEnergyCons!$A$3:$A$1000)*1,("Var_Fin"=[1]OUT_TransportEnergyCons!$B$3:$B$1000)*1,ISNUMBER(SEARCH("ELC",[1]OUT_TransportEnergyCons!$C$3:$C$1000))*1,[1]OUT_TransportEnergyCons!J$3:J$1000)</f>
        <v>5.2591129913120938</v>
      </c>
      <c r="M1549" s="1" cm="1">
        <f t="array" ref="M1549">SUMPRODUCT(("TFLGV-BEVELC"=[1]OUT_TransportEnergyCons!$A$3:$A$1000)*1,("Var_Fin"=[1]OUT_TransportEnergyCons!$B$3:$B$1000)*1,ISNUMBER(SEARCH("ELC",[1]OUT_TransportEnergyCons!$C$3:$C$1000))*1,[1]OUT_TransportEnergyCons!K$3:K$1000)</f>
        <v>5.4661701196128796</v>
      </c>
      <c r="N1549" s="1" cm="1">
        <f t="array" ref="N1549">SUMPRODUCT(("TFLGV-BEVELC"=[1]OUT_TransportEnergyCons!$A$3:$A$1000)*1,("Var_Fin"=[1]OUT_TransportEnergyCons!$B$3:$B$1000)*1,ISNUMBER(SEARCH("ELC",[1]OUT_TransportEnergyCons!$C$3:$C$1000))*1,[1]OUT_TransportEnergyCons!L$3:L$1000)</f>
        <v>5.7902958965901661</v>
      </c>
      <c r="O1549" s="1" cm="1">
        <f t="array" ref="O1549">SUMPRODUCT(("TFLGV-BEVELC"=[1]OUT_TransportEnergyCons!$A$3:$A$1000)*1,("Var_Fin"=[1]OUT_TransportEnergyCons!$B$3:$B$1000)*1,ISNUMBER(SEARCH("ELC",[1]OUT_TransportEnergyCons!$C$3:$C$1000))*1,[1]OUT_TransportEnergyCons!M$3:M$1000)</f>
        <v>6.3006315281977647</v>
      </c>
      <c r="P1549" s="1" cm="1">
        <f t="array" ref="P1549">SUMPRODUCT(("TFLGV-BEVELC"=[1]OUT_TransportEnergyCons!$A$3:$A$1000)*1,("Var_Fin"=[1]OUT_TransportEnergyCons!$B$3:$B$1000)*1,ISNUMBER(SEARCH("ELC",[1]OUT_TransportEnergyCons!$C$3:$C$1000))*1,[1]OUT_TransportEnergyCons!N$3:N$1000)</f>
        <v>6.9016692896283356</v>
      </c>
      <c r="Q1549" s="1" cm="1">
        <f t="array" ref="Q1549">SUMPRODUCT(("TFLGV-BEVELC"=[1]OUT_TransportEnergyCons!$A$3:$A$1000)*1,("Var_Fin"=[1]OUT_TransportEnergyCons!$B$3:$B$1000)*1,ISNUMBER(SEARCH("ELC",[1]OUT_TransportEnergyCons!$C$3:$C$1000))*1,[1]OUT_TransportEnergyCons!O$3:O$1000)</f>
        <v>7.5065314794209606</v>
      </c>
      <c r="S1549" s="3"/>
    </row>
    <row r="1550" spans="2:19" x14ac:dyDescent="0.5">
      <c r="B1550" t="str">
        <f t="shared" si="1740"/>
        <v>SPS1</v>
      </c>
      <c r="C1550" t="str">
        <f t="shared" si="1741"/>
        <v>CH</v>
      </c>
      <c r="D1550" t="s">
        <v>1537</v>
      </c>
      <c r="E1550" t="str">
        <f t="shared" si="1744"/>
        <v>PJ/yr.</v>
      </c>
      <c r="F1550" s="1">
        <f>F1551</f>
        <v>0</v>
      </c>
      <c r="G1550" s="1">
        <f t="shared" ref="G1550:O1550" si="1745">G1551</f>
        <v>8.043580804187523E-5</v>
      </c>
      <c r="H1550" s="1">
        <f t="shared" si="1745"/>
        <v>1.0196300114038756E-4</v>
      </c>
      <c r="I1550" s="1">
        <f t="shared" si="1745"/>
        <v>2.0509724779237748E-5</v>
      </c>
      <c r="J1550" s="1">
        <f t="shared" si="1745"/>
        <v>1.7377844265193217E-5</v>
      </c>
      <c r="K1550" s="1">
        <f t="shared" si="1745"/>
        <v>1.5770120512508501E-5</v>
      </c>
      <c r="L1550" s="1">
        <f t="shared" si="1745"/>
        <v>1.6591336439362803E-5</v>
      </c>
      <c r="M1550" s="1">
        <f t="shared" si="1745"/>
        <v>1.552918508437845E-5</v>
      </c>
      <c r="N1550" s="1">
        <f t="shared" si="1745"/>
        <v>1.4644485105517494E-5</v>
      </c>
      <c r="O1550" s="1">
        <f t="shared" si="1745"/>
        <v>1.3917654151347505E-5</v>
      </c>
      <c r="P1550" s="1">
        <f>P1551</f>
        <v>1.2852974999468203E-5</v>
      </c>
      <c r="Q1550" s="1">
        <f>Q1551</f>
        <v>5.3332679197071473E-5</v>
      </c>
      <c r="S1550" s="3"/>
    </row>
    <row r="1551" spans="2:19" x14ac:dyDescent="0.5">
      <c r="B1551" t="str">
        <f t="shared" si="1740"/>
        <v>SPS1</v>
      </c>
      <c r="C1551" t="str">
        <f t="shared" si="1741"/>
        <v>CH</v>
      </c>
      <c r="D1551" t="s">
        <v>1545</v>
      </c>
      <c r="E1551" t="str">
        <f t="shared" si="174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8.043580804187523E-5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1.0196300114038756E-4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2.0509724779237748E-5</v>
      </c>
      <c r="J1551" s="1" cm="1">
        <f t="array" ref="J1551">SUMPRODUCT(("TFLGV-FCLH2O"=[1]OUT_TransportEnergyCons!$A$3:$A$1000)*1,("Var_Fin"=[1]OUT_TransportEnergyCons!$B$3:$B$1000)*1,ISNUMBER(SEARCH("h2",[1]OUT_TransportEnergyCons!$C$3:$C$1000))*1,[1]OUT_TransportEnergyCons!H$3:H$1000)</f>
        <v>1.7377844265193217E-5</v>
      </c>
      <c r="K1551" s="1" cm="1">
        <f t="array" ref="K1551">SUMPRODUCT(("TFLGV-FCLH2O"=[1]OUT_TransportEnergyCons!$A$3:$A$1000)*1,("Var_Fin"=[1]OUT_TransportEnergyCons!$B$3:$B$1000)*1,ISNUMBER(SEARCH("h2",[1]OUT_TransportEnergyCons!$C$3:$C$1000))*1,[1]OUT_TransportEnergyCons!I$3:I$1000)</f>
        <v>1.5770120512508501E-5</v>
      </c>
      <c r="L1551" s="1" cm="1">
        <f t="array" ref="L1551">SUMPRODUCT(("TFLGV-FCLH2O"=[1]OUT_TransportEnergyCons!$A$3:$A$1000)*1,("Var_Fin"=[1]OUT_TransportEnergyCons!$B$3:$B$1000)*1,ISNUMBER(SEARCH("h2",[1]OUT_TransportEnergyCons!$C$3:$C$1000))*1,[1]OUT_TransportEnergyCons!J$3:J$1000)</f>
        <v>1.6591336439362803E-5</v>
      </c>
      <c r="M1551" s="1" cm="1">
        <f t="array" ref="M1551">SUMPRODUCT(("TFLGV-FCLH2O"=[1]OUT_TransportEnergyCons!$A$3:$A$1000)*1,("Var_Fin"=[1]OUT_TransportEnergyCons!$B$3:$B$1000)*1,ISNUMBER(SEARCH("h2",[1]OUT_TransportEnergyCons!$C$3:$C$1000))*1,[1]OUT_TransportEnergyCons!K$3:K$1000)</f>
        <v>1.552918508437845E-5</v>
      </c>
      <c r="N1551" s="1" cm="1">
        <f t="array" ref="N1551">SUMPRODUCT(("TFLGV-FCLH2O"=[1]OUT_TransportEnergyCons!$A$3:$A$1000)*1,("Var_Fin"=[1]OUT_TransportEnergyCons!$B$3:$B$1000)*1,ISNUMBER(SEARCH("h2",[1]OUT_TransportEnergyCons!$C$3:$C$1000))*1,[1]OUT_TransportEnergyCons!L$3:L$1000)</f>
        <v>1.4644485105517494E-5</v>
      </c>
      <c r="O1551" s="1" cm="1">
        <f t="array" ref="O1551">SUMPRODUCT(("TFLGV-FCLH2O"=[1]OUT_TransportEnergyCons!$A$3:$A$1000)*1,("Var_Fin"=[1]OUT_TransportEnergyCons!$B$3:$B$1000)*1,ISNUMBER(SEARCH("h2",[1]OUT_TransportEnergyCons!$C$3:$C$1000))*1,[1]OUT_TransportEnergyCons!M$3:M$1000)</f>
        <v>1.3917654151347505E-5</v>
      </c>
      <c r="P1551" s="1" cm="1">
        <f t="array" ref="P1551">SUMPRODUCT(("TFLGV-FCLH2O"=[1]OUT_TransportEnergyCons!$A$3:$A$1000)*1,("Var_Fin"=[1]OUT_TransportEnergyCons!$B$3:$B$1000)*1,ISNUMBER(SEARCH("h2",[1]OUT_TransportEnergyCons!$C$3:$C$1000))*1,[1]OUT_TransportEnergyCons!N$3:N$1000)</f>
        <v>1.2852974999468203E-5</v>
      </c>
      <c r="Q1551" s="1" cm="1">
        <f t="array" ref="Q1551">SUMPRODUCT(("TFLGV-FCLH2O"=[1]OUT_TransportEnergyCons!$A$3:$A$1000)*1,("Var_Fin"=[1]OUT_TransportEnergyCons!$B$3:$B$1000)*1,ISNUMBER(SEARCH("h2",[1]OUT_TransportEnergyCons!$C$3:$C$1000))*1,[1]OUT_TransportEnergyCons!O$3:O$1000)</f>
        <v>5.3332679197071473E-5</v>
      </c>
      <c r="S1551" s="3"/>
    </row>
    <row r="1552" spans="2:19" x14ac:dyDescent="0.5">
      <c r="B1552" t="str">
        <f t="shared" si="1740"/>
        <v>SPS1</v>
      </c>
      <c r="C1552" t="str">
        <f t="shared" si="1741"/>
        <v>CH</v>
      </c>
      <c r="D1552" t="s">
        <v>1538</v>
      </c>
      <c r="E1552" t="str">
        <f t="shared" si="1744"/>
        <v>PJ/yr.</v>
      </c>
      <c r="F1552" s="1">
        <f>SUM(F1557:F1558)</f>
        <v>1.0980042340069363</v>
      </c>
      <c r="G1552" s="1">
        <f t="shared" ref="G1552:K1552" si="1746">SUM(G1557:G1558)</f>
        <v>1.9325365060358624</v>
      </c>
      <c r="H1552" s="1">
        <f t="shared" si="1746"/>
        <v>1.5000517921790646</v>
      </c>
      <c r="I1552" s="1">
        <f t="shared" si="1746"/>
        <v>1.7461692113049521</v>
      </c>
      <c r="J1552" s="1">
        <f t="shared" si="1746"/>
        <v>1.9822795088539191</v>
      </c>
      <c r="K1552" s="1">
        <f t="shared" si="1746"/>
        <v>1.1845920979032967</v>
      </c>
      <c r="L1552" s="1">
        <f t="shared" ref="L1552:O1552" si="1747">SUM(L1557:L1558)</f>
        <v>1.3029253160321868</v>
      </c>
      <c r="M1552" s="1">
        <f t="shared" si="1747"/>
        <v>1.435079036355388</v>
      </c>
      <c r="N1552" s="1">
        <f t="shared" si="1747"/>
        <v>1.4420833740788295</v>
      </c>
      <c r="O1552" s="1">
        <f t="shared" si="1747"/>
        <v>1.4594662707688477</v>
      </c>
      <c r="P1552" s="1">
        <f>SUM(P1557:P1558)</f>
        <v>1.4597229721835006</v>
      </c>
      <c r="Q1552" s="1">
        <f>SUM(Q1557:Q1558)</f>
        <v>1.4625048954654787</v>
      </c>
      <c r="S1552" s="3"/>
    </row>
    <row r="1553" spans="2:19" x14ac:dyDescent="0.5">
      <c r="B1553" t="str">
        <f t="shared" si="1740"/>
        <v>SPS1</v>
      </c>
      <c r="C1553" t="str">
        <f t="shared" si="1741"/>
        <v>CH</v>
      </c>
      <c r="D1553" t="s">
        <v>1539</v>
      </c>
      <c r="E1553" t="str">
        <f t="shared" si="1744"/>
        <v>PJ/yr.</v>
      </c>
      <c r="F1553" s="1">
        <f>IF(F1552-F1554&lt;0,0,F1552-F1554)</f>
        <v>1.0378981641022784</v>
      </c>
      <c r="G1553" s="1">
        <f t="shared" ref="G1553:K1553" si="1748">IF(G1552-G1554&lt;0,0,G1552-G1554)</f>
        <v>1.8267483048866231</v>
      </c>
      <c r="H1553" s="1">
        <f t="shared" si="1748"/>
        <v>1.4179368268387491</v>
      </c>
      <c r="I1553" s="1">
        <f t="shared" si="1748"/>
        <v>1.6313843173024922</v>
      </c>
      <c r="J1553" s="1">
        <f t="shared" si="1748"/>
        <v>1.8620989411434161</v>
      </c>
      <c r="K1553" s="1">
        <f t="shared" si="1748"/>
        <v>1.1197332758715581</v>
      </c>
      <c r="L1553" s="1">
        <f t="shared" ref="L1553:O1553" si="1749">IF(L1552-L1554&lt;0,0,L1552-L1554)</f>
        <v>1.231586237012221</v>
      </c>
      <c r="M1553" s="1">
        <f t="shared" si="1749"/>
        <v>1.3564759405970963</v>
      </c>
      <c r="N1553" s="1">
        <f t="shared" si="1749"/>
        <v>1.3631192184508452</v>
      </c>
      <c r="O1553" s="1">
        <f t="shared" si="1749"/>
        <v>1.3795179720027528</v>
      </c>
      <c r="P1553" s="1">
        <f>IF(P1552-P1554&lt;0,0,P1552-P1554)</f>
        <v>1.3797717721922702</v>
      </c>
      <c r="Q1553" s="1">
        <f>IF(Q1552-Q1554&lt;0,0,Q1552-Q1554)</f>
        <v>1.3823299078258366</v>
      </c>
      <c r="S1553" s="3"/>
    </row>
    <row r="1554" spans="2:19" x14ac:dyDescent="0.5">
      <c r="B1554" t="str">
        <f t="shared" si="1740"/>
        <v>SPS1</v>
      </c>
      <c r="C1554" t="str">
        <f t="shared" si="1741"/>
        <v>CH</v>
      </c>
      <c r="D1554" t="s">
        <v>1540</v>
      </c>
      <c r="E1554" t="str">
        <f t="shared" si="1744"/>
        <v>PJ/yr.</v>
      </c>
      <c r="F1554" s="1">
        <f>SUM(F1555:F1556)</f>
        <v>6.0106069904657847E-2</v>
      </c>
      <c r="G1554" s="1">
        <f t="shared" ref="G1554:K1554" si="1750">SUM(G1555:G1556)</f>
        <v>0.10578820114923926</v>
      </c>
      <c r="H1554" s="1">
        <f t="shared" si="1750"/>
        <v>8.2114965340315565E-2</v>
      </c>
      <c r="I1554" s="1">
        <f t="shared" si="1750"/>
        <v>0.11478489400245977</v>
      </c>
      <c r="J1554" s="1">
        <f t="shared" si="1750"/>
        <v>0.12018056771050295</v>
      </c>
      <c r="K1554" s="1">
        <f t="shared" si="1750"/>
        <v>6.4858822031738497E-2</v>
      </c>
      <c r="L1554" s="1">
        <f t="shared" ref="L1554:O1554" si="1751">SUM(L1555:L1556)</f>
        <v>7.1339079019965695E-2</v>
      </c>
      <c r="M1554" s="1">
        <f t="shared" si="1751"/>
        <v>7.8603095758291761E-2</v>
      </c>
      <c r="N1554" s="1">
        <f t="shared" si="1751"/>
        <v>7.896415562798427E-2</v>
      </c>
      <c r="O1554" s="1">
        <f t="shared" si="1751"/>
        <v>7.9948298766094786E-2</v>
      </c>
      <c r="P1554" s="1">
        <f>SUM(P1555:P1556)</f>
        <v>7.9951199991230432E-2</v>
      </c>
      <c r="Q1554" s="1">
        <f>SUM(Q1555:Q1556)</f>
        <v>8.0174987639642106E-2</v>
      </c>
      <c r="S1554" s="3"/>
    </row>
    <row r="1555" spans="2:19" x14ac:dyDescent="0.5">
      <c r="B1555" t="str">
        <f t="shared" si="1740"/>
        <v>SPS1</v>
      </c>
      <c r="C1555" t="str">
        <f t="shared" si="1741"/>
        <v>CH</v>
      </c>
      <c r="D1555" t="s">
        <v>1541</v>
      </c>
      <c r="E1555" t="str">
        <f t="shared" si="1744"/>
        <v>PJ/yr.</v>
      </c>
      <c r="F1555" s="1">
        <f>[1]Transport!B$25/SUM([1]Transport!B$21,[1]Transport!B$25)*F1552*(F$35+F$600)/(F$35+F$600+F$39)</f>
        <v>6.0106069904657847E-2</v>
      </c>
      <c r="G1555" s="1">
        <f>[1]Transport!C$25/SUM([1]Transport!C$21,[1]Transport!C$25)*G1552*(G$35+G$600)/(G$35+G$600+G$39)</f>
        <v>0.10578820114923926</v>
      </c>
      <c r="H1555" s="1">
        <f>[1]Transport!D$25/SUM([1]Transport!D$21,[1]Transport!D$25)*H1552*(H$35+H$600)/(H$35+H$600+H$39)</f>
        <v>8.2114965340315565E-2</v>
      </c>
      <c r="I1555" s="1">
        <f>[1]Transport!E$25/SUM([1]Transport!E$21,[1]Transport!E$25)*I1552*(I$35+I$600)/(I$35+I$600+I$39)</f>
        <v>0.11478489400245977</v>
      </c>
      <c r="J1555" s="1">
        <f>[1]Transport!F$25/SUM([1]Transport!F$21,[1]Transport!F$25)*J1552*(J$35+J$600)/(J$35+J$600+J$39)</f>
        <v>0.12018056771050295</v>
      </c>
      <c r="K1555" s="1">
        <f>[1]Transport!G$25/SUM([1]Transport!G$21,[1]Transport!G$25)*K1552*(K$35+K$600)/(K$35+K$600+K$39)</f>
        <v>6.4858822031738497E-2</v>
      </c>
      <c r="L1555" s="1">
        <f>[1]Transport!H$25/SUM([1]Transport!H$21,[1]Transport!H$25)*L1552*(L$35+L$600)/(L$35+L$600+L$39)</f>
        <v>7.1339079019965695E-2</v>
      </c>
      <c r="M1555" s="1">
        <f>[1]Transport!I$25/SUM([1]Transport!I$21,[1]Transport!I$25)*M1552*(M$35+M$600)/(M$35+M$600+M$39)</f>
        <v>7.8603095758291761E-2</v>
      </c>
      <c r="N1555" s="1">
        <f>[1]Transport!J$25/SUM([1]Transport!J$21,[1]Transport!J$25)*N1552*(N$35+N$600)/(N$35+N$600+N$39)</f>
        <v>7.896415562798427E-2</v>
      </c>
      <c r="O1555" s="1">
        <f>[1]Transport!K$25/SUM([1]Transport!K$21,[1]Transport!K$25)*O1552*(O$35+O$600)/(O$35+O$600+O$39)</f>
        <v>7.9948298766094786E-2</v>
      </c>
      <c r="P1555" s="1">
        <f>[1]Transport!L$25/SUM([1]Transport!L$21,[1]Transport!L$25)*P1552*(P$35+P$600)/(P$35+P$600+P$39)</f>
        <v>7.9951199991230432E-2</v>
      </c>
      <c r="Q1555" s="1">
        <f>[1]Transport!M$25/SUM([1]Transport!M$21,[1]Transport!M$25)*Q1552*(Q$35+Q$600)/(Q$35+Q$600+Q$39)</f>
        <v>8.0174987639642106E-2</v>
      </c>
      <c r="S1555" s="3"/>
    </row>
    <row r="1556" spans="2:19" x14ac:dyDescent="0.5">
      <c r="B1556" t="str">
        <f t="shared" si="1740"/>
        <v>SPS1</v>
      </c>
      <c r="C1556" t="str">
        <f t="shared" si="1741"/>
        <v>CH</v>
      </c>
      <c r="D1556" t="s">
        <v>1542</v>
      </c>
      <c r="E1556" t="str">
        <f t="shared" si="174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(J$39+J$719)/([1]Transport!F$21+[1]Transport!F$25)*J1552</f>
        <v>0</v>
      </c>
      <c r="K1556" s="1">
        <f>(K$39+K$719)/([1]Transport!G$21+[1]Transport!G$25)*K1552</f>
        <v>0</v>
      </c>
      <c r="L1556" s="1">
        <f>(L$39+L$719)/([1]Transport!H$21+[1]Transport!H$25)*L1552</f>
        <v>0</v>
      </c>
      <c r="M1556" s="1">
        <f>(M$39+M$719)/([1]Transport!I$21+[1]Transport!I$25)*M1552</f>
        <v>0</v>
      </c>
      <c r="N1556" s="1">
        <f>(N$39+N$719)/([1]Transport!J$21+[1]Transport!J$25)*N1552</f>
        <v>0</v>
      </c>
      <c r="O1556" s="1">
        <f>(O$39+O$719)/([1]Transport!K$21+[1]Transport!K$25)*O1552</f>
        <v>0</v>
      </c>
      <c r="P1556" s="1">
        <f>(P$39+P$719)/([1]Transport!L$21+[1]Transport!L$25)*P1552</f>
        <v>0</v>
      </c>
      <c r="Q1556" s="1">
        <f>(Q$39+Q$719)/([1]Transport!M$21+[1]Transport!M$25)*Q1552</f>
        <v>0</v>
      </c>
      <c r="S1556" s="3"/>
    </row>
    <row r="1557" spans="2:19" x14ac:dyDescent="0.5">
      <c r="B1557" t="str">
        <f t="shared" si="1740"/>
        <v>SPS1</v>
      </c>
      <c r="C1557" t="str">
        <f t="shared" si="1741"/>
        <v>CH</v>
      </c>
      <c r="D1557" t="s">
        <v>1588</v>
      </c>
      <c r="E1557" t="str">
        <f t="shared" si="174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0.72261136268672554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1.3546418072013535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0.56979378111295265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0.27122824331465983</v>
      </c>
      <c r="J1557" s="1" cm="1">
        <f t="array" ref="J1557">SUMPRODUCT(("TFLGV-ICEGSLExt"=[1]OUT_TransportEnergyCons!$A$3:$A$1000)*1,("Var_Fin"=[1]OUT_TransportEnergyCons!$B$3:$B$1000)*1,ISNUMBER(SEARCH("gsl",[1]OUT_TransportEnergyCons!$C$3:$C$1000))*1,[1]OUT_TransportEnergyCons!H$3:H$1000)</f>
        <v>0</v>
      </c>
      <c r="K1557" s="1" cm="1">
        <f t="array" ref="K1557">SUMPRODUCT(("TFLGV-ICEGSLExt"=[1]OUT_TransportEnergyCons!$A$3:$A$1000)*1,("Var_Fin"=[1]OUT_TransportEnergyCons!$B$3:$B$1000)*1,ISNUMBER(SEARCH("gsl",[1]OUT_TransportEnergyCons!$C$3:$C$1000))*1,[1]OUT_TransportEnergyCons!I$3:I$1000)</f>
        <v>0</v>
      </c>
      <c r="L1557" s="1" cm="1">
        <f t="array" ref="L1557">SUMPRODUCT(("TFLGV-ICEGSLExt"=[1]OUT_TransportEnergyCons!$A$3:$A$1000)*1,("Var_Fin"=[1]OUT_TransportEnergyCons!$B$3:$B$1000)*1,ISNUMBER(SEARCH("gsl",[1]OUT_TransportEnergyCons!$C$3:$C$1000))*1,[1]OUT_TransportEnergyCons!J$3:J$1000)</f>
        <v>0</v>
      </c>
      <c r="M1557" s="1" cm="1">
        <f t="array" ref="M1557">SUMPRODUCT(("TFLGV-ICEGSLExt"=[1]OUT_TransportEnergyCons!$A$3:$A$1000)*1,("Var_Fin"=[1]OUT_TransportEnergyCons!$B$3:$B$1000)*1,ISNUMBER(SEARCH("gsl",[1]OUT_TransportEnergyCons!$C$3:$C$1000))*1,[1]OUT_TransportEnergyCons!K$3:K$1000)</f>
        <v>0</v>
      </c>
      <c r="N1557" s="1" cm="1">
        <f t="array" ref="N1557">SUMPRODUCT(("TFLGV-ICEGSLExt"=[1]OUT_TransportEnergyCons!$A$3:$A$1000)*1,("Var_Fin"=[1]OUT_TransportEnergyCons!$B$3:$B$1000)*1,ISNUMBER(SEARCH("gsl",[1]OUT_TransportEnergyCons!$C$3:$C$1000))*1,[1]OUT_TransportEnergyCons!L$3:L$1000)</f>
        <v>0</v>
      </c>
      <c r="O1557" s="1" cm="1">
        <f t="array" ref="O1557">SUMPRODUCT(("TFLGV-ICEGSLExt"=[1]OUT_TransportEnergyCons!$A$3:$A$1000)*1,("Var_Fin"=[1]OUT_TransportEnergyCons!$B$3:$B$1000)*1,ISNUMBER(SEARCH("gsl",[1]OUT_TransportEnergyCons!$C$3:$C$1000))*1,[1]OUT_TransportEnergyCons!M$3:M$1000)</f>
        <v>0</v>
      </c>
      <c r="P1557" s="1" cm="1">
        <f t="array" ref="P1557">SUMPRODUCT(("TFLGV-ICEGSLExt"=[1]OUT_TransportEnergyCons!$A$3:$A$1000)*1,("Var_Fin"=[1]OUT_TransportEnergyCons!$B$3:$B$1000)*1,ISNUMBER(SEARCH("gsl",[1]OUT_TransportEnergyCons!$C$3:$C$1000))*1,[1]OUT_TransportEnergyCons!N$3:N$1000)</f>
        <v>0</v>
      </c>
      <c r="Q1557" s="1" cm="1">
        <f t="array" ref="Q1557">SUMPRODUCT(("TFLGV-ICEGSLExt"=[1]OUT_TransportEnergyCons!$A$3:$A$1000)*1,("Var_Fin"=[1]OUT_TransportEnergyCons!$B$3:$B$1000)*1,ISNUMBER(SEARCH("gsl",[1]OUT_TransportEnergyCons!$C$3:$C$1000))*1,[1]OUT_TransportEnergyCons!O$3:O$1000)</f>
        <v>0</v>
      </c>
      <c r="S1557" s="3"/>
    </row>
    <row r="1558" spans="2:19" x14ac:dyDescent="0.5">
      <c r="B1558" t="str">
        <f t="shared" si="1740"/>
        <v>SPS1</v>
      </c>
      <c r="C1558" t="str">
        <f t="shared" si="1741"/>
        <v>CH</v>
      </c>
      <c r="D1558" t="s">
        <v>1587</v>
      </c>
      <c r="E1558" t="str">
        <f t="shared" si="174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0.37539287132021076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0.57789469883450884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0.93025801106611183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1.4749409679902923</v>
      </c>
      <c r="J1558" s="1" cm="1">
        <f t="array" ref="J1558">SUMPRODUCT(("TFLGV-ICEGSL"=[1]OUT_TransportEnergyCons!$A$3:$A$1000)*1,("Var_Fin"=[1]OUT_TransportEnergyCons!$B$3:$B$1000)*1,ISNUMBER(SEARCH("gsl",[1]OUT_TransportEnergyCons!$C$3:$C$1000))*1,[1]OUT_TransportEnergyCons!H$3:H$1000)</f>
        <v>1.9822795088539191</v>
      </c>
      <c r="K1558" s="1" cm="1">
        <f t="array" ref="K1558">SUMPRODUCT(("TFLGV-ICEGSL"=[1]OUT_TransportEnergyCons!$A$3:$A$1000)*1,("Var_Fin"=[1]OUT_TransportEnergyCons!$B$3:$B$1000)*1,ISNUMBER(SEARCH("gsl",[1]OUT_TransportEnergyCons!$C$3:$C$1000))*1,[1]OUT_TransportEnergyCons!I$3:I$1000)</f>
        <v>1.1845920979032967</v>
      </c>
      <c r="L1558" s="1" cm="1">
        <f t="array" ref="L1558">SUMPRODUCT(("TFLGV-ICEGSL"=[1]OUT_TransportEnergyCons!$A$3:$A$1000)*1,("Var_Fin"=[1]OUT_TransportEnergyCons!$B$3:$B$1000)*1,ISNUMBER(SEARCH("gsl",[1]OUT_TransportEnergyCons!$C$3:$C$1000))*1,[1]OUT_TransportEnergyCons!J$3:J$1000)</f>
        <v>1.3029253160321868</v>
      </c>
      <c r="M1558" s="1" cm="1">
        <f t="array" ref="M1558">SUMPRODUCT(("TFLGV-ICEGSL"=[1]OUT_TransportEnergyCons!$A$3:$A$1000)*1,("Var_Fin"=[1]OUT_TransportEnergyCons!$B$3:$B$1000)*1,ISNUMBER(SEARCH("gsl",[1]OUT_TransportEnergyCons!$C$3:$C$1000))*1,[1]OUT_TransportEnergyCons!K$3:K$1000)</f>
        <v>1.435079036355388</v>
      </c>
      <c r="N1558" s="1" cm="1">
        <f t="array" ref="N1558">SUMPRODUCT(("TFLGV-ICEGSL"=[1]OUT_TransportEnergyCons!$A$3:$A$1000)*1,("Var_Fin"=[1]OUT_TransportEnergyCons!$B$3:$B$1000)*1,ISNUMBER(SEARCH("gsl",[1]OUT_TransportEnergyCons!$C$3:$C$1000))*1,[1]OUT_TransportEnergyCons!L$3:L$1000)</f>
        <v>1.4420833740788295</v>
      </c>
      <c r="O1558" s="1" cm="1">
        <f t="array" ref="O1558">SUMPRODUCT(("TFLGV-ICEGSL"=[1]OUT_TransportEnergyCons!$A$3:$A$1000)*1,("Var_Fin"=[1]OUT_TransportEnergyCons!$B$3:$B$1000)*1,ISNUMBER(SEARCH("gsl",[1]OUT_TransportEnergyCons!$C$3:$C$1000))*1,[1]OUT_TransportEnergyCons!M$3:M$1000)</f>
        <v>1.4594662707688477</v>
      </c>
      <c r="P1558" s="1" cm="1">
        <f t="array" ref="P1558">SUMPRODUCT(("TFLGV-ICEGSL"=[1]OUT_TransportEnergyCons!$A$3:$A$1000)*1,("Var_Fin"=[1]OUT_TransportEnergyCons!$B$3:$B$1000)*1,ISNUMBER(SEARCH("gsl",[1]OUT_TransportEnergyCons!$C$3:$C$1000))*1,[1]OUT_TransportEnergyCons!N$3:N$1000)</f>
        <v>1.4597229721835006</v>
      </c>
      <c r="Q1558" s="1" cm="1">
        <f t="array" ref="Q1558">SUMPRODUCT(("TFLGV-ICEGSL"=[1]OUT_TransportEnergyCons!$A$3:$A$1000)*1,("Var_Fin"=[1]OUT_TransportEnergyCons!$B$3:$B$1000)*1,ISNUMBER(SEARCH("gsl",[1]OUT_TransportEnergyCons!$C$3:$C$1000))*1,[1]OUT_TransportEnergyCons!O$3:O$1000)</f>
        <v>1.4625048954654787</v>
      </c>
      <c r="S1558" s="3"/>
    </row>
    <row r="1559" spans="2:19" x14ac:dyDescent="0.5">
      <c r="B1559" t="str">
        <f t="shared" si="1740"/>
        <v>SPS1</v>
      </c>
      <c r="C1559" t="str">
        <f t="shared" si="1741"/>
        <v>CH</v>
      </c>
      <c r="D1559" t="s">
        <v>1546</v>
      </c>
      <c r="E1559" t="str">
        <f t="shared" si="1744"/>
        <v>PJ/yr.</v>
      </c>
      <c r="F1559" s="1">
        <f>SUM(F1564:F1566)</f>
        <v>15.529470113543571</v>
      </c>
      <c r="G1559" s="1">
        <f t="shared" ref="G1559:K1559" si="1752">SUM(G1564:G1566)</f>
        <v>13.605242569159461</v>
      </c>
      <c r="H1559" s="1">
        <f t="shared" si="1752"/>
        <v>12.250377935392384</v>
      </c>
      <c r="I1559" s="1">
        <f t="shared" si="1752"/>
        <v>8.6028685898192485</v>
      </c>
      <c r="J1559" s="1">
        <f t="shared" si="1752"/>
        <v>4.8188365206438535</v>
      </c>
      <c r="K1559" s="1">
        <f t="shared" si="1752"/>
        <v>2.5343127960708416</v>
      </c>
      <c r="L1559" s="1">
        <f t="shared" ref="L1559:O1559" si="1753">SUM(L1564:L1566)</f>
        <v>2.6033734545720852</v>
      </c>
      <c r="M1559" s="1">
        <f t="shared" si="1753"/>
        <v>2.6156362505167947</v>
      </c>
      <c r="N1559" s="1">
        <f t="shared" si="1753"/>
        <v>2.6827125010007609</v>
      </c>
      <c r="O1559" s="1">
        <f t="shared" si="1753"/>
        <v>2.6897576449754332</v>
      </c>
      <c r="P1559" s="1">
        <f>SUM(P1564:P1566)</f>
        <v>2.6612211030079282</v>
      </c>
      <c r="Q1559" s="1">
        <f>SUM(Q1564:Q1566)</f>
        <v>2.7118065797954807</v>
      </c>
      <c r="S1559" s="3"/>
    </row>
    <row r="1560" spans="2:19" x14ac:dyDescent="0.5">
      <c r="B1560" t="str">
        <f t="shared" si="1740"/>
        <v>SPS1</v>
      </c>
      <c r="C1560" t="str">
        <f t="shared" si="1741"/>
        <v>CH</v>
      </c>
      <c r="D1560" t="s">
        <v>1547</v>
      </c>
      <c r="E1560" t="str">
        <f t="shared" si="1744"/>
        <v>PJ/yr.</v>
      </c>
      <c r="F1560" s="1">
        <f>IF(F1559-F1561&lt;0,0,F1559-F1561)</f>
        <v>15.144071685289292</v>
      </c>
      <c r="G1560" s="1">
        <f t="shared" ref="G1560:K1560" si="1754">IF(G1559-G1561&lt;0,0,G1559-G1561)</f>
        <v>13.249002093256983</v>
      </c>
      <c r="H1560" s="1">
        <f t="shared" si="1754"/>
        <v>11.700788663206223</v>
      </c>
      <c r="I1560" s="1">
        <f t="shared" si="1754"/>
        <v>8.3253512066898132</v>
      </c>
      <c r="J1560" s="1">
        <f t="shared" si="1754"/>
        <v>4.6490148806805376</v>
      </c>
      <c r="K1560" s="1">
        <f t="shared" si="1754"/>
        <v>2.4353492199319904</v>
      </c>
      <c r="L1560" s="1">
        <f t="shared" ref="L1560:O1560" si="1755">IF(L1559-L1561&lt;0,0,L1559-L1561)</f>
        <v>2.5006106076851919</v>
      </c>
      <c r="M1560" s="1">
        <f t="shared" si="1755"/>
        <v>2.510795050304329</v>
      </c>
      <c r="N1560" s="1">
        <f t="shared" si="1755"/>
        <v>2.5740954783714995</v>
      </c>
      <c r="O1560" s="1">
        <f t="shared" si="1755"/>
        <v>2.5625852375123546</v>
      </c>
      <c r="P1560" s="1">
        <f>IF(P1559-P1561&lt;0,0,P1559-P1561)</f>
        <v>2.5085243811250488</v>
      </c>
      <c r="Q1560" s="1">
        <f>IF(Q1559-Q1561&lt;0,0,Q1559-Q1561)</f>
        <v>2.5471011520625817</v>
      </c>
      <c r="S1560" s="3"/>
    </row>
    <row r="1561" spans="2:19" x14ac:dyDescent="0.5">
      <c r="B1561" t="str">
        <f t="shared" si="1740"/>
        <v>SPS1</v>
      </c>
      <c r="C1561" t="str">
        <f t="shared" si="1741"/>
        <v>CH</v>
      </c>
      <c r="D1561" t="s">
        <v>1548</v>
      </c>
      <c r="E1561" t="str">
        <f t="shared" si="1744"/>
        <v>PJ/yr.</v>
      </c>
      <c r="F1561" s="1">
        <f>SUM(F1562:F1563)</f>
        <v>0.38539842825427933</v>
      </c>
      <c r="G1561" s="1">
        <f t="shared" ref="G1561:K1561" si="1756">SUM(G1562:G1563)</f>
        <v>0.35624047590247832</v>
      </c>
      <c r="H1561" s="1">
        <f t="shared" si="1756"/>
        <v>0.54958927218616138</v>
      </c>
      <c r="I1561" s="1">
        <f t="shared" si="1756"/>
        <v>0.27751738312943591</v>
      </c>
      <c r="J1561" s="1">
        <f t="shared" si="1756"/>
        <v>0.16982163996331548</v>
      </c>
      <c r="K1561" s="1">
        <f t="shared" si="1756"/>
        <v>9.8963576138851247E-2</v>
      </c>
      <c r="L1561" s="1">
        <f t="shared" ref="L1561:O1561" si="1757">SUM(L1562:L1563)</f>
        <v>0.1027628468868932</v>
      </c>
      <c r="M1561" s="1">
        <f t="shared" si="1757"/>
        <v>0.10484120021246554</v>
      </c>
      <c r="N1561" s="1">
        <f t="shared" si="1757"/>
        <v>0.10861702262926147</v>
      </c>
      <c r="O1561" s="1">
        <f t="shared" si="1757"/>
        <v>0.12717240746307848</v>
      </c>
      <c r="P1561" s="1">
        <f>SUM(P1562:P1563)</f>
        <v>0.15269672188287953</v>
      </c>
      <c r="Q1561" s="1">
        <f>SUM(Q1562:Q1563)</f>
        <v>0.16470542773289898</v>
      </c>
      <c r="S1561" s="3"/>
    </row>
    <row r="1562" spans="2:19" x14ac:dyDescent="0.5">
      <c r="B1562" t="str">
        <f t="shared" si="1740"/>
        <v>SPS1</v>
      </c>
      <c r="C1562" t="str">
        <f t="shared" si="1741"/>
        <v>CH</v>
      </c>
      <c r="D1562" t="s">
        <v>1549</v>
      </c>
      <c r="E1562" t="str">
        <f t="shared" si="1744"/>
        <v>PJ/yr.</v>
      </c>
      <c r="F1562" s="1">
        <f>[1]Transport!B$26/SUM([1]Transport!B$22,[1]Transport!B$26)*F1559*(F$34+F$582)/(F$34+F$582+F$38)</f>
        <v>0.38539842825427933</v>
      </c>
      <c r="G1562" s="1">
        <f>[1]Transport!C$26/SUM([1]Transport!C$22,[1]Transport!C$26)*G1559*(G$34+G$582)/(G$34+G$582+G$38)</f>
        <v>0.35624047590247832</v>
      </c>
      <c r="H1562" s="1">
        <f>[1]Transport!D$26/SUM([1]Transport!D$22,[1]Transport!D$26)*H1559*(H$34+H$582)/(H$34+H$582+H$38)</f>
        <v>0.54958927218616138</v>
      </c>
      <c r="I1562" s="1">
        <f>[1]Transport!E$26/SUM([1]Transport!E$22,[1]Transport!E$26)*I1559*(I$34+I$582)/(I$34+I$582+I$38)</f>
        <v>0.27751738312943591</v>
      </c>
      <c r="J1562" s="1">
        <f>[1]Transport!F$26/SUM([1]Transport!F$22,[1]Transport!F$26)*J1559*(J$34+J$582)/(J$34+J$582+J$38)</f>
        <v>0.16982163996331548</v>
      </c>
      <c r="K1562" s="1">
        <f>[1]Transport!G$26/SUM([1]Transport!G$22,[1]Transport!G$26)*K1559*(K$34+K$582)/(K$34+K$582+K$38)</f>
        <v>9.8963576138851247E-2</v>
      </c>
      <c r="L1562" s="1">
        <f>[1]Transport!H$26/SUM([1]Transport!H$22,[1]Transport!H$26)*L1559*(L$34+L$582)/(L$34+L$582+L$38)</f>
        <v>0.1027628468868932</v>
      </c>
      <c r="M1562" s="1">
        <f>[1]Transport!I$26/SUM([1]Transport!I$22,[1]Transport!I$26)*M1559*(M$34+M$582)/(M$34+M$582+M$38)</f>
        <v>0.10484120021246554</v>
      </c>
      <c r="N1562" s="1">
        <f>[1]Transport!J$26/SUM([1]Transport!J$22,[1]Transport!J$26)*N1559*(N$34+N$582)/(N$34+N$582+N$38)</f>
        <v>0.10861702262926147</v>
      </c>
      <c r="O1562" s="1">
        <f>[1]Transport!K$26/SUM([1]Transport!K$22,[1]Transport!K$26)*O1559*(O$34+O$582)/(O$34+O$582+O$38)</f>
        <v>0.12717240746307848</v>
      </c>
      <c r="P1562" s="1">
        <f>[1]Transport!L$26/SUM([1]Transport!L$22,[1]Transport!L$26)*P1559*(P$34+P$582)/(P$34+P$582+P$38)</f>
        <v>0.15269672188287953</v>
      </c>
      <c r="Q1562" s="1">
        <f>[1]Transport!M$26/SUM([1]Transport!M$22,[1]Transport!M$26)*Q1559*(Q$34+Q$582)/(Q$34+Q$582+Q$38)</f>
        <v>0.16470542773289898</v>
      </c>
      <c r="S1562" s="3"/>
    </row>
    <row r="1563" spans="2:19" x14ac:dyDescent="0.5">
      <c r="B1563" t="str">
        <f t="shared" si="1740"/>
        <v>SPS1</v>
      </c>
      <c r="C1563" t="str">
        <f t="shared" si="1741"/>
        <v>CH</v>
      </c>
      <c r="D1563" t="s">
        <v>1550</v>
      </c>
      <c r="E1563" t="str">
        <f t="shared" si="174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(J$38+J$718)/([1]Transport!F$22+[1]Transport!F$26)*J1559</f>
        <v>0</v>
      </c>
      <c r="K1563" s="1">
        <f>(K$38+K$718)/([1]Transport!G$22+[1]Transport!G$26)*K1559</f>
        <v>0</v>
      </c>
      <c r="L1563" s="1">
        <f>(L$38+L$718)/([1]Transport!H$22+[1]Transport!H$26)*L1559</f>
        <v>0</v>
      </c>
      <c r="M1563" s="1">
        <f>(M$38+M$718)/([1]Transport!I$22+[1]Transport!I$26)*M1559</f>
        <v>0</v>
      </c>
      <c r="N1563" s="1">
        <f>(N$38+N$718)/([1]Transport!J$22+[1]Transport!J$26)*N1559</f>
        <v>0</v>
      </c>
      <c r="O1563" s="1">
        <f>(O$38+O$718)/([1]Transport!K$22+[1]Transport!K$26)*O1559</f>
        <v>0</v>
      </c>
      <c r="P1563" s="1">
        <f>(P$38+P$718)/([1]Transport!L$22+[1]Transport!L$26)*P1559</f>
        <v>0</v>
      </c>
      <c r="Q1563" s="1">
        <f>(Q$38+Q$718)/([1]Transport!M$22+[1]Transport!M$26)*Q1559</f>
        <v>0</v>
      </c>
      <c r="S1563" s="3"/>
    </row>
    <row r="1564" spans="2:19" x14ac:dyDescent="0.5">
      <c r="B1564" t="str">
        <f t="shared" si="1740"/>
        <v>SPS1</v>
      </c>
      <c r="C1564" t="str">
        <f t="shared" si="1741"/>
        <v>CH</v>
      </c>
      <c r="D1564" t="s">
        <v>1551</v>
      </c>
      <c r="E1564" t="str">
        <f t="shared" si="174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11.083831436757585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7.9088077692596785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5.6672481971487878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2.7256527704374518</v>
      </c>
      <c r="J1564" s="1" cm="1">
        <f t="array" ref="J1564">SUMPRODUCT(("TFLGV-ICEdslExt"=[1]OUT_TransportEnergyCons!$A$3:$A$1000)*1,("Var_Fin"=[1]OUT_TransportEnergyCons!$B$3:$B$1000)*1,ISNUMBER(SEARCH("dsl",[1]OUT_TransportEnergyCons!$C$3:$C$1000))*1,[1]OUT_TransportEnergyCons!H$3:H$1000)</f>
        <v>0</v>
      </c>
      <c r="K1564" s="1" cm="1">
        <f t="array" ref="K1564">SUMPRODUCT(("TFLGV-ICEdslExt"=[1]OUT_TransportEnergyCons!$A$3:$A$1000)*1,("Var_Fin"=[1]OUT_TransportEnergyCons!$B$3:$B$1000)*1,ISNUMBER(SEARCH("dsl",[1]OUT_TransportEnergyCons!$C$3:$C$1000))*1,[1]OUT_TransportEnergyCons!I$3:I$1000)</f>
        <v>0</v>
      </c>
      <c r="L1564" s="1" cm="1">
        <f t="array" ref="L1564">SUMPRODUCT(("TFLGV-ICEdslExt"=[1]OUT_TransportEnergyCons!$A$3:$A$1000)*1,("Var_Fin"=[1]OUT_TransportEnergyCons!$B$3:$B$1000)*1,ISNUMBER(SEARCH("dsl",[1]OUT_TransportEnergyCons!$C$3:$C$1000))*1,[1]OUT_TransportEnergyCons!J$3:J$1000)</f>
        <v>0</v>
      </c>
      <c r="M1564" s="1" cm="1">
        <f t="array" ref="M1564">SUMPRODUCT(("TFLGV-ICEdslExt"=[1]OUT_TransportEnergyCons!$A$3:$A$1000)*1,("Var_Fin"=[1]OUT_TransportEnergyCons!$B$3:$B$1000)*1,ISNUMBER(SEARCH("dsl",[1]OUT_TransportEnergyCons!$C$3:$C$1000))*1,[1]OUT_TransportEnergyCons!K$3:K$1000)</f>
        <v>0</v>
      </c>
      <c r="N1564" s="1" cm="1">
        <f t="array" ref="N1564">SUMPRODUCT(("TFLGV-ICEdslExt"=[1]OUT_TransportEnergyCons!$A$3:$A$1000)*1,("Var_Fin"=[1]OUT_TransportEnergyCons!$B$3:$B$1000)*1,ISNUMBER(SEARCH("dsl",[1]OUT_TransportEnergyCons!$C$3:$C$1000))*1,[1]OUT_TransportEnergyCons!L$3:L$1000)</f>
        <v>0</v>
      </c>
      <c r="O1564" s="1" cm="1">
        <f t="array" ref="O1564">SUMPRODUCT(("TFLGV-ICEdslExt"=[1]OUT_TransportEnergyCons!$A$3:$A$1000)*1,("Var_Fin"=[1]OUT_TransportEnergyCons!$B$3:$B$1000)*1,ISNUMBER(SEARCH("dsl",[1]OUT_TransportEnergyCons!$C$3:$C$1000))*1,[1]OUT_TransportEnergyCons!M$3:M$1000)</f>
        <v>0</v>
      </c>
      <c r="P1564" s="1" cm="1">
        <f t="array" ref="P1564">SUMPRODUCT(("TFLGV-ICEdslExt"=[1]OUT_TransportEnergyCons!$A$3:$A$1000)*1,("Var_Fin"=[1]OUT_TransportEnergyCons!$B$3:$B$1000)*1,ISNUMBER(SEARCH("dsl",[1]OUT_TransportEnergyCons!$C$3:$C$1000))*1,[1]OUT_TransportEnergyCons!N$3:N$1000)</f>
        <v>0</v>
      </c>
      <c r="Q1564" s="1" cm="1">
        <f t="array" ref="Q1564">SUMPRODUCT(("TFLGV-ICEdslExt"=[1]OUT_TransportEnergyCons!$A$3:$A$1000)*1,("Var_Fin"=[1]OUT_TransportEnergyCons!$B$3:$B$1000)*1,ISNUMBER(SEARCH("dsl",[1]OUT_TransportEnergyCons!$C$3:$C$1000))*1,[1]OUT_TransportEnergyCons!O$3:O$1000)</f>
        <v>0</v>
      </c>
      <c r="S1564" s="3"/>
    </row>
    <row r="1565" spans="2:19" x14ac:dyDescent="0.5">
      <c r="B1565" t="str">
        <f t="shared" si="1740"/>
        <v>SPS1</v>
      </c>
      <c r="C1565" t="str">
        <f t="shared" si="1741"/>
        <v>CH</v>
      </c>
      <c r="D1565" t="s">
        <v>1552</v>
      </c>
      <c r="E1565" t="str">
        <f t="shared" si="174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4.4456386767859852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5.248446301357709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5.2477497903816985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2.0994650428594439</v>
      </c>
      <c r="J1565" s="1" cm="1">
        <f t="array" ref="J1565">SUMPRODUCT(("TFLGV-ICEdsl"=[1]OUT_TransportEnergyCons!$A$3:$A$1000)*1,("Var_Fin"=[1]OUT_TransportEnergyCons!$B$3:$B$1000)*1,ISNUMBER(SEARCH("dsl",[1]OUT_TransportEnergyCons!$C$3:$C$1000))*1,[1]OUT_TransportEnergyCons!H$3:H$1000)</f>
        <v>0.27102472759770557</v>
      </c>
      <c r="K1565" s="1" cm="1">
        <f t="array" ref="K1565">SUMPRODUCT(("TFLGV-ICEdsl"=[1]OUT_TransportEnergyCons!$A$3:$A$1000)*1,("Var_Fin"=[1]OUT_TransportEnergyCons!$B$3:$B$1000)*1,ISNUMBER(SEARCH("dsl",[1]OUT_TransportEnergyCons!$C$3:$C$1000))*1,[1]OUT_TransportEnergyCons!I$3:I$1000)</f>
        <v>0.26895963558200675</v>
      </c>
      <c r="L1565" s="1" cm="1">
        <f t="array" ref="L1565">SUMPRODUCT(("TFLGV-ICEdsl"=[1]OUT_TransportEnergyCons!$A$3:$A$1000)*1,("Var_Fin"=[1]OUT_TransportEnergyCons!$B$3:$B$1000)*1,ISNUMBER(SEARCH("dsl",[1]OUT_TransportEnergyCons!$C$3:$C$1000))*1,[1]OUT_TransportEnergyCons!J$3:J$1000)</f>
        <v>0.14705951772836173</v>
      </c>
      <c r="M1565" s="1" cm="1">
        <f t="array" ref="M1565">SUMPRODUCT(("TFLGV-ICEdsl"=[1]OUT_TransportEnergyCons!$A$3:$A$1000)*1,("Var_Fin"=[1]OUT_TransportEnergyCons!$B$3:$B$1000)*1,ISNUMBER(SEARCH("dsl",[1]OUT_TransportEnergyCons!$C$3:$C$1000))*1,[1]OUT_TransportEnergyCons!K$3:K$1000)</f>
        <v>1.2709754350169361E-2</v>
      </c>
      <c r="N1565" s="1" cm="1">
        <f t="array" ref="N1565">SUMPRODUCT(("TFLGV-ICEdsl"=[1]OUT_TransportEnergyCons!$A$3:$A$1000)*1,("Var_Fin"=[1]OUT_TransportEnergyCons!$B$3:$B$1000)*1,ISNUMBER(SEARCH("dsl",[1]OUT_TransportEnergyCons!$C$3:$C$1000))*1,[1]OUT_TransportEnergyCons!L$3:L$1000)</f>
        <v>1.1318170605097086E-2</v>
      </c>
      <c r="O1565" s="1" cm="1">
        <f t="array" ref="O1565">SUMPRODUCT(("TFLGV-ICEdsl"=[1]OUT_TransportEnergyCons!$A$3:$A$1000)*1,("Var_Fin"=[1]OUT_TransportEnergyCons!$B$3:$B$1000)*1,ISNUMBER(SEARCH("dsl",[1]OUT_TransportEnergyCons!$C$3:$C$1000))*1,[1]OUT_TransportEnergyCons!M$3:M$1000)</f>
        <v>9.3886106246954971E-3</v>
      </c>
      <c r="P1565" s="1" cm="1">
        <f t="array" ref="P1565">SUMPRODUCT(("TFLGV-ICEdsl"=[1]OUT_TransportEnergyCons!$A$3:$A$1000)*1,("Var_Fin"=[1]OUT_TransportEnergyCons!$B$3:$B$1000)*1,ISNUMBER(SEARCH("dsl",[1]OUT_TransportEnergyCons!$C$3:$C$1000))*1,[1]OUT_TransportEnergyCons!N$3:N$1000)</f>
        <v>7.6600856871427737E-3</v>
      </c>
      <c r="Q1565" s="1" cm="1">
        <f t="array" ref="Q1565">SUMPRODUCT(("TFLGV-ICEdsl"=[1]OUT_TransportEnergyCons!$A$3:$A$1000)*1,("Var_Fin"=[1]OUT_TransportEnergyCons!$B$3:$B$1000)*1,ISNUMBER(SEARCH("dsl",[1]OUT_TransportEnergyCons!$C$3:$C$1000))*1,[1]OUT_TransportEnergyCons!O$3:O$1000)</f>
        <v>1.1021810451541512E-2</v>
      </c>
      <c r="S1565" s="3"/>
    </row>
    <row r="1566" spans="2:19" x14ac:dyDescent="0.5">
      <c r="B1566" t="str">
        <f t="shared" si="1740"/>
        <v>SPS1</v>
      </c>
      <c r="C1566" t="str">
        <f t="shared" si="1741"/>
        <v>CH</v>
      </c>
      <c r="D1566" t="s">
        <v>1553</v>
      </c>
      <c r="E1566" t="str">
        <f t="shared" si="174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0.44798849854207373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1.3353799478618966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3.7777507765223524</v>
      </c>
      <c r="J1566" s="1" cm="1">
        <f t="array" ref="J1566">SUMPRODUCT(("TFLGV-HYBDSL"=[1]OUT_TransportEnergyCons!$A$3:$A$1000)*1,("Var_Fin"=[1]OUT_TransportEnergyCons!$B$3:$B$1000)*1,ISNUMBER(SEARCH("dsl",[1]OUT_TransportEnergyCons!$C$3:$C$1000))*1,[1]OUT_TransportEnergyCons!H$3:H$1000)</f>
        <v>4.5478117930461481</v>
      </c>
      <c r="K1566" s="1" cm="1">
        <f t="array" ref="K1566">SUMPRODUCT(("TFLGV-HYBDSL"=[1]OUT_TransportEnergyCons!$A$3:$A$1000)*1,("Var_Fin"=[1]OUT_TransportEnergyCons!$B$3:$B$1000)*1,ISNUMBER(SEARCH("dsl",[1]OUT_TransportEnergyCons!$C$3:$C$1000))*1,[1]OUT_TransportEnergyCons!I$3:I$1000)</f>
        <v>2.2653531604888348</v>
      </c>
      <c r="L1566" s="1" cm="1">
        <f t="array" ref="L1566">SUMPRODUCT(("TFLGV-HYBDSL"=[1]OUT_TransportEnergyCons!$A$3:$A$1000)*1,("Var_Fin"=[1]OUT_TransportEnergyCons!$B$3:$B$1000)*1,ISNUMBER(SEARCH("dsl",[1]OUT_TransportEnergyCons!$C$3:$C$1000))*1,[1]OUT_TransportEnergyCons!J$3:J$1000)</f>
        <v>2.4563139368437237</v>
      </c>
      <c r="M1566" s="1" cm="1">
        <f t="array" ref="M1566">SUMPRODUCT(("TFLGV-HYBDSL"=[1]OUT_TransportEnergyCons!$A$3:$A$1000)*1,("Var_Fin"=[1]OUT_TransportEnergyCons!$B$3:$B$1000)*1,ISNUMBER(SEARCH("dsl",[1]OUT_TransportEnergyCons!$C$3:$C$1000))*1,[1]OUT_TransportEnergyCons!K$3:K$1000)</f>
        <v>2.6029264961666252</v>
      </c>
      <c r="N1566" s="1" cm="1">
        <f t="array" ref="N1566">SUMPRODUCT(("TFLGV-HYBDSL"=[1]OUT_TransportEnergyCons!$A$3:$A$1000)*1,("Var_Fin"=[1]OUT_TransportEnergyCons!$B$3:$B$1000)*1,ISNUMBER(SEARCH("dsl",[1]OUT_TransportEnergyCons!$C$3:$C$1000))*1,[1]OUT_TransportEnergyCons!L$3:L$1000)</f>
        <v>2.671394330395664</v>
      </c>
      <c r="O1566" s="1" cm="1">
        <f t="array" ref="O1566">SUMPRODUCT(("TFLGV-HYBDSL"=[1]OUT_TransportEnergyCons!$A$3:$A$1000)*1,("Var_Fin"=[1]OUT_TransportEnergyCons!$B$3:$B$1000)*1,ISNUMBER(SEARCH("dsl",[1]OUT_TransportEnergyCons!$C$3:$C$1000))*1,[1]OUT_TransportEnergyCons!M$3:M$1000)</f>
        <v>2.6803690343507376</v>
      </c>
      <c r="P1566" s="1" cm="1">
        <f t="array" ref="P1566">SUMPRODUCT(("TFLGV-HYBDSL"=[1]OUT_TransportEnergyCons!$A$3:$A$1000)*1,("Var_Fin"=[1]OUT_TransportEnergyCons!$B$3:$B$1000)*1,ISNUMBER(SEARCH("dsl",[1]OUT_TransportEnergyCons!$C$3:$C$1000))*1,[1]OUT_TransportEnergyCons!N$3:N$1000)</f>
        <v>2.6535610173207855</v>
      </c>
      <c r="Q1566" s="1" cm="1">
        <f t="array" ref="Q1566">SUMPRODUCT(("TFLGV-HYBDSL"=[1]OUT_TransportEnergyCons!$A$3:$A$1000)*1,("Var_Fin"=[1]OUT_TransportEnergyCons!$B$3:$B$1000)*1,ISNUMBER(SEARCH("dsl",[1]OUT_TransportEnergyCons!$C$3:$C$1000))*1,[1]OUT_TransportEnergyCons!O$3:O$1000)</f>
        <v>2.7007847693439393</v>
      </c>
      <c r="S1566" s="3"/>
    </row>
    <row r="1567" spans="2:19" x14ac:dyDescent="0.5">
      <c r="B1567" t="str">
        <f t="shared" si="1740"/>
        <v>SPS1</v>
      </c>
      <c r="C1567" t="str">
        <f t="shared" si="1741"/>
        <v>CH</v>
      </c>
      <c r="D1567" t="s">
        <v>1554</v>
      </c>
      <c r="E1567" t="str">
        <f t="shared" si="1744"/>
        <v>PJ/yr.</v>
      </c>
      <c r="F1567" s="1">
        <f>F1572</f>
        <v>7.3373800173073883E-3</v>
      </c>
      <c r="G1567" s="1">
        <f t="shared" ref="G1567:K1567" si="1758">G1572</f>
        <v>3.0146334031593185E-3</v>
      </c>
      <c r="H1567" s="1">
        <f t="shared" si="1758"/>
        <v>3.9965121388778292E-3</v>
      </c>
      <c r="I1567" s="1">
        <f t="shared" si="1758"/>
        <v>1.2616273504443198E-4</v>
      </c>
      <c r="J1567" s="1">
        <f t="shared" si="1758"/>
        <v>1.0616917558027213E-4</v>
      </c>
      <c r="K1567" s="1">
        <f t="shared" si="1758"/>
        <v>1.0655669590316638E-4</v>
      </c>
      <c r="L1567" s="1">
        <f t="shared" ref="L1567:O1567" si="1759">L1572</f>
        <v>1.0794843679561213E-4</v>
      </c>
      <c r="M1567" s="1">
        <f t="shared" si="1759"/>
        <v>1.1127702728794462E-4</v>
      </c>
      <c r="N1567" s="1">
        <f t="shared" si="1759"/>
        <v>1.1308775098769671E-4</v>
      </c>
      <c r="O1567" s="1">
        <f t="shared" si="1759"/>
        <v>1.1677053833501489E-4</v>
      </c>
      <c r="P1567" s="1">
        <f>P1572</f>
        <v>1.183402703523355E-4</v>
      </c>
      <c r="Q1567" s="1">
        <f>Q1572</f>
        <v>1.2456358463174656E-4</v>
      </c>
      <c r="S1567" s="3"/>
    </row>
    <row r="1568" spans="2:19" x14ac:dyDescent="0.5">
      <c r="B1568" t="str">
        <f t="shared" si="1740"/>
        <v>SPS1</v>
      </c>
      <c r="C1568" t="str">
        <f t="shared" si="1741"/>
        <v>CH</v>
      </c>
      <c r="D1568" t="s">
        <v>1555</v>
      </c>
      <c r="E1568" t="str">
        <f t="shared" si="1744"/>
        <v>PJ/yr.</v>
      </c>
      <c r="F1568" s="1">
        <f>IF(F1567-F1569&lt;0,0,F1567-F1569)</f>
        <v>6.7790797064414439E-3</v>
      </c>
      <c r="G1568" s="1">
        <f t="shared" ref="G1568:K1568" si="1760">IF(G1567-G1569&lt;0,0,G1567-G1569)</f>
        <v>2.6415175155718533E-3</v>
      </c>
      <c r="H1568" s="1">
        <f t="shared" si="1760"/>
        <v>3.9141742045509485E-3</v>
      </c>
      <c r="I1568" s="1">
        <f t="shared" si="1760"/>
        <v>8.553765775945868E-5</v>
      </c>
      <c r="J1568" s="1">
        <f t="shared" si="1760"/>
        <v>0</v>
      </c>
      <c r="K1568" s="1">
        <f t="shared" si="1760"/>
        <v>0</v>
      </c>
      <c r="L1568" s="1">
        <f t="shared" ref="L1568:O1568" si="1761">IF(L1567-L1569&lt;0,0,L1567-L1569)</f>
        <v>0</v>
      </c>
      <c r="M1568" s="1">
        <f t="shared" si="1761"/>
        <v>0</v>
      </c>
      <c r="N1568" s="1">
        <f t="shared" si="1761"/>
        <v>0</v>
      </c>
      <c r="O1568" s="1">
        <f t="shared" si="1761"/>
        <v>0</v>
      </c>
      <c r="P1568" s="1">
        <f>IF(P1567-P1569&lt;0,0,P1567-P1569)</f>
        <v>0</v>
      </c>
      <c r="Q1568" s="1">
        <f>IF(Q1567-Q1569&lt;0,0,Q1567-Q1569)</f>
        <v>0</v>
      </c>
      <c r="S1568" s="3"/>
    </row>
    <row r="1569" spans="2:19" x14ac:dyDescent="0.5">
      <c r="B1569" t="str">
        <f t="shared" si="1740"/>
        <v>SPS1</v>
      </c>
      <c r="C1569" t="str">
        <f t="shared" si="1741"/>
        <v>CH</v>
      </c>
      <c r="D1569" t="s">
        <v>1556</v>
      </c>
      <c r="E1569" t="str">
        <f t="shared" si="1744"/>
        <v>PJ/yr.</v>
      </c>
      <c r="F1569" s="1">
        <f>SUM(F1570:F1571)</f>
        <v>5.5830031086594428E-4</v>
      </c>
      <c r="G1569" s="1">
        <f t="shared" ref="G1569:K1569" si="1762">SUM(G1570:G1571)</f>
        <v>3.731158875874652E-4</v>
      </c>
      <c r="H1569" s="1">
        <f t="shared" si="1762"/>
        <v>8.2337934326881008E-5</v>
      </c>
      <c r="I1569" s="1">
        <f t="shared" si="1762"/>
        <v>4.06250772849733E-5</v>
      </c>
      <c r="J1569" s="1">
        <f t="shared" si="1762"/>
        <v>5.009957803649745E-2</v>
      </c>
      <c r="K1569" s="1">
        <f t="shared" si="1762"/>
        <v>7.5086213441489205E-2</v>
      </c>
      <c r="L1569" s="1">
        <f t="shared" ref="L1569:O1569" si="1763">SUM(L1570:L1571)</f>
        <v>1.0287233648965922E-2</v>
      </c>
      <c r="M1569" s="1">
        <f t="shared" si="1763"/>
        <v>1.7605286505030401E-2</v>
      </c>
      <c r="N1569" s="1">
        <f t="shared" si="1763"/>
        <v>8.7308775523679081E-3</v>
      </c>
      <c r="O1569" s="1">
        <f t="shared" si="1763"/>
        <v>1.3169437993158749E-2</v>
      </c>
      <c r="P1569" s="1">
        <f>SUM(P1570:P1571)</f>
        <v>4.0216269794842045E-2</v>
      </c>
      <c r="Q1569" s="1">
        <f>SUM(Q1570:Q1571)</f>
        <v>1.4162608023408702E-2</v>
      </c>
      <c r="S1569" s="3"/>
    </row>
    <row r="1570" spans="2:19" x14ac:dyDescent="0.5">
      <c r="B1570" t="str">
        <f t="shared" si="1740"/>
        <v>SPS1</v>
      </c>
      <c r="C1570" t="str">
        <f t="shared" si="1741"/>
        <v>CH</v>
      </c>
      <c r="D1570" t="s">
        <v>1557</v>
      </c>
      <c r="E1570" t="str">
        <f t="shared" si="1744"/>
        <v>PJ/yr.</v>
      </c>
      <c r="F1570" s="1">
        <f>IF(SUM([1]Transport!B$24,[1]Transport!B$27)=0,0,[1]Transport!B$27/SUM([1]Transport!B$24,[1]Transport!B$27)*F1567*(F$47+F$614)/(F$47+F$614+F$49))</f>
        <v>5.5830031086594428E-4</v>
      </c>
      <c r="G1570" s="1">
        <f>IF(SUM([1]Transport!C$24,[1]Transport!C$27)=0,0,[1]Transport!C$27/SUM([1]Transport!C$24,[1]Transport!C$27)*G1567*(G$47+G$614)/(G$47+G$614+G$49))</f>
        <v>3.731158875874652E-4</v>
      </c>
      <c r="H1570" s="1">
        <f>IF(SUM([1]Transport!D$24,[1]Transport!D$27)=0,0,[1]Transport!D$27/SUM([1]Transport!D$24,[1]Transport!D$27)*H1567*(H$47+H$614)/(H$47+H$614+H$49))</f>
        <v>8.2337934326881008E-5</v>
      </c>
      <c r="I1570" s="1">
        <f>IF(SUM([1]Transport!E$24,[1]Transport!E$27)=0,0,[1]Transport!E$27/SUM([1]Transport!E$24,[1]Transport!E$27)*I1567*(I$47+I$614)/(I$47+I$614+I$49))</f>
        <v>4.06250772849733E-5</v>
      </c>
      <c r="J1570" s="1">
        <f>IF(SUM([1]Transport!F$24,[1]Transport!F$27)=0,0,[1]Transport!F$27/SUM([1]Transport!F$24,[1]Transport!F$27)*J1567*(J$47+J$614)/(J$47+J$614+J$49))</f>
        <v>3.3590293233561282E-5</v>
      </c>
      <c r="K1570" s="1">
        <f>IF(SUM([1]Transport!G$24,[1]Transport!G$27)=0,0,[1]Transport!G$27/SUM([1]Transport!G$24,[1]Transport!G$27)*K1567*(K$47+K$614)/(K$47+K$614+K$49))</f>
        <v>3.760922773079922E-6</v>
      </c>
      <c r="L1570" s="1">
        <f>IF(SUM([1]Transport!H$24,[1]Transport!H$27)=0,0,[1]Transport!H$27/SUM([1]Transport!H$24,[1]Transport!H$27)*L1567*(L$47+L$614)/(L$47+L$614+L$49))</f>
        <v>5.0995354307555602E-6</v>
      </c>
      <c r="M1570" s="1">
        <f>IF(SUM([1]Transport!I$24,[1]Transport!I$27)=0,0,[1]Transport!I$27/SUM([1]Transport!I$24,[1]Transport!I$27)*M1567*(M$47+M$614)/(M$47+M$614+M$49))</f>
        <v>1.0624742021667613E-5</v>
      </c>
      <c r="N1570" s="1">
        <f>IF(SUM([1]Transport!J$24,[1]Transport!J$27)=0,0,[1]Transport!J$27/SUM([1]Transport!J$24,[1]Transport!J$27)*N1567*(N$47+N$614)/(N$47+N$614+N$49))</f>
        <v>7.2560991949650027E-6</v>
      </c>
      <c r="O1570" s="1">
        <f>IF(SUM([1]Transport!K$24,[1]Transport!K$27)=0,0,[1]Transport!K$27/SUM([1]Transport!K$24,[1]Transport!K$27)*O1567*(O$47+O$614)/(O$47+O$614+O$49))</f>
        <v>1.2136639959261184E-5</v>
      </c>
      <c r="P1570" s="1">
        <f>IF(SUM([1]Transport!L$24,[1]Transport!L$27)=0,0,[1]Transport!L$27/SUM([1]Transport!L$24,[1]Transport!L$27)*P1567*(P$47+P$614)/(P$47+P$614+P$49))</f>
        <v>9.924998775754322E-6</v>
      </c>
      <c r="Q1570" s="1">
        <f>IF(SUM([1]Transport!M$24,[1]Transport!M$27)=0,0,[1]Transport!M$27/SUM([1]Transport!M$24,[1]Transport!M$27)*Q1567*(Q$47+Q$614)/(Q$47+Q$614+Q$49))</f>
        <v>1.9737659031673893E-5</v>
      </c>
      <c r="S1570" s="3"/>
    </row>
    <row r="1571" spans="2:19" x14ac:dyDescent="0.5">
      <c r="B1571" t="str">
        <f t="shared" si="1740"/>
        <v>SPS1</v>
      </c>
      <c r="C1571" t="str">
        <f t="shared" si="1741"/>
        <v>CH</v>
      </c>
      <c r="D1571" t="s">
        <v>1558</v>
      </c>
      <c r="E1571" t="str">
        <f t="shared" si="1744"/>
        <v>PJ/yr.</v>
      </c>
      <c r="F1571" s="1">
        <f>IF(([1]Transport!B$24+[1]Transport!B$27)=0,0,(F$49+F$716)/([1]Transport!B$24+[1]Transport!B$27)*F1567)</f>
        <v>0</v>
      </c>
      <c r="G1571" s="1">
        <f>IF(([1]Transport!C$24+[1]Transport!C$27)=0,0,(G$49+G$716)/([1]Transport!C$24+[1]Transport!C$27)*G1567)</f>
        <v>0</v>
      </c>
      <c r="H1571" s="1">
        <f>IF(([1]Transport!D$24+[1]Transport!D$27)=0,0,(H$49+H$716)/([1]Transport!D$24+[1]Transport!D$27)*H1567)</f>
        <v>0</v>
      </c>
      <c r="I1571" s="1">
        <f>IF(([1]Transport!E$24+[1]Transport!E$27)=0,0,(I$49+I$716)/([1]Transport!E$24+[1]Transport!E$27)*I1567)</f>
        <v>0</v>
      </c>
      <c r="J1571" s="1">
        <f>IF(([1]Transport!F$24+[1]Transport!F$27)=0,0,(J$49+J$716)/([1]Transport!F$24+[1]Transport!F$27)*J1567)</f>
        <v>5.0065987743263887E-2</v>
      </c>
      <c r="K1571" s="1">
        <f>IF(([1]Transport!G$24+[1]Transport!G$27)=0,0,(K$49+K$716)/([1]Transport!G$24+[1]Transport!G$27)*K1567)</f>
        <v>7.508245251871612E-2</v>
      </c>
      <c r="L1571" s="1">
        <f>IF(([1]Transport!H$24+[1]Transport!H$27)=0,0,(L$49+L$716)/([1]Transport!H$24+[1]Transport!H$27)*L1567)</f>
        <v>1.0282134113535167E-2</v>
      </c>
      <c r="M1571" s="1">
        <f>IF(([1]Transport!I$24+[1]Transport!I$27)=0,0,(M$49+M$716)/([1]Transport!I$24+[1]Transport!I$27)*M1567)</f>
        <v>1.7594661763008734E-2</v>
      </c>
      <c r="N1571" s="1">
        <f>IF(([1]Transport!J$24+[1]Transport!J$27)=0,0,(N$49+N$716)/([1]Transport!J$24+[1]Transport!J$27)*N1567)</f>
        <v>8.7236214531729427E-3</v>
      </c>
      <c r="O1571" s="1">
        <f>IF(([1]Transport!K$24+[1]Transport!K$27)=0,0,(O$49+O$716)/([1]Transport!K$24+[1]Transport!K$27)*O1567)</f>
        <v>1.3157301353199488E-2</v>
      </c>
      <c r="P1571" s="1">
        <f>IF(([1]Transport!L$24+[1]Transport!L$27)=0,0,(P$49+P$716)/([1]Transport!L$24+[1]Transport!L$27)*P1567)</f>
        <v>4.0206344796066294E-2</v>
      </c>
      <c r="Q1571" s="1">
        <f>IF(([1]Transport!M$24+[1]Transport!M$27)=0,0,(Q$49+Q$716)/([1]Transport!M$24+[1]Transport!M$27)*Q1567)</f>
        <v>1.4142870364377029E-2</v>
      </c>
      <c r="S1571" s="3"/>
    </row>
    <row r="1572" spans="2:19" x14ac:dyDescent="0.5">
      <c r="B1572" t="str">
        <f t="shared" si="1740"/>
        <v>SPS1</v>
      </c>
      <c r="C1572" t="str">
        <f t="shared" si="1741"/>
        <v>CH</v>
      </c>
      <c r="D1572" t="s">
        <v>1559</v>
      </c>
      <c r="E1572" t="str">
        <f t="shared" si="174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7.3373800173073883E-3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3.0146334031593185E-3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3.9965121388778292E-3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1.2616273504443198E-4</v>
      </c>
      <c r="J1572" s="1" cm="1">
        <f t="array" ref="J1572">SUMPRODUCT(("TFLGV-ICENGA"=[1]OUT_TransportEnergyCons!$A$3:$A$1000)*1,("Var_Fin"=[1]OUT_TransportEnergyCons!$B$3:$B$1000)*1,ISNUMBER(SEARCH("nga",[1]OUT_TransportEnergyCons!$C$3:$C$1000))*1,[1]OUT_TransportEnergyCons!H$3:H$1000)</f>
        <v>1.0616917558027213E-4</v>
      </c>
      <c r="K1572" s="1" cm="1">
        <f t="array" ref="K1572">SUMPRODUCT(("TFLGV-ICENGA"=[1]OUT_TransportEnergyCons!$A$3:$A$1000)*1,("Var_Fin"=[1]OUT_TransportEnergyCons!$B$3:$B$1000)*1,ISNUMBER(SEARCH("nga",[1]OUT_TransportEnergyCons!$C$3:$C$1000))*1,[1]OUT_TransportEnergyCons!I$3:I$1000)</f>
        <v>1.0655669590316638E-4</v>
      </c>
      <c r="L1572" s="1" cm="1">
        <f t="array" ref="L1572">SUMPRODUCT(("TFLGV-ICENGA"=[1]OUT_TransportEnergyCons!$A$3:$A$1000)*1,("Var_Fin"=[1]OUT_TransportEnergyCons!$B$3:$B$1000)*1,ISNUMBER(SEARCH("nga",[1]OUT_TransportEnergyCons!$C$3:$C$1000))*1,[1]OUT_TransportEnergyCons!J$3:J$1000)</f>
        <v>1.0794843679561213E-4</v>
      </c>
      <c r="M1572" s="1" cm="1">
        <f t="array" ref="M1572">SUMPRODUCT(("TFLGV-ICENGA"=[1]OUT_TransportEnergyCons!$A$3:$A$1000)*1,("Var_Fin"=[1]OUT_TransportEnergyCons!$B$3:$B$1000)*1,ISNUMBER(SEARCH("nga",[1]OUT_TransportEnergyCons!$C$3:$C$1000))*1,[1]OUT_TransportEnergyCons!K$3:K$1000)</f>
        <v>1.1127702728794462E-4</v>
      </c>
      <c r="N1572" s="1" cm="1">
        <f t="array" ref="N1572">SUMPRODUCT(("TFLGV-ICENGA"=[1]OUT_TransportEnergyCons!$A$3:$A$1000)*1,("Var_Fin"=[1]OUT_TransportEnergyCons!$B$3:$B$1000)*1,ISNUMBER(SEARCH("nga",[1]OUT_TransportEnergyCons!$C$3:$C$1000))*1,[1]OUT_TransportEnergyCons!L$3:L$1000)</f>
        <v>1.1308775098769671E-4</v>
      </c>
      <c r="O1572" s="1" cm="1">
        <f t="array" ref="O1572">SUMPRODUCT(("TFLGV-ICENGA"=[1]OUT_TransportEnergyCons!$A$3:$A$1000)*1,("Var_Fin"=[1]OUT_TransportEnergyCons!$B$3:$B$1000)*1,ISNUMBER(SEARCH("nga",[1]OUT_TransportEnergyCons!$C$3:$C$1000))*1,[1]OUT_TransportEnergyCons!M$3:M$1000)</f>
        <v>1.1677053833501489E-4</v>
      </c>
      <c r="P1572" s="1" cm="1">
        <f t="array" ref="P1572">SUMPRODUCT(("TFLGV-ICENGA"=[1]OUT_TransportEnergyCons!$A$3:$A$1000)*1,("Var_Fin"=[1]OUT_TransportEnergyCons!$B$3:$B$1000)*1,ISNUMBER(SEARCH("nga",[1]OUT_TransportEnergyCons!$C$3:$C$1000))*1,[1]OUT_TransportEnergyCons!N$3:N$1000)</f>
        <v>1.183402703523355E-4</v>
      </c>
      <c r="Q1572" s="1" cm="1">
        <f t="array" ref="Q1572">SUMPRODUCT(("TFLGV-ICENGA"=[1]OUT_TransportEnergyCons!$A$3:$A$1000)*1,("Var_Fin"=[1]OUT_TransportEnergyCons!$B$3:$B$1000)*1,ISNUMBER(SEARCH("nga",[1]OUT_TransportEnergyCons!$C$3:$C$1000))*1,[1]OUT_TransportEnergyCons!O$3:O$1000)</f>
        <v>1.2456358463174656E-4</v>
      </c>
      <c r="S1572" s="3"/>
    </row>
    <row r="1573" spans="2:19" x14ac:dyDescent="0.5">
      <c r="B1573" s="2" t="str">
        <f t="shared" si="1740"/>
        <v>SPS1</v>
      </c>
      <c r="C1573" s="2" t="str">
        <f t="shared" si="1741"/>
        <v>CH</v>
      </c>
      <c r="D1573" s="2" t="s">
        <v>1560</v>
      </c>
      <c r="E1573" s="2" t="s">
        <v>1517</v>
      </c>
      <c r="F1573" s="3">
        <f>SUM(F1574:F1582)</f>
        <v>4.7787733600166939</v>
      </c>
      <c r="G1573" s="3">
        <f t="shared" ref="G1573:K1573" si="1764">SUM(G1574:G1582)</f>
        <v>4.7701046054416851</v>
      </c>
      <c r="H1573" s="3">
        <f t="shared" si="1764"/>
        <v>4.7152727271875756</v>
      </c>
      <c r="I1573" s="3">
        <f t="shared" si="1764"/>
        <v>4.6617907244890642</v>
      </c>
      <c r="J1573" s="3">
        <f t="shared" si="1764"/>
        <v>4.8439674371853743</v>
      </c>
      <c r="K1573" s="3">
        <f t="shared" si="1764"/>
        <v>5.0140167726091063</v>
      </c>
      <c r="L1573" s="3">
        <f t="shared" ref="L1573:O1573" si="1765">SUM(L1574:L1582)</f>
        <v>5.2231076216820913</v>
      </c>
      <c r="M1573" s="3">
        <f t="shared" si="1765"/>
        <v>5.4321959216984181</v>
      </c>
      <c r="N1573" s="3">
        <f t="shared" si="1765"/>
        <v>5.6865734417660949</v>
      </c>
      <c r="O1573" s="3">
        <f t="shared" si="1765"/>
        <v>6.0438757781553472</v>
      </c>
      <c r="P1573" s="3">
        <f>SUM(P1574:P1582)</f>
        <v>6.4405438082331239</v>
      </c>
      <c r="Q1573" s="3">
        <f>SUM(Q1574:Q1582)</f>
        <v>6.8765840805103124</v>
      </c>
      <c r="S1573" s="3"/>
    </row>
    <row r="1574" spans="2:19" x14ac:dyDescent="0.5">
      <c r="B1574" t="str">
        <f t="shared" si="1740"/>
        <v>SPS1</v>
      </c>
      <c r="C1574" t="str">
        <f t="shared" si="174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2.7901534839234111E-2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2.1843716697527205E-2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1.8609387191610739E-2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9.2795408548925554E-3</v>
      </c>
      <c r="J1574" s="1" cm="1">
        <f t="array" ref="J1574">SUMPRODUCT(("TFLGV-BeVELCExt"=[1]OUT_TransportEnergyCons!$A$3:$A$1000)*1,("var_fout"=[1]OUT_TransportEnergyCons!$B$3:$B$1000)*1,ISNUMBER(SEARCH("TFLGV",[1]OUT_TransportEnergyCons!$C$3:$C$1000))*1,[1]OUT_TransportEnergyCons!H$3:H$1000)</f>
        <v>0</v>
      </c>
      <c r="K1574" s="1" cm="1">
        <f t="array" ref="K1574">SUMPRODUCT(("TFLGV-BeVELCExt"=[1]OUT_TransportEnergyCons!$A$3:$A$1000)*1,("var_fout"=[1]OUT_TransportEnergyCons!$B$3:$B$1000)*1,ISNUMBER(SEARCH("TFLGV",[1]OUT_TransportEnergyCons!$C$3:$C$1000))*1,[1]OUT_TransportEnergyCons!I$3:I$1000)</f>
        <v>0</v>
      </c>
      <c r="L1574" s="1" cm="1">
        <f t="array" ref="L1574">SUMPRODUCT(("TFLGV-BeVELCExt"=[1]OUT_TransportEnergyCons!$A$3:$A$1000)*1,("var_fout"=[1]OUT_TransportEnergyCons!$B$3:$B$1000)*1,ISNUMBER(SEARCH("TFLGV",[1]OUT_TransportEnergyCons!$C$3:$C$1000))*1,[1]OUT_TransportEnergyCons!J$3:J$1000)</f>
        <v>0</v>
      </c>
      <c r="M1574" s="1" cm="1">
        <f t="array" ref="M1574">SUMPRODUCT(("TFLGV-BeVELCExt"=[1]OUT_TransportEnergyCons!$A$3:$A$1000)*1,("var_fout"=[1]OUT_TransportEnergyCons!$B$3:$B$1000)*1,ISNUMBER(SEARCH("TFLGV",[1]OUT_TransportEnergyCons!$C$3:$C$1000))*1,[1]OUT_TransportEnergyCons!K$3:K$1000)</f>
        <v>0</v>
      </c>
      <c r="N1574" s="1" cm="1">
        <f t="array" ref="N1574">SUMPRODUCT(("TFLGV-BeVELCExt"=[1]OUT_TransportEnergyCons!$A$3:$A$1000)*1,("var_fout"=[1]OUT_TransportEnergyCons!$B$3:$B$1000)*1,ISNUMBER(SEARCH("TFLGV",[1]OUT_TransportEnergyCons!$C$3:$C$1000))*1,[1]OUT_TransportEnergyCons!L$3:L$1000)</f>
        <v>0</v>
      </c>
      <c r="O1574" s="1" cm="1">
        <f t="array" ref="O1574">SUMPRODUCT(("TFLGV-BeVELCExt"=[1]OUT_TransportEnergyCons!$A$3:$A$1000)*1,("var_fout"=[1]OUT_TransportEnergyCons!$B$3:$B$1000)*1,ISNUMBER(SEARCH("TFLGV",[1]OUT_TransportEnergyCons!$C$3:$C$1000))*1,[1]OUT_TransportEnergyCons!M$3:M$1000)</f>
        <v>0</v>
      </c>
      <c r="P1574" s="1" cm="1">
        <f t="array" ref="P1574">SUMPRODUCT(("TFLGV-BeVELCExt"=[1]OUT_TransportEnergyCons!$A$3:$A$1000)*1,("var_fout"=[1]OUT_TransportEnergyCons!$B$3:$B$1000)*1,ISNUMBER(SEARCH("TFLGV",[1]OUT_TransportEnergyCons!$C$3:$C$1000))*1,[1]OUT_TransportEnergyCons!N$3:N$1000)</f>
        <v>0</v>
      </c>
      <c r="Q1574" s="1" cm="1">
        <f t="array" ref="Q1574">SUMPRODUCT(("TFLGV-BeVELCExt"=[1]OUT_TransportEnergyCons!$A$3:$A$1000)*1,("var_fout"=[1]OUT_TransportEnergyCons!$B$3:$B$1000)*1,ISNUMBER(SEARCH("TFLGV",[1]OUT_TransportEnergyCons!$C$3:$C$1000))*1,[1]OUT_TransportEnergyCons!O$3:O$1000)</f>
        <v>0</v>
      </c>
      <c r="S1574" s="3"/>
    </row>
    <row r="1575" spans="2:19" x14ac:dyDescent="0.5">
      <c r="B1575" t="str">
        <f t="shared" si="1740"/>
        <v>SPS1</v>
      </c>
      <c r="C1575" t="str">
        <f t="shared" si="174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2.4049797816375163E-2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4.36987465742451E-2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0.2019853750580024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0.83175705921586995</v>
      </c>
      <c r="J1575" s="1" cm="1">
        <f t="array" ref="J1575">SUMPRODUCT(("TFLGV-BEVELC"=[1]OUT_TransportEnergyCons!$A$3:$A$1000)*1,("var_fout"=[1]OUT_TransportEnergyCons!$B$3:$B$1000)*1,ISNUMBER(SEARCH("TFLGV",[1]OUT_TransportEnergyCons!$C$3:$C$1000))*1,[1]OUT_TransportEnergyCons!H$3:H$1000)</f>
        <v>1.959483155748879</v>
      </c>
      <c r="K1575" s="1" cm="1">
        <f t="array" ref="K1575">SUMPRODUCT(("TFLGV-BEVELC"=[1]OUT_TransportEnergyCons!$A$3:$A$1000)*1,("var_fout"=[1]OUT_TransportEnergyCons!$B$3:$B$1000)*1,ISNUMBER(SEARCH("TFLGV",[1]OUT_TransportEnergyCons!$C$3:$C$1000))*1,[1]OUT_TransportEnergyCons!I$3:I$1000)</f>
        <v>3.4620936039059509</v>
      </c>
      <c r="L1575" s="1" cm="1">
        <f t="array" ref="L1575">SUMPRODUCT(("TFLGV-BEVELC"=[1]OUT_TransportEnergyCons!$A$3:$A$1000)*1,("var_fout"=[1]OUT_TransportEnergyCons!$B$3:$B$1000)*1,ISNUMBER(SEARCH("TFLGV",[1]OUT_TransportEnergyCons!$C$3:$C$1000))*1,[1]OUT_TransportEnergyCons!J$3:J$1000)</f>
        <v>3.583336447872723</v>
      </c>
      <c r="M1575" s="1" cm="1">
        <f t="array" ref="M1575">SUMPRODUCT(("TFLGV-BEVELC"=[1]OUT_TransportEnergyCons!$A$3:$A$1000)*1,("var_fout"=[1]OUT_TransportEnergyCons!$B$3:$B$1000)*1,ISNUMBER(SEARCH("TFLGV",[1]OUT_TransportEnergyCons!$C$3:$C$1000))*1,[1]OUT_TransportEnergyCons!K$3:K$1000)</f>
        <v>3.7244163896533604</v>
      </c>
      <c r="N1575" s="1" cm="1">
        <f t="array" ref="N1575">SUMPRODUCT(("TFLGV-BEVELC"=[1]OUT_TransportEnergyCons!$A$3:$A$1000)*1,("var_fout"=[1]OUT_TransportEnergyCons!$B$3:$B$1000)*1,ISNUMBER(SEARCH("TFLGV",[1]OUT_TransportEnergyCons!$C$3:$C$1000))*1,[1]OUT_TransportEnergyCons!L$3:L$1000)</f>
        <v>3.9452619414139853</v>
      </c>
      <c r="O1575" s="1" cm="1">
        <f t="array" ref="O1575">SUMPRODUCT(("TFLGV-BEVELC"=[1]OUT_TransportEnergyCons!$A$3:$A$1000)*1,("var_fout"=[1]OUT_TransportEnergyCons!$B$3:$B$1000)*1,ISNUMBER(SEARCH("TFLGV",[1]OUT_TransportEnergyCons!$C$3:$C$1000))*1,[1]OUT_TransportEnergyCons!M$3:M$1000)</f>
        <v>4.2929829872269645</v>
      </c>
      <c r="P1575" s="1" cm="1">
        <f t="array" ref="P1575">SUMPRODUCT(("TFLGV-BEVELC"=[1]OUT_TransportEnergyCons!$A$3:$A$1000)*1,("var_fout"=[1]OUT_TransportEnergyCons!$B$3:$B$1000)*1,ISNUMBER(SEARCH("TFLGV",[1]OUT_TransportEnergyCons!$C$3:$C$1000))*1,[1]OUT_TransportEnergyCons!N$3:N$1000)</f>
        <v>4.7025046158057409</v>
      </c>
      <c r="Q1575" s="1" cm="1">
        <f t="array" ref="Q1575">SUMPRODUCT(("TFLGV-BEVELC"=[1]OUT_TransportEnergyCons!$A$3:$A$1000)*1,("var_fout"=[1]OUT_TransportEnergyCons!$B$3:$B$1000)*1,ISNUMBER(SEARCH("TFLGV",[1]OUT_TransportEnergyCons!$C$3:$C$1000))*1,[1]OUT_TransportEnergyCons!O$3:O$1000)</f>
        <v>5.1146320475997697</v>
      </c>
      <c r="S1575" s="3"/>
    </row>
    <row r="1576" spans="2:19" x14ac:dyDescent="0.5">
      <c r="B1576" t="str">
        <f t="shared" si="1740"/>
        <v>SPS1</v>
      </c>
      <c r="C1576" t="str">
        <f t="shared" si="174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3.7410970353049515E-5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4.807795624516965E-5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1.0166678796623716E-5</v>
      </c>
      <c r="J1576" s="1" cm="1">
        <f t="array" ref="J1576">SUMPRODUCT(("TFLGV-FCLH2O"=[1]OUT_TransportEnergyCons!$A$3:$A$1000)*1,("var_fout"=[1]OUT_TransportEnergyCons!$B$3:$B$1000)*1,ISNUMBER(SEARCH("TFLGV",[1]OUT_TransportEnergyCons!$C$3:$C$1000))*1,[1]OUT_TransportEnergyCons!H$3:H$1000)</f>
        <v>9.1984671394194986E-6</v>
      </c>
      <c r="K1576" s="1" cm="1">
        <f t="array" ref="K1576">SUMPRODUCT(("TFLGV-FCLH2O"=[1]OUT_TransportEnergyCons!$A$3:$A$1000)*1,("var_fout"=[1]OUT_TransportEnergyCons!$B$3:$B$1000)*1,ISNUMBER(SEARCH("TFLGV",[1]OUT_TransportEnergyCons!$C$3:$C$1000))*1,[1]OUT_TransportEnergyCons!I$3:I$1000)</f>
        <v>8.8688626250548024E-6</v>
      </c>
      <c r="L1576" s="1" cm="1">
        <f t="array" ref="L1576">SUMPRODUCT(("TFLGV-FCLH2O"=[1]OUT_TransportEnergyCons!$A$3:$A$1000)*1,("var_fout"=[1]OUT_TransportEnergyCons!$B$3:$B$1000)*1,ISNUMBER(SEARCH("TFLGV",[1]OUT_TransportEnergyCons!$C$3:$C$1000))*1,[1]OUT_TransportEnergyCons!J$3:J$1000)</f>
        <v>9.559796006711974E-6</v>
      </c>
      <c r="M1576" s="1" cm="1">
        <f t="array" ref="M1576">SUMPRODUCT(("TFLGV-FCLH2O"=[1]OUT_TransportEnergyCons!$A$3:$A$1000)*1,("var_fout"=[1]OUT_TransportEnergyCons!$B$3:$B$1000)*1,ISNUMBER(SEARCH("TFLGV",[1]OUT_TransportEnergyCons!$C$3:$C$1000))*1,[1]OUT_TransportEnergyCons!K$3:K$1000)</f>
        <v>9.2389450807509123E-6</v>
      </c>
      <c r="N1576" s="1" cm="1">
        <f t="array" ref="N1576">SUMPRODUCT(("TFLGV-FCLH2O"=[1]OUT_TransportEnergyCons!$A$3:$A$1000)*1,("var_fout"=[1]OUT_TransportEnergyCons!$B$3:$B$1000)*1,ISNUMBER(SEARCH("TFLGV",[1]OUT_TransportEnergyCons!$C$3:$C$1000))*1,[1]OUT_TransportEnergyCons!L$3:L$1000)</f>
        <v>8.8177982872544291E-6</v>
      </c>
      <c r="O1576" s="1" cm="1">
        <f t="array" ref="O1576">SUMPRODUCT(("TFLGV-FCLH2O"=[1]OUT_TransportEnergyCons!$A$3:$A$1000)*1,("var_fout"=[1]OUT_TransportEnergyCons!$B$3:$B$1000)*1,ISNUMBER(SEARCH("TFLGV",[1]OUT_TransportEnergyCons!$C$3:$C$1000))*1,[1]OUT_TransportEnergyCons!M$3:M$1000)</f>
        <v>8.4174330588572434E-6</v>
      </c>
      <c r="P1576" s="1" cm="1">
        <f t="array" ref="P1576">SUMPRODUCT(("TFLGV-FCLH2O"=[1]OUT_TransportEnergyCons!$A$3:$A$1000)*1,("var_fout"=[1]OUT_TransportEnergyCons!$B$3:$B$1000)*1,ISNUMBER(SEARCH("TFLGV",[1]OUT_TransportEnergyCons!$C$3:$C$1000))*1,[1]OUT_TransportEnergyCons!N$3:N$1000)</f>
        <v>7.7735123670043519E-6</v>
      </c>
      <c r="Q1576" s="1" cm="1">
        <f t="array" ref="Q1576">SUMPRODUCT(("TFLGV-FCLH2O"=[1]OUT_TransportEnergyCons!$A$3:$A$1000)*1,("var_fout"=[1]OUT_TransportEnergyCons!$B$3:$B$1000)*1,ISNUMBER(SEARCH("TFLGV",[1]OUT_TransportEnergyCons!$C$3:$C$1000))*1,[1]OUT_TransportEnergyCons!O$3:O$1000)</f>
        <v>3.2255741672341606E-5</v>
      </c>
      <c r="S1576" s="3"/>
    </row>
    <row r="1577" spans="2:19" x14ac:dyDescent="0.5">
      <c r="B1577" t="str">
        <f t="shared" si="1740"/>
        <v>SPS1</v>
      </c>
      <c r="C1577" t="str">
        <f t="shared" si="174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0.20058481497603869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0.37953045640054317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0.16185047456374693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7.7042644814101433E-2</v>
      </c>
      <c r="J1577" s="1" cm="1">
        <f t="array" ref="J1577">SUMPRODUCT(("TFLGV-ICEGSLExt"=[1]OUT_TransportEnergyCons!$A$3:$A$1000)*1,("var_fout"=[1]OUT_TransportEnergyCons!$B$3:$B$1000)*1,ISNUMBER(SEARCH("TFLGV",[1]OUT_TransportEnergyCons!$C$3:$C$1000))*1,[1]OUT_TransportEnergyCons!H$3:H$1000)</f>
        <v>0</v>
      </c>
      <c r="K1577" s="1" cm="1">
        <f t="array" ref="K1577">SUMPRODUCT(("TFLGV-ICEGSLExt"=[1]OUT_TransportEnergyCons!$A$3:$A$1000)*1,("var_fout"=[1]OUT_TransportEnergyCons!$B$3:$B$1000)*1,ISNUMBER(SEARCH("TFLGV",[1]OUT_TransportEnergyCons!$C$3:$C$1000))*1,[1]OUT_TransportEnergyCons!I$3:I$1000)</f>
        <v>0</v>
      </c>
      <c r="L1577" s="1" cm="1">
        <f t="array" ref="L1577">SUMPRODUCT(("TFLGV-ICEGSLExt"=[1]OUT_TransportEnergyCons!$A$3:$A$1000)*1,("var_fout"=[1]OUT_TransportEnergyCons!$B$3:$B$1000)*1,ISNUMBER(SEARCH("TFLGV",[1]OUT_TransportEnergyCons!$C$3:$C$1000))*1,[1]OUT_TransportEnergyCons!J$3:J$1000)</f>
        <v>0</v>
      </c>
      <c r="M1577" s="1" cm="1">
        <f t="array" ref="M1577">SUMPRODUCT(("TFLGV-ICEGSLExt"=[1]OUT_TransportEnergyCons!$A$3:$A$1000)*1,("var_fout"=[1]OUT_TransportEnergyCons!$B$3:$B$1000)*1,ISNUMBER(SEARCH("TFLGV",[1]OUT_TransportEnergyCons!$C$3:$C$1000))*1,[1]OUT_TransportEnergyCons!K$3:K$1000)</f>
        <v>0</v>
      </c>
      <c r="N1577" s="1" cm="1">
        <f t="array" ref="N1577">SUMPRODUCT(("TFLGV-ICEGSLExt"=[1]OUT_TransportEnergyCons!$A$3:$A$1000)*1,("var_fout"=[1]OUT_TransportEnergyCons!$B$3:$B$1000)*1,ISNUMBER(SEARCH("TFLGV",[1]OUT_TransportEnergyCons!$C$3:$C$1000))*1,[1]OUT_TransportEnergyCons!L$3:L$1000)</f>
        <v>0</v>
      </c>
      <c r="O1577" s="1" cm="1">
        <f t="array" ref="O1577">SUMPRODUCT(("TFLGV-ICEGSLExt"=[1]OUT_TransportEnergyCons!$A$3:$A$1000)*1,("var_fout"=[1]OUT_TransportEnergyCons!$B$3:$B$1000)*1,ISNUMBER(SEARCH("TFLGV",[1]OUT_TransportEnergyCons!$C$3:$C$1000))*1,[1]OUT_TransportEnergyCons!M$3:M$1000)</f>
        <v>0</v>
      </c>
      <c r="P1577" s="1" cm="1">
        <f t="array" ref="P1577">SUMPRODUCT(("TFLGV-ICEGSLExt"=[1]OUT_TransportEnergyCons!$A$3:$A$1000)*1,("var_fout"=[1]OUT_TransportEnergyCons!$B$3:$B$1000)*1,ISNUMBER(SEARCH("TFLGV",[1]OUT_TransportEnergyCons!$C$3:$C$1000))*1,[1]OUT_TransportEnergyCons!N$3:N$1000)</f>
        <v>0</v>
      </c>
      <c r="Q1577" s="1" cm="1">
        <f t="array" ref="Q1577">SUMPRODUCT(("TFLGV-ICEGSLExt"=[1]OUT_TransportEnergyCons!$A$3:$A$1000)*1,("var_fout"=[1]OUT_TransportEnergyCons!$B$3:$B$1000)*1,ISNUMBER(SEARCH("TFLGV",[1]OUT_TransportEnergyCons!$C$3:$C$1000))*1,[1]OUT_TransportEnergyCons!O$3:O$1000)</f>
        <v>0</v>
      </c>
      <c r="S1577" s="3"/>
    </row>
    <row r="1578" spans="2:19" x14ac:dyDescent="0.5">
      <c r="B1578" t="str">
        <f t="shared" si="1740"/>
        <v>SPS1</v>
      </c>
      <c r="C1578" t="str">
        <f t="shared" si="174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0.1318490926000076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0.20297373093878079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0.32673416043196735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0.51804294414055108</v>
      </c>
      <c r="J1578" s="1" cm="1">
        <f t="array" ref="J1578">SUMPRODUCT(("TFLGV-ICEGSL"=[1]OUT_TransportEnergyCons!$A$3:$A$1000)*1,("var_fout"=[1]OUT_TransportEnergyCons!$B$3:$B$1000)*1,ISNUMBER(SEARCH("TFLGV",[1]OUT_TransportEnergyCons!$C$3:$C$1000))*1,[1]OUT_TransportEnergyCons!H$3:H$1000)</f>
        <v>0.69623526307998596</v>
      </c>
      <c r="K1578" s="1" cm="1">
        <f t="array" ref="K1578">SUMPRODUCT(("TFLGV-ICEGSL"=[1]OUT_TransportEnergyCons!$A$3:$A$1000)*1,("var_fout"=[1]OUT_TransportEnergyCons!$B$3:$B$1000)*1,ISNUMBER(SEARCH("TFLGV",[1]OUT_TransportEnergyCons!$C$3:$C$1000))*1,[1]OUT_TransportEnergyCons!I$3:I$1000)</f>
        <v>0.41606382310989842</v>
      </c>
      <c r="L1578" s="1" cm="1">
        <f t="array" ref="L1578">SUMPRODUCT(("TFLGV-ICEGSL"=[1]OUT_TransportEnergyCons!$A$3:$A$1000)*1,("var_fout"=[1]OUT_TransportEnergyCons!$B$3:$B$1000)*1,ISNUMBER(SEARCH("TFLGV",[1]OUT_TransportEnergyCons!$C$3:$C$1000))*1,[1]OUT_TransportEnergyCons!J$3:J$1000)</f>
        <v>0.45762595341850654</v>
      </c>
      <c r="M1578" s="1" cm="1">
        <f t="array" ref="M1578">SUMPRODUCT(("TFLGV-ICEGSL"=[1]OUT_TransportEnergyCons!$A$3:$A$1000)*1,("var_fout"=[1]OUT_TransportEnergyCons!$B$3:$B$1000)*1,ISNUMBER(SEARCH("TFLGV",[1]OUT_TransportEnergyCons!$C$3:$C$1000))*1,[1]OUT_TransportEnergyCons!K$3:K$1000)</f>
        <v>0.50404225335262631</v>
      </c>
      <c r="N1578" s="1" cm="1">
        <f t="array" ref="N1578">SUMPRODUCT(("TFLGV-ICEGSL"=[1]OUT_TransportEnergyCons!$A$3:$A$1000)*1,("var_fout"=[1]OUT_TransportEnergyCons!$B$3:$B$1000)*1,ISNUMBER(SEARCH("TFLGV",[1]OUT_TransportEnergyCons!$C$3:$C$1000))*1,[1]OUT_TransportEnergyCons!L$3:L$1000)</f>
        <v>0.50650238417464177</v>
      </c>
      <c r="O1578" s="1" cm="1">
        <f t="array" ref="O1578">SUMPRODUCT(("TFLGV-ICEGSL"=[1]OUT_TransportEnergyCons!$A$3:$A$1000)*1,("var_fout"=[1]OUT_TransportEnergyCons!$B$3:$B$1000)*1,ISNUMBER(SEARCH("TFLGV",[1]OUT_TransportEnergyCons!$C$3:$C$1000))*1,[1]OUT_TransportEnergyCons!M$3:M$1000)</f>
        <v>0.5126077722372292</v>
      </c>
      <c r="P1578" s="1" cm="1">
        <f t="array" ref="P1578">SUMPRODUCT(("TFLGV-ICEGSL"=[1]OUT_TransportEnergyCons!$A$3:$A$1000)*1,("var_fout"=[1]OUT_TransportEnergyCons!$B$3:$B$1000)*1,ISNUMBER(SEARCH("TFLGV",[1]OUT_TransportEnergyCons!$C$3:$C$1000))*1,[1]OUT_TransportEnergyCons!N$3:N$1000)</f>
        <v>0.51269793337553693</v>
      </c>
      <c r="Q1578" s="1" cm="1">
        <f t="array" ref="Q1578">SUMPRODUCT(("TFLGV-ICEGSL"=[1]OUT_TransportEnergyCons!$A$3:$A$1000)*1,("var_fout"=[1]OUT_TransportEnergyCons!$B$3:$B$1000)*1,ISNUMBER(SEARCH("TFLGV",[1]OUT_TransportEnergyCons!$C$3:$C$1000))*1,[1]OUT_TransportEnergyCons!O$3:O$1000)</f>
        <v>0.51367502721091396</v>
      </c>
      <c r="S1578" s="3"/>
    </row>
    <row r="1579" spans="2:19" x14ac:dyDescent="0.5">
      <c r="B1579" t="str">
        <f t="shared" si="1740"/>
        <v>SPS1</v>
      </c>
      <c r="C1579" t="str">
        <f t="shared" si="174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2.8711184122426268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2.1190658872794423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1.5941328924124587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0.76669533140184376</v>
      </c>
      <c r="J1579" s="1" cm="1">
        <f t="array" ref="J1579">SUMPRODUCT(("TFLGV-ICEdslExt"=[1]OUT_TransportEnergyCons!$A$3:$A$1000)*1,("var_fout"=[1]OUT_TransportEnergyCons!$B$3:$B$1000)*1,ISNUMBER(SEARCH("TFLGV",[1]OUT_TransportEnergyCons!$C$3:$C$1000))*1,[1]OUT_TransportEnergyCons!H$3:H$1000)</f>
        <v>0</v>
      </c>
      <c r="K1579" s="1" cm="1">
        <f t="array" ref="K1579">SUMPRODUCT(("TFLGV-ICEdslExt"=[1]OUT_TransportEnergyCons!$A$3:$A$1000)*1,("var_fout"=[1]OUT_TransportEnergyCons!$B$3:$B$1000)*1,ISNUMBER(SEARCH("TFLGV",[1]OUT_TransportEnergyCons!$C$3:$C$1000))*1,[1]OUT_TransportEnergyCons!I$3:I$1000)</f>
        <v>0</v>
      </c>
      <c r="L1579" s="1" cm="1">
        <f t="array" ref="L1579">SUMPRODUCT(("TFLGV-ICEdslExt"=[1]OUT_TransportEnergyCons!$A$3:$A$1000)*1,("var_fout"=[1]OUT_TransportEnergyCons!$B$3:$B$1000)*1,ISNUMBER(SEARCH("TFLGV",[1]OUT_TransportEnergyCons!$C$3:$C$1000))*1,[1]OUT_TransportEnergyCons!J$3:J$1000)</f>
        <v>0</v>
      </c>
      <c r="M1579" s="1" cm="1">
        <f t="array" ref="M1579">SUMPRODUCT(("TFLGV-ICEdslExt"=[1]OUT_TransportEnergyCons!$A$3:$A$1000)*1,("var_fout"=[1]OUT_TransportEnergyCons!$B$3:$B$1000)*1,ISNUMBER(SEARCH("TFLGV",[1]OUT_TransportEnergyCons!$C$3:$C$1000))*1,[1]OUT_TransportEnergyCons!K$3:K$1000)</f>
        <v>0</v>
      </c>
      <c r="N1579" s="1" cm="1">
        <f t="array" ref="N1579">SUMPRODUCT(("TFLGV-ICEdslExt"=[1]OUT_TransportEnergyCons!$A$3:$A$1000)*1,("var_fout"=[1]OUT_TransportEnergyCons!$B$3:$B$1000)*1,ISNUMBER(SEARCH("TFLGV",[1]OUT_TransportEnergyCons!$C$3:$C$1000))*1,[1]OUT_TransportEnergyCons!L$3:L$1000)</f>
        <v>0</v>
      </c>
      <c r="O1579" s="1" cm="1">
        <f t="array" ref="O1579">SUMPRODUCT(("TFLGV-ICEdslExt"=[1]OUT_TransportEnergyCons!$A$3:$A$1000)*1,("var_fout"=[1]OUT_TransportEnergyCons!$B$3:$B$1000)*1,ISNUMBER(SEARCH("TFLGV",[1]OUT_TransportEnergyCons!$C$3:$C$1000))*1,[1]OUT_TransportEnergyCons!M$3:M$1000)</f>
        <v>0</v>
      </c>
      <c r="P1579" s="1" cm="1">
        <f t="array" ref="P1579">SUMPRODUCT(("TFLGV-ICEdslExt"=[1]OUT_TransportEnergyCons!$A$3:$A$1000)*1,("var_fout"=[1]OUT_TransportEnergyCons!$B$3:$B$1000)*1,ISNUMBER(SEARCH("TFLGV",[1]OUT_TransportEnergyCons!$C$3:$C$1000))*1,[1]OUT_TransportEnergyCons!N$3:N$1000)</f>
        <v>0</v>
      </c>
      <c r="Q1579" s="1" cm="1">
        <f t="array" ref="Q1579">SUMPRODUCT(("TFLGV-ICEdslExt"=[1]OUT_TransportEnergyCons!$A$3:$A$1000)*1,("var_fout"=[1]OUT_TransportEnergyCons!$B$3:$B$1000)*1,ISNUMBER(SEARCH("TFLGV",[1]OUT_TransportEnergyCons!$C$3:$C$1000))*1,[1]OUT_TransportEnergyCons!O$3:O$1000)</f>
        <v>0</v>
      </c>
      <c r="S1579" s="3"/>
    </row>
    <row r="1580" spans="2:19" x14ac:dyDescent="0.5">
      <c r="B1580" t="str">
        <f t="shared" si="1740"/>
        <v>SPS1</v>
      </c>
      <c r="C1580" t="str">
        <f t="shared" si="174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1.5209175128010395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1.7955696526605098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1.7953313661468591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0.71825746160437243</v>
      </c>
      <c r="J1580" s="1" cm="1">
        <f t="array" ref="J1580">SUMPRODUCT(("TFLGV-ICEdsl"=[1]OUT_TransportEnergyCons!$A$3:$A$1000)*1,("var_fout"=[1]OUT_TransportEnergyCons!$B$3:$B$1000)*1,ISNUMBER(SEARCH("TFLGV",[1]OUT_TransportEnergyCons!$C$3:$C$1000))*1,[1]OUT_TransportEnergyCons!H$3:H$1000)</f>
        <v>9.272149281000247E-2</v>
      </c>
      <c r="K1580" s="1" cm="1">
        <f t="array" ref="K1580">SUMPRODUCT(("TFLGV-ICEdsl"=[1]OUT_TransportEnergyCons!$A$3:$A$1000)*1,("var_fout"=[1]OUT_TransportEnergyCons!$B$3:$B$1000)*1,ISNUMBER(SEARCH("TFLGV",[1]OUT_TransportEnergyCons!$C$3:$C$1000))*1,[1]OUT_TransportEnergyCons!I$3:I$1000)</f>
        <v>9.201499485986056E-2</v>
      </c>
      <c r="L1580" s="1" cm="1">
        <f t="array" ref="L1580">SUMPRODUCT(("TFLGV-ICEdsl"=[1]OUT_TransportEnergyCons!$A$3:$A$1000)*1,("var_fout"=[1]OUT_TransportEnergyCons!$B$3:$B$1000)*1,ISNUMBER(SEARCH("TFLGV",[1]OUT_TransportEnergyCons!$C$3:$C$1000))*1,[1]OUT_TransportEnergyCons!J$3:J$1000)</f>
        <v>5.0311195353114367E-2</v>
      </c>
      <c r="M1580" s="1" cm="1">
        <f t="array" ref="M1580">SUMPRODUCT(("TFLGV-ICEdsl"=[1]OUT_TransportEnergyCons!$A$3:$A$1000)*1,("var_fout"=[1]OUT_TransportEnergyCons!$B$3:$B$1000)*1,ISNUMBER(SEARCH("TFLGV",[1]OUT_TransportEnergyCons!$C$3:$C$1000))*1,[1]OUT_TransportEnergyCons!K$3:K$1000)</f>
        <v>4.348191425342483E-3</v>
      </c>
      <c r="N1580" s="1" cm="1">
        <f t="array" ref="N1580">SUMPRODUCT(("TFLGV-ICEdsl"=[1]OUT_TransportEnergyCons!$A$3:$A$1000)*1,("var_fout"=[1]OUT_TransportEnergyCons!$B$3:$B$1000)*1,ISNUMBER(SEARCH("TFLGV",[1]OUT_TransportEnergyCons!$C$3:$C$1000))*1,[1]OUT_TransportEnergyCons!L$3:L$1000)</f>
        <v>3.8721104294978615E-3</v>
      </c>
      <c r="O1580" s="1" cm="1">
        <f t="array" ref="O1580">SUMPRODUCT(("TFLGV-ICEdsl"=[1]OUT_TransportEnergyCons!$A$3:$A$1000)*1,("var_fout"=[1]OUT_TransportEnergyCons!$B$3:$B$1000)*1,ISNUMBER(SEARCH("TFLGV",[1]OUT_TransportEnergyCons!$C$3:$C$1000))*1,[1]OUT_TransportEnergyCons!M$3:M$1000)</f>
        <v>3.2119799556658184E-3</v>
      </c>
      <c r="P1580" s="1" cm="1">
        <f t="array" ref="P1580">SUMPRODUCT(("TFLGV-ICEdsl"=[1]OUT_TransportEnergyCons!$A$3:$A$1000)*1,("var_fout"=[1]OUT_TransportEnergyCons!$B$3:$B$1000)*1,ISNUMBER(SEARCH("TFLGV",[1]OUT_TransportEnergyCons!$C$3:$C$1000))*1,[1]OUT_TransportEnergyCons!N$3:N$1000)</f>
        <v>2.6206264877006932E-3</v>
      </c>
      <c r="Q1580" s="1" cm="1">
        <f t="array" ref="Q1580">SUMPRODUCT(("TFLGV-ICEdsl"=[1]OUT_TransportEnergyCons!$A$3:$A$1000)*1,("var_fout"=[1]OUT_TransportEnergyCons!$B$3:$B$1000)*1,ISNUMBER(SEARCH("TFLGV",[1]OUT_TransportEnergyCons!$C$3:$C$1000))*1,[1]OUT_TransportEnergyCons!O$3:O$1000)</f>
        <v>3.7707213197636976E-3</v>
      </c>
      <c r="S1580" s="3"/>
    </row>
    <row r="1581" spans="2:19" x14ac:dyDescent="0.5">
      <c r="B1581" t="str">
        <f t="shared" si="1740"/>
        <v>SPS1</v>
      </c>
      <c r="C1581" t="str">
        <f t="shared" si="174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0.20641858200655494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0.61529980384474547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1.7406651309166796</v>
      </c>
      <c r="J1581" s="1" cm="1">
        <f t="array" ref="J1581">SUMPRODUCT(("TFLGV-HYBDSL"=[1]OUT_TransportEnergyCons!$A$3:$A$1000)*1,("var_fout"=[1]OUT_TransportEnergyCons!$B$3:$B$1000)*1,ISNUMBER(SEARCH("TFLGV",[1]OUT_TransportEnergyCons!$C$3:$C$1000))*1,[1]OUT_TransportEnergyCons!H$3:H$1000)</f>
        <v>2.0954842916912719</v>
      </c>
      <c r="K1581" s="1" cm="1">
        <f t="array" ref="K1581">SUMPRODUCT(("TFLGV-HYBDSL"=[1]OUT_TransportEnergyCons!$A$3:$A$1000)*1,("var_fout"=[1]OUT_TransportEnergyCons!$B$3:$B$1000)*1,ISNUMBER(SEARCH("TFLGV",[1]OUT_TransportEnergyCons!$C$3:$C$1000))*1,[1]OUT_TransportEnergyCons!I$3:I$1000)</f>
        <v>1.043801322252601</v>
      </c>
      <c r="L1581" s="1" cm="1">
        <f t="array" ref="L1581">SUMPRODUCT(("TFLGV-HYBDSL"=[1]OUT_TransportEnergyCons!$A$3:$A$1000)*1,("var_fout"=[1]OUT_TransportEnergyCons!$B$3:$B$1000)*1,ISNUMBER(SEARCH("TFLGV",[1]OUT_TransportEnergyCons!$C$3:$C$1000))*1,[1]OUT_TransportEnergyCons!J$3:J$1000)</f>
        <v>1.1317898594635507</v>
      </c>
      <c r="M1581" s="1" cm="1">
        <f t="array" ref="M1581">SUMPRODUCT(("TFLGV-HYBDSL"=[1]OUT_TransportEnergyCons!$A$3:$A$1000)*1,("var_fout"=[1]OUT_TransportEnergyCons!$B$3:$B$1000)*1,ISNUMBER(SEARCH("TFLGV",[1]OUT_TransportEnergyCons!$C$3:$C$1000))*1,[1]OUT_TransportEnergyCons!K$3:K$1000)</f>
        <v>1.1993441754745069</v>
      </c>
      <c r="N1581" s="1" cm="1">
        <f t="array" ref="N1581">SUMPRODUCT(("TFLGV-HYBDSL"=[1]OUT_TransportEnergyCons!$A$3:$A$1000)*1,("var_fout"=[1]OUT_TransportEnergyCons!$B$3:$B$1000)*1,ISNUMBER(SEARCH("TFLGV",[1]OUT_TransportEnergyCons!$C$3:$C$1000))*1,[1]OUT_TransportEnergyCons!L$3:L$1000)</f>
        <v>1.2308919346259406</v>
      </c>
      <c r="O1581" s="1" cm="1">
        <f t="array" ref="O1581">SUMPRODUCT(("TFLGV-HYBDSL"=[1]OUT_TransportEnergyCons!$A$3:$A$1000)*1,("var_fout"=[1]OUT_TransportEnergyCons!$B$3:$B$1000)*1,ISNUMBER(SEARCH("TFLGV",[1]OUT_TransportEnergyCons!$C$3:$C$1000))*1,[1]OUT_TransportEnergyCons!M$3:M$1000)</f>
        <v>1.2350271873620344</v>
      </c>
      <c r="P1581" s="1" cm="1">
        <f t="array" ref="P1581">SUMPRODUCT(("TFLGV-HYBDSL"=[1]OUT_TransportEnergyCons!$A$3:$A$1000)*1,("var_fout"=[1]OUT_TransportEnergyCons!$B$3:$B$1000)*1,ISNUMBER(SEARCH("TFLGV",[1]OUT_TransportEnergyCons!$C$3:$C$1000))*1,[1]OUT_TransportEnergyCons!N$3:N$1000)</f>
        <v>1.2226749218915167</v>
      </c>
      <c r="Q1581" s="1" cm="1">
        <f t="array" ref="Q1581">SUMPRODUCT(("TFLGV-HYBDSL"=[1]OUT_TransportEnergyCons!$A$3:$A$1000)*1,("var_fout"=[1]OUT_TransportEnergyCons!$B$3:$B$1000)*1,ISNUMBER(SEARCH("TFLGV",[1]OUT_TransportEnergyCons!$C$3:$C$1000))*1,[1]OUT_TransportEnergyCons!O$3:O$1000)</f>
        <v>1.244434096426962</v>
      </c>
      <c r="S1581" s="3"/>
    </row>
    <row r="1582" spans="2:19" x14ac:dyDescent="0.5">
      <c r="B1582" t="str">
        <f t="shared" si="1740"/>
        <v>SPS1</v>
      </c>
      <c r="C1582" t="str">
        <f t="shared" si="174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2.3521947413726908E-3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9.6642191372827368E-4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1.2811895819388535E-3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4.0444861957362739E-5</v>
      </c>
      <c r="J1582" s="1" cm="1">
        <f t="array" ref="J1582">SUMPRODUCT(("TFLGV-ICENGA"=[1]OUT_TransportEnergyCons!$A$3:$A$1000)*1,("var_fout"=[1]OUT_TransportEnergyCons!$B$3:$B$1000)*1,ISNUMBER(SEARCH("TFLGV",[1]OUT_TransportEnergyCons!$C$3:$C$1000))*1,[1]OUT_TransportEnergyCons!H$3:H$1000)</f>
        <v>3.4035388095849723E-5</v>
      </c>
      <c r="K1582" s="1" cm="1">
        <f t="array" ref="K1582">SUMPRODUCT(("TFLGV-ICENGA"=[1]OUT_TransportEnergyCons!$A$3:$A$1000)*1,("var_fout"=[1]OUT_TransportEnergyCons!$B$3:$B$1000)*1,ISNUMBER(SEARCH("TFLGV",[1]OUT_TransportEnergyCons!$C$3:$C$1000))*1,[1]OUT_TransportEnergyCons!I$3:I$1000)</f>
        <v>3.4159618170281913E-5</v>
      </c>
      <c r="L1582" s="1" cm="1">
        <f t="array" ref="L1582">SUMPRODUCT(("TFLGV-ICENGA"=[1]OUT_TransportEnergyCons!$A$3:$A$1000)*1,("var_fout"=[1]OUT_TransportEnergyCons!$B$3:$B$1000)*1,ISNUMBER(SEARCH("TFLGV",[1]OUT_TransportEnergyCons!$C$3:$C$1000))*1,[1]OUT_TransportEnergyCons!J$3:J$1000)</f>
        <v>3.4605778189368025E-5</v>
      </c>
      <c r="M1582" s="1" cm="1">
        <f t="array" ref="M1582">SUMPRODUCT(("TFLGV-ICENGA"=[1]OUT_TransportEnergyCons!$A$3:$A$1000)*1,("var_fout"=[1]OUT_TransportEnergyCons!$B$3:$B$1000)*1,ISNUMBER(SEARCH("TFLGV",[1]OUT_TransportEnergyCons!$C$3:$C$1000))*1,[1]OUT_TransportEnergyCons!K$3:K$1000)</f>
        <v>3.5672847502089964E-5</v>
      </c>
      <c r="N1582" s="1" cm="1">
        <f t="array" ref="N1582">SUMPRODUCT(("TFLGV-ICENGA"=[1]OUT_TransportEnergyCons!$A$3:$A$1000)*1,("var_fout"=[1]OUT_TransportEnergyCons!$B$3:$B$1000)*1,ISNUMBER(SEARCH("TFLGV",[1]OUT_TransportEnergyCons!$C$3:$C$1000))*1,[1]OUT_TransportEnergyCons!L$3:L$1000)</f>
        <v>3.625332374219056E-5</v>
      </c>
      <c r="O1582" s="1" cm="1">
        <f t="array" ref="O1582">SUMPRODUCT(("TFLGV-ICENGA"=[1]OUT_TransportEnergyCons!$A$3:$A$1000)*1,("var_fout"=[1]OUT_TransportEnergyCons!$B$3:$B$1000)*1,ISNUMBER(SEARCH("TFLGV",[1]OUT_TransportEnergyCons!$C$3:$C$1000))*1,[1]OUT_TransportEnergyCons!M$3:M$1000)</f>
        <v>3.7433940394390999E-5</v>
      </c>
      <c r="P1582" s="1" cm="1">
        <f t="array" ref="P1582">SUMPRODUCT(("TFLGV-ICENGA"=[1]OUT_TransportEnergyCons!$A$3:$A$1000)*1,("var_fout"=[1]OUT_TransportEnergyCons!$B$3:$B$1000)*1,ISNUMBER(SEARCH("TFLGV",[1]OUT_TransportEnergyCons!$C$3:$C$1000))*1,[1]OUT_TransportEnergyCons!N$3:N$1000)</f>
        <v>3.7937160261400246E-5</v>
      </c>
      <c r="Q1582" s="1" cm="1">
        <f t="array" ref="Q1582">SUMPRODUCT(("TFLGV-ICENGA"=[1]OUT_TransportEnergyCons!$A$3:$A$1000)*1,("var_fout"=[1]OUT_TransportEnergyCons!$B$3:$B$1000)*1,ISNUMBER(SEARCH("TFLGV",[1]OUT_TransportEnergyCons!$C$3:$C$1000))*1,[1]OUT_TransportEnergyCons!O$3:O$1000)</f>
        <v>3.9932211231557355E-5</v>
      </c>
      <c r="S1582" s="3"/>
    </row>
    <row r="1583" spans="2:19" x14ac:dyDescent="0.5">
      <c r="B1583" s="2" t="str">
        <f t="shared" si="1740"/>
        <v>SPS1</v>
      </c>
      <c r="C1583" s="2" t="str">
        <f t="shared" si="1741"/>
        <v>CH</v>
      </c>
      <c r="D1583" s="2" t="s">
        <v>1568</v>
      </c>
      <c r="E1583" s="2" t="s">
        <v>1576</v>
      </c>
      <c r="F1583" s="22" t="s">
        <v>292</v>
      </c>
      <c r="G1583" s="22" t="s">
        <v>292</v>
      </c>
      <c r="H1583" s="22" t="s">
        <v>292</v>
      </c>
      <c r="I1583" s="22" t="s">
        <v>292</v>
      </c>
      <c r="J1583" s="22" t="s">
        <v>292</v>
      </c>
      <c r="K1583" s="22" t="s">
        <v>292</v>
      </c>
      <c r="L1583" s="22" t="s">
        <v>292</v>
      </c>
      <c r="M1583" s="22" t="s">
        <v>292</v>
      </c>
      <c r="N1583" s="22" t="s">
        <v>292</v>
      </c>
      <c r="O1583" s="22" t="s">
        <v>292</v>
      </c>
      <c r="P1583" s="22" t="s">
        <v>292</v>
      </c>
      <c r="Q1583" s="22" t="s">
        <v>292</v>
      </c>
      <c r="S1583" s="3"/>
    </row>
    <row r="1584" spans="2:19" x14ac:dyDescent="0.5">
      <c r="B1584" t="str">
        <f t="shared" si="1740"/>
        <v>SPS1</v>
      </c>
      <c r="C1584" t="str">
        <f t="shared" si="1741"/>
        <v>CH</v>
      </c>
      <c r="D1584" t="s">
        <v>1569</v>
      </c>
      <c r="E1584" t="s">
        <v>1576</v>
      </c>
      <c r="F1584" s="1">
        <f>IFERROR(F1574/F1548,"-")</f>
        <v>0.68922285337539657</v>
      </c>
      <c r="G1584" s="1">
        <f t="shared" ref="G1584:K1584" si="1766">IFERROR(G1574/G1548,"-")</f>
        <v>0.6956464313045061</v>
      </c>
      <c r="H1584" s="1">
        <f t="shared" si="1766"/>
        <v>0.70528179819817027</v>
      </c>
      <c r="I1584" s="1">
        <f t="shared" si="1766"/>
        <v>0.70528179819816972</v>
      </c>
      <c r="J1584" s="1" t="str">
        <f t="shared" si="1766"/>
        <v>-</v>
      </c>
      <c r="K1584" s="1" t="str">
        <f t="shared" si="1766"/>
        <v>-</v>
      </c>
      <c r="L1584" s="1" t="str">
        <f t="shared" ref="L1584:O1584" si="1767">IFERROR(L1574/L1548,"-")</f>
        <v>-</v>
      </c>
      <c r="M1584" s="1" t="str">
        <f t="shared" si="1767"/>
        <v>-</v>
      </c>
      <c r="N1584" s="1" t="str">
        <f t="shared" si="1767"/>
        <v>-</v>
      </c>
      <c r="O1584" s="1" t="str">
        <f t="shared" si="1767"/>
        <v>-</v>
      </c>
      <c r="P1584" s="1" t="str">
        <f>IFERROR(P1574/P1548,"-")</f>
        <v>-</v>
      </c>
      <c r="Q1584" s="1" t="str">
        <f>IFERROR(Q1574/Q1548,"-")</f>
        <v>-</v>
      </c>
      <c r="S1584" s="3"/>
    </row>
    <row r="1585" spans="2:19" x14ac:dyDescent="0.5">
      <c r="B1585" t="str">
        <f t="shared" si="1740"/>
        <v>SPS1</v>
      </c>
      <c r="C1585" t="str">
        <f t="shared" si="1741"/>
        <v>CH</v>
      </c>
      <c r="D1585" t="s">
        <v>1570</v>
      </c>
      <c r="E1585" t="s">
        <v>1576</v>
      </c>
      <c r="F1585" s="1">
        <f>IFERROR(F1575/F1549,"-")</f>
        <v>0.68135756995377306</v>
      </c>
      <c r="G1585" s="1">
        <f t="shared" ref="G1585:K1585" si="1768">IFERROR(G1575/G1549,"-")</f>
        <v>0.68135756995377239</v>
      </c>
      <c r="H1585" s="1">
        <f t="shared" si="1768"/>
        <v>0.68135756995377295</v>
      </c>
      <c r="I1585" s="1">
        <f t="shared" si="1768"/>
        <v>0.68135756995377306</v>
      </c>
      <c r="J1585" s="1">
        <f t="shared" si="1768"/>
        <v>0.68135756995377272</v>
      </c>
      <c r="K1585" s="1">
        <f t="shared" si="1768"/>
        <v>0.6813575699537735</v>
      </c>
      <c r="L1585" s="1">
        <f t="shared" ref="L1585:O1585" si="1769">IFERROR(L1575/L1549,"-")</f>
        <v>0.68135756995377239</v>
      </c>
      <c r="M1585" s="1">
        <f t="shared" si="1769"/>
        <v>0.68135756995377372</v>
      </c>
      <c r="N1585" s="1">
        <f t="shared" si="1769"/>
        <v>0.68135756995377417</v>
      </c>
      <c r="O1585" s="1">
        <f t="shared" si="1769"/>
        <v>0.68135756995377428</v>
      </c>
      <c r="P1585" s="1">
        <f>IFERROR(P1575/P1549,"-")</f>
        <v>0.68135756995377228</v>
      </c>
      <c r="Q1585" s="1">
        <f>IFERROR(Q1575/Q1549,"-")</f>
        <v>0.6813575699537735</v>
      </c>
      <c r="S1585" s="3"/>
    </row>
    <row r="1586" spans="2:19" x14ac:dyDescent="0.5">
      <c r="B1586" t="str">
        <f t="shared" si="1740"/>
        <v>SPS1</v>
      </c>
      <c r="C1586" t="str">
        <f t="shared" si="174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770">IFERROR(G1576/G1551,"-")</f>
        <v>0.46510343171505408</v>
      </c>
      <c r="H1586" s="1">
        <f t="shared" si="1770"/>
        <v>0.471523549792082</v>
      </c>
      <c r="I1586" s="1">
        <f t="shared" si="1770"/>
        <v>0.49570040095884527</v>
      </c>
      <c r="J1586" s="1">
        <f t="shared" si="1770"/>
        <v>0.52932153143088512</v>
      </c>
      <c r="K1586" s="1">
        <f t="shared" si="1770"/>
        <v>0.56238394741626874</v>
      </c>
      <c r="L1586" s="1">
        <f t="shared" ref="L1586:O1586" si="1771">IFERROR(L1576/L1551,"-")</f>
        <v>0.57619204104808819</v>
      </c>
      <c r="M1586" s="1">
        <f t="shared" si="1771"/>
        <v>0.59494075384836576</v>
      </c>
      <c r="N1586" s="1">
        <f t="shared" si="1771"/>
        <v>0.60212415962185062</v>
      </c>
      <c r="O1586" s="1">
        <f t="shared" si="1771"/>
        <v>0.60480257429318784</v>
      </c>
      <c r="P1586" s="1">
        <f>IFERROR(P1576/P1551,"-")</f>
        <v>0.60480257429318773</v>
      </c>
      <c r="Q1586" s="1">
        <f>IFERROR(Q1576/Q1551,"-")</f>
        <v>0.60480257429318851</v>
      </c>
      <c r="S1586" s="3"/>
    </row>
    <row r="1587" spans="2:19" x14ac:dyDescent="0.5">
      <c r="B1587" t="str">
        <f t="shared" si="1740"/>
        <v>SPS1</v>
      </c>
      <c r="C1587" t="str">
        <f t="shared" si="1741"/>
        <v>CH</v>
      </c>
      <c r="D1587" t="s">
        <v>1591</v>
      </c>
      <c r="E1587" t="s">
        <v>1576</v>
      </c>
      <c r="F1587" s="1">
        <f>IFERROR(F1577/F1557,"-")</f>
        <v>0.27758325613681006</v>
      </c>
      <c r="G1587" s="1">
        <f t="shared" ref="G1587:K1587" si="1772">IFERROR(G1577/G1557,"-")</f>
        <v>0.28017034051580092</v>
      </c>
      <c r="H1587" s="1">
        <f t="shared" si="1772"/>
        <v>0.28405096708428734</v>
      </c>
      <c r="I1587" s="1">
        <f t="shared" si="1772"/>
        <v>0.28405096708428701</v>
      </c>
      <c r="J1587" s="1" t="str">
        <f t="shared" si="1772"/>
        <v>-</v>
      </c>
      <c r="K1587" s="1" t="str">
        <f t="shared" si="1772"/>
        <v>-</v>
      </c>
      <c r="L1587" s="1" t="str">
        <f t="shared" ref="L1587:O1587" si="1773">IFERROR(L1577/L1557,"-")</f>
        <v>-</v>
      </c>
      <c r="M1587" s="1" t="str">
        <f t="shared" si="1773"/>
        <v>-</v>
      </c>
      <c r="N1587" s="1" t="str">
        <f t="shared" si="1773"/>
        <v>-</v>
      </c>
      <c r="O1587" s="1" t="str">
        <f t="shared" si="1773"/>
        <v>-</v>
      </c>
      <c r="P1587" s="1" t="str">
        <f>IFERROR(P1577/P1557,"-")</f>
        <v>-</v>
      </c>
      <c r="Q1587" s="1" t="str">
        <f>IFERROR(Q1577/Q1557,"-")</f>
        <v>-</v>
      </c>
      <c r="S1587" s="3"/>
    </row>
    <row r="1588" spans="2:19" x14ac:dyDescent="0.5">
      <c r="B1588" t="str">
        <f t="shared" si="1740"/>
        <v>SPS1</v>
      </c>
      <c r="C1588" t="str">
        <f t="shared" si="1741"/>
        <v>CH</v>
      </c>
      <c r="D1588" t="s">
        <v>1592</v>
      </c>
      <c r="E1588" t="s">
        <v>1576</v>
      </c>
      <c r="F1588" s="1">
        <f>IFERROR(F1578/F1558,"-")</f>
        <v>0.35122961215622045</v>
      </c>
      <c r="G1588" s="1">
        <f t="shared" ref="G1588:K1588" si="1774">IFERROR(G1578/G1558,"-")</f>
        <v>0.35122961215622123</v>
      </c>
      <c r="H1588" s="1">
        <f t="shared" si="1774"/>
        <v>0.35122961215622028</v>
      </c>
      <c r="I1588" s="1">
        <f t="shared" si="1774"/>
        <v>0.35122961215622067</v>
      </c>
      <c r="J1588" s="1">
        <f t="shared" si="1774"/>
        <v>0.35122961215622084</v>
      </c>
      <c r="K1588" s="1">
        <f t="shared" si="1774"/>
        <v>0.35122961215622045</v>
      </c>
      <c r="L1588" s="1">
        <f t="shared" ref="L1588:O1588" si="1775">IFERROR(L1578/L1558,"-")</f>
        <v>0.35122961215622095</v>
      </c>
      <c r="M1588" s="1">
        <f t="shared" si="1775"/>
        <v>0.351229612156221</v>
      </c>
      <c r="N1588" s="1">
        <f t="shared" si="1775"/>
        <v>0.35122961215622095</v>
      </c>
      <c r="O1588" s="1">
        <f t="shared" si="1775"/>
        <v>0.35122961215622139</v>
      </c>
      <c r="P1588" s="1">
        <f>IFERROR(P1578/P1558,"-")</f>
        <v>0.35122961215622089</v>
      </c>
      <c r="Q1588" s="1">
        <f>IFERROR(Q1578/Q1558,"-")</f>
        <v>0.35122961215622056</v>
      </c>
      <c r="S1588" s="3"/>
    </row>
    <row r="1589" spans="2:19" x14ac:dyDescent="0.5">
      <c r="B1589" t="str">
        <f t="shared" si="1740"/>
        <v>SPS1</v>
      </c>
      <c r="C1589" t="str">
        <f t="shared" si="1741"/>
        <v>CH</v>
      </c>
      <c r="D1589" t="s">
        <v>1572</v>
      </c>
      <c r="E1589" t="s">
        <v>1576</v>
      </c>
      <c r="F1589" s="1">
        <f>IFERROR(F1579/F1564,"-")</f>
        <v>0.25903663625928719</v>
      </c>
      <c r="G1589" s="1">
        <f t="shared" ref="G1589:K1589" si="1776">IFERROR(G1579/G1564,"-")</f>
        <v>0.26793746277611225</v>
      </c>
      <c r="H1589" s="1">
        <f t="shared" si="1776"/>
        <v>0.2812887025513498</v>
      </c>
      <c r="I1589" s="1">
        <f t="shared" si="1776"/>
        <v>0.28128870255135013</v>
      </c>
      <c r="J1589" s="1" t="str">
        <f t="shared" si="1776"/>
        <v>-</v>
      </c>
      <c r="K1589" s="1" t="str">
        <f t="shared" si="1776"/>
        <v>-</v>
      </c>
      <c r="L1589" s="1" t="str">
        <f t="shared" ref="L1589:O1589" si="1777">IFERROR(L1579/L1564,"-")</f>
        <v>-</v>
      </c>
      <c r="M1589" s="1" t="str">
        <f t="shared" si="1777"/>
        <v>-</v>
      </c>
      <c r="N1589" s="1" t="str">
        <f t="shared" si="1777"/>
        <v>-</v>
      </c>
      <c r="O1589" s="1" t="str">
        <f t="shared" si="1777"/>
        <v>-</v>
      </c>
      <c r="P1589" s="1" t="str">
        <f t="shared" ref="P1589:Q1591" si="1778">IFERROR(P1579/P1564,"-")</f>
        <v>-</v>
      </c>
      <c r="Q1589" s="1" t="str">
        <f t="shared" si="1778"/>
        <v>-</v>
      </c>
      <c r="S1589" s="3"/>
    </row>
    <row r="1590" spans="2:19" x14ac:dyDescent="0.5">
      <c r="B1590" t="str">
        <f t="shared" si="1740"/>
        <v>SPS1</v>
      </c>
      <c r="C1590" t="str">
        <f t="shared" si="1741"/>
        <v>CH</v>
      </c>
      <c r="D1590" t="s">
        <v>1573</v>
      </c>
      <c r="E1590" t="s">
        <v>1576</v>
      </c>
      <c r="F1590" s="1">
        <f>IFERROR(F1580/F1565,"-")</f>
        <v>0.34211451343153254</v>
      </c>
      <c r="G1590" s="1">
        <f t="shared" ref="G1590:K1590" si="1779">IFERROR(G1580/G1565,"-")</f>
        <v>0.34211451343153076</v>
      </c>
      <c r="H1590" s="1">
        <f t="shared" si="1779"/>
        <v>0.34211451343153204</v>
      </c>
      <c r="I1590" s="1">
        <f t="shared" si="1779"/>
        <v>0.3421145134315336</v>
      </c>
      <c r="J1590" s="1">
        <f t="shared" si="1779"/>
        <v>0.34211451343153171</v>
      </c>
      <c r="K1590" s="1">
        <f t="shared" si="1779"/>
        <v>0.3421145134315326</v>
      </c>
      <c r="L1590" s="1">
        <f t="shared" ref="L1590:O1590" si="1780">IFERROR(L1580/L1565,"-")</f>
        <v>0.34211451343153293</v>
      </c>
      <c r="M1590" s="1">
        <f t="shared" si="1780"/>
        <v>0.3421145134315316</v>
      </c>
      <c r="N1590" s="1">
        <f t="shared" si="1780"/>
        <v>0.34211451343153232</v>
      </c>
      <c r="O1590" s="1">
        <f t="shared" si="1780"/>
        <v>0.34211451343153271</v>
      </c>
      <c r="P1590" s="1">
        <f t="shared" si="1778"/>
        <v>0.3421145134315321</v>
      </c>
      <c r="Q1590" s="1">
        <f t="shared" si="1778"/>
        <v>0.34211451343153193</v>
      </c>
      <c r="S1590" s="3"/>
    </row>
    <row r="1591" spans="2:19" x14ac:dyDescent="0.5">
      <c r="B1591" t="str">
        <f t="shared" si="1740"/>
        <v>SPS1</v>
      </c>
      <c r="C1591" t="str">
        <f t="shared" si="174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781">IFERROR(G1581/G1566,"-")</f>
        <v>0.46076759264650791</v>
      </c>
      <c r="H1591" s="1">
        <f t="shared" si="1781"/>
        <v>0.46076759264650802</v>
      </c>
      <c r="I1591" s="1">
        <f t="shared" si="1781"/>
        <v>0.46076759264650774</v>
      </c>
      <c r="J1591" s="1">
        <f t="shared" si="1781"/>
        <v>0.46076759264650785</v>
      </c>
      <c r="K1591" s="1">
        <f t="shared" si="1781"/>
        <v>0.46076759264650896</v>
      </c>
      <c r="L1591" s="1">
        <f t="shared" ref="L1591:O1591" si="1782">IFERROR(L1581/L1566,"-")</f>
        <v>0.46076759264650857</v>
      </c>
      <c r="M1591" s="1">
        <f t="shared" si="1782"/>
        <v>0.46076759264650835</v>
      </c>
      <c r="N1591" s="1">
        <f t="shared" si="1782"/>
        <v>0.46076759264650813</v>
      </c>
      <c r="O1591" s="1">
        <f t="shared" si="1782"/>
        <v>0.46076759264650791</v>
      </c>
      <c r="P1591" s="1">
        <f t="shared" si="1778"/>
        <v>0.46076759264650785</v>
      </c>
      <c r="Q1591" s="1">
        <f t="shared" si="1778"/>
        <v>0.46076759264650829</v>
      </c>
      <c r="S1591" s="3"/>
    </row>
    <row r="1592" spans="2:19" x14ac:dyDescent="0.5">
      <c r="B1592" t="str">
        <f t="shared" si="1740"/>
        <v>SPS1</v>
      </c>
      <c r="C1592" t="str">
        <f t="shared" si="1741"/>
        <v>CH</v>
      </c>
      <c r="D1592" t="s">
        <v>1575</v>
      </c>
      <c r="E1592" t="s">
        <v>1576</v>
      </c>
      <c r="F1592" s="1">
        <f>IFERROR(F1582/F1572,"-")</f>
        <v>0.32057692743518007</v>
      </c>
      <c r="G1592" s="1">
        <f t="shared" ref="G1592:K1592" si="1783">IFERROR(G1582/G1572,"-")</f>
        <v>0.32057692743517968</v>
      </c>
      <c r="H1592" s="1">
        <f t="shared" si="1783"/>
        <v>0.3205769274351799</v>
      </c>
      <c r="I1592" s="1">
        <f t="shared" si="1783"/>
        <v>0.32057692743518024</v>
      </c>
      <c r="J1592" s="1">
        <f t="shared" si="1783"/>
        <v>0.32057692743517946</v>
      </c>
      <c r="K1592" s="1">
        <f t="shared" si="1783"/>
        <v>0.32057692743518001</v>
      </c>
      <c r="L1592" s="1">
        <f t="shared" ref="L1592:O1592" si="1784">IFERROR(L1582/L1572,"-")</f>
        <v>0.32057692743517963</v>
      </c>
      <c r="M1592" s="1">
        <f t="shared" si="1784"/>
        <v>0.32057692743517996</v>
      </c>
      <c r="N1592" s="1">
        <f t="shared" si="1784"/>
        <v>0.32057692743518007</v>
      </c>
      <c r="O1592" s="1">
        <f t="shared" si="1784"/>
        <v>0.32057692743518024</v>
      </c>
      <c r="P1592" s="1">
        <f>IFERROR(P1582/P1572,"-")</f>
        <v>0.32057692743518007</v>
      </c>
      <c r="Q1592" s="1">
        <f>IFERROR(Q1582/Q1572,"-")</f>
        <v>0.32057692743518029</v>
      </c>
      <c r="S1592" s="3"/>
    </row>
    <row r="1593" spans="2:19" x14ac:dyDescent="0.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24.515063785394076</v>
      </c>
      <c r="G1593" s="3">
        <f t="shared" ref="G1593" si="1785">G1594+G1597+G1599+G1606+G1614</f>
        <v>21.037935083223715</v>
      </c>
      <c r="H1593" s="3">
        <f t="shared" ref="H1593" si="1786">H1594+H1597+H1599+H1606+H1614</f>
        <v>20.511532597843708</v>
      </c>
      <c r="I1593" s="3">
        <f t="shared" ref="I1593" si="1787">I1594+I1597+I1599+I1606+I1614</f>
        <v>16.613801150654723</v>
      </c>
      <c r="J1593" s="3">
        <f t="shared" ref="J1593" si="1788">J1594+J1597+J1599+J1606+J1614</f>
        <v>14.79853102267387</v>
      </c>
      <c r="K1593" s="3">
        <f t="shared" ref="K1593" si="1789">K1594+K1597+K1599+K1606+K1614</f>
        <v>15.417302986596461</v>
      </c>
      <c r="L1593" s="3">
        <f t="shared" ref="L1593:O1593" si="1790">L1594+L1597+L1599+L1606+L1614</f>
        <v>16.041839523470657</v>
      </c>
      <c r="M1593" s="3">
        <f t="shared" si="1790"/>
        <v>16.665696296466717</v>
      </c>
      <c r="N1593" s="3">
        <f t="shared" si="1790"/>
        <v>17.204650779845192</v>
      </c>
      <c r="O1593" s="3">
        <f t="shared" si="1790"/>
        <v>17.80290595440832</v>
      </c>
      <c r="P1593" s="3">
        <f>P1594+P1597+P1599+P1606+P1614</f>
        <v>18.432091414454451</v>
      </c>
      <c r="Q1593" s="3">
        <f>Q1594+Q1597+Q1599+Q1606+Q1614</f>
        <v>19.133138957194959</v>
      </c>
      <c r="S1593" s="3"/>
    </row>
    <row r="1594" spans="2:19" x14ac:dyDescent="0.5">
      <c r="B1594" t="str">
        <f t="shared" ref="B1594:B1639" si="1791">B1593</f>
        <v>SPS1</v>
      </c>
      <c r="C1594" t="str">
        <f t="shared" ref="C1594:C1639" si="1792">C1593</f>
        <v>CH</v>
      </c>
      <c r="D1594" t="s">
        <v>1597</v>
      </c>
      <c r="E1594" t="str">
        <f>E1593</f>
        <v>PJ/yr.</v>
      </c>
      <c r="F1594" s="1">
        <f>SUM(F1595:F1596)</f>
        <v>4.3753036058518414E-3</v>
      </c>
      <c r="G1594" s="1">
        <f t="shared" ref="G1594" si="1793">SUM(G1595:G1596)</f>
        <v>4.344972004245354E-3</v>
      </c>
      <c r="H1594" s="1">
        <f t="shared" ref="H1594" si="1794">SUM(H1595:H1596)</f>
        <v>4.6032882679912504E-3</v>
      </c>
      <c r="I1594" s="1">
        <f t="shared" ref="I1594" si="1795">SUM(I1595:I1596)</f>
        <v>1.7865390607225355E-3</v>
      </c>
      <c r="J1594" s="1">
        <f t="shared" ref="J1594" si="1796">SUM(J1595:J1596)</f>
        <v>7.4127335629853199E-4</v>
      </c>
      <c r="K1594" s="1">
        <f t="shared" ref="K1594" si="1797">SUM(K1595:K1596)</f>
        <v>1.3848777410001743E-3</v>
      </c>
      <c r="L1594" s="1">
        <f t="shared" ref="L1594:O1594" si="1798">SUM(L1595:L1596)</f>
        <v>1.8409203900431547E-3</v>
      </c>
      <c r="M1594" s="1">
        <f t="shared" si="1798"/>
        <v>3.3474814212284517E-3</v>
      </c>
      <c r="N1594" s="1">
        <f t="shared" si="1798"/>
        <v>4.9791584444143456E-3</v>
      </c>
      <c r="O1594" s="1">
        <f t="shared" si="1798"/>
        <v>6.158255684653305E-3</v>
      </c>
      <c r="P1594" s="1">
        <f>SUM(P1595:P1596)</f>
        <v>1.1285947218517178E-2</v>
      </c>
      <c r="Q1594" s="1">
        <f>SUM(Q1595:Q1596)</f>
        <v>3.1298927350348692E-2</v>
      </c>
      <c r="S1594" s="3"/>
    </row>
    <row r="1595" spans="2:19" x14ac:dyDescent="0.5">
      <c r="B1595" t="str">
        <f t="shared" si="1791"/>
        <v>SPS1</v>
      </c>
      <c r="C1595" t="str">
        <f t="shared" si="1792"/>
        <v>CH</v>
      </c>
      <c r="D1595" t="s">
        <v>1598</v>
      </c>
      <c r="E1595" t="str">
        <f t="shared" ref="E1595:E1619" si="1799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SUMPRODUCT(("TFHGV-BeVELCExt"=[1]OUT_TransportEnergyCons!$A$3:$A$1000)*1,("Var_Fin"=[1]OUT_TransportEnergyCons!$B$3:$B$1000)*1,ISNUMBER(SEARCH("ELC",[1]OUT_TransportEnergyCons!$C$3:$C$1000))*1,[1]OUT_TransportEnergyCons!H$3:H$1000)</f>
        <v>0</v>
      </c>
      <c r="K1595" s="1" cm="1">
        <f t="array" ref="K1595">SUMPRODUCT(("TFHGV-BeVELCExt"=[1]OUT_TransportEnergyCons!$A$3:$A$1000)*1,("Var_Fin"=[1]OUT_TransportEnergyCons!$B$3:$B$1000)*1,ISNUMBER(SEARCH("ELC",[1]OUT_TransportEnergyCons!$C$3:$C$1000))*1,[1]OUT_TransportEnergyCons!I$3:I$1000)</f>
        <v>0</v>
      </c>
      <c r="L1595" s="1" cm="1">
        <f t="array" ref="L1595">SUMPRODUCT(("TFHGV-BeVELCExt"=[1]OUT_TransportEnergyCons!$A$3:$A$1000)*1,("Var_Fin"=[1]OUT_TransportEnergyCons!$B$3:$B$1000)*1,ISNUMBER(SEARCH("ELC",[1]OUT_TransportEnergyCons!$C$3:$C$1000))*1,[1]OUT_TransportEnergyCons!J$3:J$1000)</f>
        <v>0</v>
      </c>
      <c r="M1595" s="1" cm="1">
        <f t="array" ref="M1595">SUMPRODUCT(("TFHGV-BeVELCExt"=[1]OUT_TransportEnergyCons!$A$3:$A$1000)*1,("Var_Fin"=[1]OUT_TransportEnergyCons!$B$3:$B$1000)*1,ISNUMBER(SEARCH("ELC",[1]OUT_TransportEnergyCons!$C$3:$C$1000))*1,[1]OUT_TransportEnergyCons!K$3:K$1000)</f>
        <v>0</v>
      </c>
      <c r="N1595" s="1" cm="1">
        <f t="array" ref="N1595">SUMPRODUCT(("TFHGV-BeVELCExt"=[1]OUT_TransportEnergyCons!$A$3:$A$1000)*1,("Var_Fin"=[1]OUT_TransportEnergyCons!$B$3:$B$1000)*1,ISNUMBER(SEARCH("ELC",[1]OUT_TransportEnergyCons!$C$3:$C$1000))*1,[1]OUT_TransportEnergyCons!L$3:L$1000)</f>
        <v>0</v>
      </c>
      <c r="O1595" s="1" cm="1">
        <f t="array" ref="O1595">SUMPRODUCT(("TFHGV-BeVELCExt"=[1]OUT_TransportEnergyCons!$A$3:$A$1000)*1,("Var_Fin"=[1]OUT_TransportEnergyCons!$B$3:$B$1000)*1,ISNUMBER(SEARCH("ELC",[1]OUT_TransportEnergyCons!$C$3:$C$1000))*1,[1]OUT_TransportEnergyCons!M$3:M$1000)</f>
        <v>0</v>
      </c>
      <c r="P1595" s="1" cm="1">
        <f t="array" ref="P1595">SUMPRODUCT(("TFHGV-BeVELCExt"=[1]OUT_TransportEnergyCons!$A$3:$A$1000)*1,("Var_Fin"=[1]OUT_TransportEnergyCons!$B$3:$B$1000)*1,ISNUMBER(SEARCH("ELC",[1]OUT_TransportEnergyCons!$C$3:$C$1000))*1,[1]OUT_TransportEnergyCons!N$3:N$1000)</f>
        <v>0</v>
      </c>
      <c r="Q1595" s="1" cm="1">
        <f t="array" ref="Q1595">SUMPRODUCT(("TFHGV-BeVELCExt"=[1]OUT_TransportEnergyCons!$A$3:$A$1000)*1,("Var_Fin"=[1]OUT_TransportEnergyCons!$B$3:$B$1000)*1,ISNUMBER(SEARCH("ELC",[1]OUT_TransportEnergyCons!$C$3:$C$1000))*1,[1]OUT_TransportEnergyCons!O$3:O$1000)</f>
        <v>0</v>
      </c>
      <c r="S1595" s="3"/>
    </row>
    <row r="1596" spans="2:19" x14ac:dyDescent="0.5">
      <c r="B1596" t="str">
        <f t="shared" si="1791"/>
        <v>SPS1</v>
      </c>
      <c r="C1596" t="str">
        <f t="shared" si="1792"/>
        <v>CH</v>
      </c>
      <c r="D1596" t="s">
        <v>1599</v>
      </c>
      <c r="E1596" t="str">
        <f t="shared" si="1799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4.3753036058518414E-3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4.344972004245354E-3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4.6032882679912504E-3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1.7865390607225355E-3</v>
      </c>
      <c r="J1596" s="1" cm="1">
        <f t="array" ref="J1596">SUMPRODUCT(("TFHGV-BEVELC"=[1]OUT_TransportEnergyCons!$A$3:$A$1000)*1,("Var_Fin"=[1]OUT_TransportEnergyCons!$B$3:$B$1000)*1,ISNUMBER(SEARCH("ELC",[1]OUT_TransportEnergyCons!$C$3:$C$1000))*1,[1]OUT_TransportEnergyCons!H$3:H$1000)</f>
        <v>7.4127335629853199E-4</v>
      </c>
      <c r="K1596" s="1" cm="1">
        <f t="array" ref="K1596">SUMPRODUCT(("TFHGV-BEVELC"=[1]OUT_TransportEnergyCons!$A$3:$A$1000)*1,("Var_Fin"=[1]OUT_TransportEnergyCons!$B$3:$B$1000)*1,ISNUMBER(SEARCH("ELC",[1]OUT_TransportEnergyCons!$C$3:$C$1000))*1,[1]OUT_TransportEnergyCons!I$3:I$1000)</f>
        <v>1.3848777410001743E-3</v>
      </c>
      <c r="L1596" s="1" cm="1">
        <f t="array" ref="L1596">SUMPRODUCT(("TFHGV-BEVELC"=[1]OUT_TransportEnergyCons!$A$3:$A$1000)*1,("Var_Fin"=[1]OUT_TransportEnergyCons!$B$3:$B$1000)*1,ISNUMBER(SEARCH("ELC",[1]OUT_TransportEnergyCons!$C$3:$C$1000))*1,[1]OUT_TransportEnergyCons!J$3:J$1000)</f>
        <v>1.8409203900431547E-3</v>
      </c>
      <c r="M1596" s="1" cm="1">
        <f t="array" ref="M1596">SUMPRODUCT(("TFHGV-BEVELC"=[1]OUT_TransportEnergyCons!$A$3:$A$1000)*1,("Var_Fin"=[1]OUT_TransportEnergyCons!$B$3:$B$1000)*1,ISNUMBER(SEARCH("ELC",[1]OUT_TransportEnergyCons!$C$3:$C$1000))*1,[1]OUT_TransportEnergyCons!K$3:K$1000)</f>
        <v>3.3474814212284517E-3</v>
      </c>
      <c r="N1596" s="1" cm="1">
        <f t="array" ref="N1596">SUMPRODUCT(("TFHGV-BEVELC"=[1]OUT_TransportEnergyCons!$A$3:$A$1000)*1,("Var_Fin"=[1]OUT_TransportEnergyCons!$B$3:$B$1000)*1,ISNUMBER(SEARCH("ELC",[1]OUT_TransportEnergyCons!$C$3:$C$1000))*1,[1]OUT_TransportEnergyCons!L$3:L$1000)</f>
        <v>4.9791584444143456E-3</v>
      </c>
      <c r="O1596" s="1" cm="1">
        <f t="array" ref="O1596">SUMPRODUCT(("TFHGV-BEVELC"=[1]OUT_TransportEnergyCons!$A$3:$A$1000)*1,("Var_Fin"=[1]OUT_TransportEnergyCons!$B$3:$B$1000)*1,ISNUMBER(SEARCH("ELC",[1]OUT_TransportEnergyCons!$C$3:$C$1000))*1,[1]OUT_TransportEnergyCons!M$3:M$1000)</f>
        <v>6.158255684653305E-3</v>
      </c>
      <c r="P1596" s="1" cm="1">
        <f t="array" ref="P1596">SUMPRODUCT(("TFHGV-BEVELC"=[1]OUT_TransportEnergyCons!$A$3:$A$1000)*1,("Var_Fin"=[1]OUT_TransportEnergyCons!$B$3:$B$1000)*1,ISNUMBER(SEARCH("ELC",[1]OUT_TransportEnergyCons!$C$3:$C$1000))*1,[1]OUT_TransportEnergyCons!N$3:N$1000)</f>
        <v>1.1285947218517178E-2</v>
      </c>
      <c r="Q1596" s="1" cm="1">
        <f t="array" ref="Q1596">SUMPRODUCT(("TFHGV-BEVELC"=[1]OUT_TransportEnergyCons!$A$3:$A$1000)*1,("Var_Fin"=[1]OUT_TransportEnergyCons!$B$3:$B$1000)*1,ISNUMBER(SEARCH("ELC",[1]OUT_TransportEnergyCons!$C$3:$C$1000))*1,[1]OUT_TransportEnergyCons!O$3:O$1000)</f>
        <v>3.1298927350348692E-2</v>
      </c>
      <c r="S1596" s="3"/>
    </row>
    <row r="1597" spans="2:19" x14ac:dyDescent="0.5">
      <c r="B1597" t="str">
        <f t="shared" si="1791"/>
        <v>SPS1</v>
      </c>
      <c r="C1597" t="str">
        <f t="shared" si="1792"/>
        <v>CH</v>
      </c>
      <c r="D1597" t="s">
        <v>1600</v>
      </c>
      <c r="E1597" t="str">
        <f t="shared" si="1799"/>
        <v>PJ/yr.</v>
      </c>
      <c r="F1597" s="1">
        <f>F1598</f>
        <v>2.519364930020699E-3</v>
      </c>
      <c r="G1597" s="1">
        <f t="shared" ref="G1597" si="1800">G1598</f>
        <v>9.2347470769531953E-4</v>
      </c>
      <c r="H1597" s="1">
        <f t="shared" ref="H1597" si="1801">H1598</f>
        <v>9.0931699028989183E-4</v>
      </c>
      <c r="I1597" s="1">
        <f t="shared" ref="I1597" si="1802">I1598</f>
        <v>1.4185258928461946E-4</v>
      </c>
      <c r="J1597" s="1">
        <f t="shared" ref="J1597" si="1803">J1598</f>
        <v>1.2366533599926957E-4</v>
      </c>
      <c r="K1597" s="1">
        <f t="shared" ref="K1597:O1597" si="1804">K1598</f>
        <v>1.1912087560128959E-4</v>
      </c>
      <c r="L1597" s="1">
        <f t="shared" si="1804"/>
        <v>1.0932555907002152E-4</v>
      </c>
      <c r="M1597" s="1">
        <f t="shared" si="1804"/>
        <v>1.0156229207330765E-4</v>
      </c>
      <c r="N1597" s="1">
        <f t="shared" si="1804"/>
        <v>9.5101457056128929E-5</v>
      </c>
      <c r="O1597" s="1">
        <f t="shared" si="1804"/>
        <v>8.7083503797178921E-5</v>
      </c>
      <c r="P1597" s="1">
        <f>P1598</f>
        <v>9.394823320075908E-5</v>
      </c>
      <c r="Q1597" s="1">
        <f>Q1598</f>
        <v>8.6241093614471606E-5</v>
      </c>
      <c r="S1597" s="3"/>
    </row>
    <row r="1598" spans="2:19" x14ac:dyDescent="0.5">
      <c r="B1598" t="str">
        <f t="shared" si="1791"/>
        <v>SPS1</v>
      </c>
      <c r="C1598" t="str">
        <f t="shared" si="1792"/>
        <v>CH</v>
      </c>
      <c r="D1598" t="s">
        <v>1601</v>
      </c>
      <c r="E1598" t="str">
        <f t="shared" si="1799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2.519364930020699E-3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9.2347470769531953E-4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9.0931699028989183E-4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1.4185258928461946E-4</v>
      </c>
      <c r="J1598" s="1" cm="1">
        <f t="array" ref="J1598">SUMPRODUCT(("TFHGV-FCLH2O"=[1]OUT_TransportEnergyCons!$A$3:$A$1000)*1,("Var_Fin"=[1]OUT_TransportEnergyCons!$B$3:$B$1000)*1,ISNUMBER(SEARCH("h2",[1]OUT_TransportEnergyCons!$C$3:$C$1000))*1,[1]OUT_TransportEnergyCons!H$3:H$1000)</f>
        <v>1.2366533599926957E-4</v>
      </c>
      <c r="K1598" s="1" cm="1">
        <f t="array" ref="K1598">SUMPRODUCT(("TFHGV-FCLH2O"=[1]OUT_TransportEnergyCons!$A$3:$A$1000)*1,("Var_Fin"=[1]OUT_TransportEnergyCons!$B$3:$B$1000)*1,ISNUMBER(SEARCH("h2",[1]OUT_TransportEnergyCons!$C$3:$C$1000))*1,[1]OUT_TransportEnergyCons!I$3:I$1000)</f>
        <v>1.1912087560128959E-4</v>
      </c>
      <c r="L1598" s="1" cm="1">
        <f t="array" ref="L1598">SUMPRODUCT(("TFHGV-FCLH2O"=[1]OUT_TransportEnergyCons!$A$3:$A$1000)*1,("Var_Fin"=[1]OUT_TransportEnergyCons!$B$3:$B$1000)*1,ISNUMBER(SEARCH("h2",[1]OUT_TransportEnergyCons!$C$3:$C$1000))*1,[1]OUT_TransportEnergyCons!J$3:J$1000)</f>
        <v>1.0932555907002152E-4</v>
      </c>
      <c r="M1598" s="1" cm="1">
        <f t="array" ref="M1598">SUMPRODUCT(("TFHGV-FCLH2O"=[1]OUT_TransportEnergyCons!$A$3:$A$1000)*1,("Var_Fin"=[1]OUT_TransportEnergyCons!$B$3:$B$1000)*1,ISNUMBER(SEARCH("h2",[1]OUT_TransportEnergyCons!$C$3:$C$1000))*1,[1]OUT_TransportEnergyCons!K$3:K$1000)</f>
        <v>1.0156229207330765E-4</v>
      </c>
      <c r="N1598" s="1" cm="1">
        <f t="array" ref="N1598">SUMPRODUCT(("TFHGV-FCLH2O"=[1]OUT_TransportEnergyCons!$A$3:$A$1000)*1,("Var_Fin"=[1]OUT_TransportEnergyCons!$B$3:$B$1000)*1,ISNUMBER(SEARCH("h2",[1]OUT_TransportEnergyCons!$C$3:$C$1000))*1,[1]OUT_TransportEnergyCons!L$3:L$1000)</f>
        <v>9.5101457056128929E-5</v>
      </c>
      <c r="O1598" s="1" cm="1">
        <f t="array" ref="O1598">SUMPRODUCT(("TFHGV-FCLH2O"=[1]OUT_TransportEnergyCons!$A$3:$A$1000)*1,("Var_Fin"=[1]OUT_TransportEnergyCons!$B$3:$B$1000)*1,ISNUMBER(SEARCH("h2",[1]OUT_TransportEnergyCons!$C$3:$C$1000))*1,[1]OUT_TransportEnergyCons!M$3:M$1000)</f>
        <v>8.7083503797178921E-5</v>
      </c>
      <c r="P1598" s="1" cm="1">
        <f t="array" ref="P1598">SUMPRODUCT(("TFHGV-FCLH2O"=[1]OUT_TransportEnergyCons!$A$3:$A$1000)*1,("Var_Fin"=[1]OUT_TransportEnergyCons!$B$3:$B$1000)*1,ISNUMBER(SEARCH("h2",[1]OUT_TransportEnergyCons!$C$3:$C$1000))*1,[1]OUT_TransportEnergyCons!N$3:N$1000)</f>
        <v>9.394823320075908E-5</v>
      </c>
      <c r="Q1598" s="1" cm="1">
        <f t="array" ref="Q1598">SUMPRODUCT(("TFHGV-FCLH2O"=[1]OUT_TransportEnergyCons!$A$3:$A$1000)*1,("Var_Fin"=[1]OUT_TransportEnergyCons!$B$3:$B$1000)*1,ISNUMBER(SEARCH("h2",[1]OUT_TransportEnergyCons!$C$3:$C$1000))*1,[1]OUT_TransportEnergyCons!O$3:O$1000)</f>
        <v>8.6241093614471606E-5</v>
      </c>
      <c r="S1598" s="3"/>
    </row>
    <row r="1599" spans="2:19" x14ac:dyDescent="0.5">
      <c r="B1599" t="str">
        <f t="shared" si="1791"/>
        <v>SPS1</v>
      </c>
      <c r="C1599" t="str">
        <f t="shared" si="1792"/>
        <v>CH</v>
      </c>
      <c r="D1599" t="s">
        <v>1602</v>
      </c>
      <c r="E1599" t="str">
        <f t="shared" si="1799"/>
        <v>PJ/yr.</v>
      </c>
      <c r="F1599" s="1">
        <f>SUM(F1604:F1605)</f>
        <v>0</v>
      </c>
      <c r="G1599" s="1">
        <f t="shared" ref="G1599:K1599" si="1805">SUM(G1604:G1605)</f>
        <v>0</v>
      </c>
      <c r="H1599" s="1">
        <f t="shared" si="1805"/>
        <v>0</v>
      </c>
      <c r="I1599" s="1">
        <f t="shared" si="1805"/>
        <v>0</v>
      </c>
      <c r="J1599" s="1">
        <f t="shared" si="1805"/>
        <v>0</v>
      </c>
      <c r="K1599" s="1">
        <f t="shared" si="1805"/>
        <v>0</v>
      </c>
      <c r="L1599" s="1">
        <f t="shared" ref="L1599:O1599" si="1806">SUM(L1604:L1605)</f>
        <v>0</v>
      </c>
      <c r="M1599" s="1">
        <f t="shared" si="1806"/>
        <v>0</v>
      </c>
      <c r="N1599" s="1">
        <f t="shared" si="1806"/>
        <v>0</v>
      </c>
      <c r="O1599" s="1">
        <f t="shared" si="1806"/>
        <v>0</v>
      </c>
      <c r="P1599" s="1">
        <f>SUM(P1604:P1605)</f>
        <v>0</v>
      </c>
      <c r="Q1599" s="1">
        <f>SUM(Q1604:Q1605)</f>
        <v>0</v>
      </c>
      <c r="S1599" s="3"/>
    </row>
    <row r="1600" spans="2:19" x14ac:dyDescent="0.5">
      <c r="B1600" t="str">
        <f t="shared" si="1791"/>
        <v>SPS1</v>
      </c>
      <c r="C1600" t="str">
        <f t="shared" si="1792"/>
        <v>CH</v>
      </c>
      <c r="D1600" t="s">
        <v>1603</v>
      </c>
      <c r="E1600" t="str">
        <f t="shared" si="1799"/>
        <v>PJ/yr.</v>
      </c>
      <c r="F1600" s="1">
        <f>F1599-F1601</f>
        <v>0</v>
      </c>
      <c r="G1600" s="1">
        <f t="shared" ref="G1600:K1600" si="1807">G1599-G1601</f>
        <v>0</v>
      </c>
      <c r="H1600" s="1">
        <f t="shared" si="1807"/>
        <v>0</v>
      </c>
      <c r="I1600" s="1">
        <f t="shared" si="1807"/>
        <v>0</v>
      </c>
      <c r="J1600" s="1">
        <f t="shared" si="1807"/>
        <v>0</v>
      </c>
      <c r="K1600" s="1">
        <f t="shared" si="1807"/>
        <v>0</v>
      </c>
      <c r="L1600" s="1">
        <f t="shared" ref="L1600:O1600" si="1808">L1599-L1601</f>
        <v>0</v>
      </c>
      <c r="M1600" s="1">
        <f t="shared" si="1808"/>
        <v>0</v>
      </c>
      <c r="N1600" s="1">
        <f t="shared" si="1808"/>
        <v>0</v>
      </c>
      <c r="O1600" s="1">
        <f t="shared" si="1808"/>
        <v>0</v>
      </c>
      <c r="P1600" s="1">
        <f>P1599-P1601</f>
        <v>0</v>
      </c>
      <c r="Q1600" s="1">
        <f>Q1599-Q1601</f>
        <v>0</v>
      </c>
      <c r="S1600" s="3"/>
    </row>
    <row r="1601" spans="2:19" x14ac:dyDescent="0.5">
      <c r="B1601" t="str">
        <f t="shared" si="1791"/>
        <v>SPS1</v>
      </c>
      <c r="C1601" t="str">
        <f t="shared" si="1792"/>
        <v>CH</v>
      </c>
      <c r="D1601" t="s">
        <v>1604</v>
      </c>
      <c r="E1601" t="str">
        <f t="shared" si="1799"/>
        <v>PJ/yr.</v>
      </c>
      <c r="F1601" s="1">
        <f>SUM(F1602:F1603)</f>
        <v>0</v>
      </c>
      <c r="G1601" s="1">
        <f t="shared" ref="G1601:K1601" si="1809">SUM(G1602:G1603)</f>
        <v>0</v>
      </c>
      <c r="H1601" s="1">
        <f t="shared" si="1809"/>
        <v>0</v>
      </c>
      <c r="I1601" s="1">
        <f t="shared" si="1809"/>
        <v>0</v>
      </c>
      <c r="J1601" s="1">
        <f t="shared" si="1809"/>
        <v>0</v>
      </c>
      <c r="K1601" s="1">
        <f t="shared" si="1809"/>
        <v>0</v>
      </c>
      <c r="L1601" s="1">
        <f t="shared" ref="L1601:O1601" si="1810">SUM(L1602:L1603)</f>
        <v>0</v>
      </c>
      <c r="M1601" s="1">
        <f t="shared" si="1810"/>
        <v>0</v>
      </c>
      <c r="N1601" s="1">
        <f t="shared" si="1810"/>
        <v>0</v>
      </c>
      <c r="O1601" s="1">
        <f t="shared" si="1810"/>
        <v>0</v>
      </c>
      <c r="P1601" s="1">
        <f>SUM(P1602:P1603)</f>
        <v>0</v>
      </c>
      <c r="Q1601" s="1">
        <f>SUM(Q1602:Q1603)</f>
        <v>0</v>
      </c>
      <c r="S1601" s="3"/>
    </row>
    <row r="1602" spans="2:19" x14ac:dyDescent="0.5">
      <c r="B1602" t="str">
        <f t="shared" si="1791"/>
        <v>SPS1</v>
      </c>
      <c r="C1602" t="str">
        <f t="shared" si="1792"/>
        <v>CH</v>
      </c>
      <c r="D1602" t="s">
        <v>1605</v>
      </c>
      <c r="E1602" t="str">
        <f t="shared" si="1799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[1]Transport!F$25/SUM([1]Transport!F$21,[1]Transport!F$25)*J1599*(J$35+J$600)/(J$35+J$600+J$39)</f>
        <v>0</v>
      </c>
      <c r="K1602" s="1">
        <f>[1]Transport!G$25/SUM([1]Transport!G$21,[1]Transport!G$25)*K1599*(K$35+K$600)/(K$35+K$600+K$39)</f>
        <v>0</v>
      </c>
      <c r="L1602" s="1">
        <f>[1]Transport!H$25/SUM([1]Transport!H$21,[1]Transport!H$25)*L1599*(L$35+L$600)/(L$35+L$600+L$39)</f>
        <v>0</v>
      </c>
      <c r="M1602" s="1">
        <f>[1]Transport!I$25/SUM([1]Transport!I$21,[1]Transport!I$25)*M1599*(M$35+M$600)/(M$35+M$600+M$39)</f>
        <v>0</v>
      </c>
      <c r="N1602" s="1">
        <f>[1]Transport!J$25/SUM([1]Transport!J$21,[1]Transport!J$25)*N1599*(N$35+N$600)/(N$35+N$600+N$39)</f>
        <v>0</v>
      </c>
      <c r="O1602" s="1">
        <f>[1]Transport!K$25/SUM([1]Transport!K$21,[1]Transport!K$25)*O1599*(O$35+O$600)/(O$35+O$600+O$39)</f>
        <v>0</v>
      </c>
      <c r="P1602" s="1">
        <f>[1]Transport!L$25/SUM([1]Transport!L$21,[1]Transport!L$25)*P1599*(P$35+P$600)/(P$35+P$600+P$39)</f>
        <v>0</v>
      </c>
      <c r="Q1602" s="1">
        <f>[1]Transport!M$25/SUM([1]Transport!M$21,[1]Transport!M$25)*Q1599*(Q$35+Q$600)/(Q$35+Q$600+Q$39)</f>
        <v>0</v>
      </c>
      <c r="S1602" s="3"/>
    </row>
    <row r="1603" spans="2:19" x14ac:dyDescent="0.5">
      <c r="B1603" t="str">
        <f t="shared" si="1791"/>
        <v>SPS1</v>
      </c>
      <c r="C1603" t="str">
        <f t="shared" si="1792"/>
        <v>CH</v>
      </c>
      <c r="D1603" t="s">
        <v>1606</v>
      </c>
      <c r="E1603" t="str">
        <f t="shared" si="1799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(J$39+J$719)/([1]Transport!F$21+[1]Transport!F$25)*J1599</f>
        <v>0</v>
      </c>
      <c r="K1603" s="1">
        <f>(K$39+K$719)/([1]Transport!G$21+[1]Transport!G$25)*K1599</f>
        <v>0</v>
      </c>
      <c r="L1603" s="1">
        <f>(L$39+L$719)/([1]Transport!H$21+[1]Transport!H$25)*L1599</f>
        <v>0</v>
      </c>
      <c r="M1603" s="1">
        <f>(M$39+M$719)/([1]Transport!I$21+[1]Transport!I$25)*M1599</f>
        <v>0</v>
      </c>
      <c r="N1603" s="1">
        <f>(N$39+N$719)/([1]Transport!J$21+[1]Transport!J$25)*N1599</f>
        <v>0</v>
      </c>
      <c r="O1603" s="1">
        <f>(O$39+O$719)/([1]Transport!K$21+[1]Transport!K$25)*O1599</f>
        <v>0</v>
      </c>
      <c r="P1603" s="1">
        <f>(P$39+P$719)/([1]Transport!L$21+[1]Transport!L$25)*P1599</f>
        <v>0</v>
      </c>
      <c r="Q1603" s="1">
        <f>(Q$39+Q$719)/([1]Transport!M$21+[1]Transport!M$25)*Q1599</f>
        <v>0</v>
      </c>
      <c r="S1603" s="3"/>
    </row>
    <row r="1604" spans="2:19" x14ac:dyDescent="0.5">
      <c r="B1604" t="str">
        <f t="shared" si="1791"/>
        <v>SPS1</v>
      </c>
      <c r="C1604" t="str">
        <f t="shared" si="1792"/>
        <v>CH</v>
      </c>
      <c r="D1604" t="s">
        <v>1607</v>
      </c>
      <c r="E1604" t="str">
        <f t="shared" si="1799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SUMPRODUCT(("TFHGV-ICEGSLExt"=[1]OUT_TransportEnergyCons!$A$3:$A$1000)*1,("Var_Fin"=[1]OUT_TransportEnergyCons!$B$3:$B$1000)*1,ISNUMBER(SEARCH("gsl",[1]OUT_TransportEnergyCons!$C$3:$C$1000))*1,[1]OUT_TransportEnergyCons!H$3:H$1000)</f>
        <v>0</v>
      </c>
      <c r="K1604" s="1" cm="1">
        <f t="array" ref="K1604">SUMPRODUCT(("TFHGV-ICEGSLExt"=[1]OUT_TransportEnergyCons!$A$3:$A$1000)*1,("Var_Fin"=[1]OUT_TransportEnergyCons!$B$3:$B$1000)*1,ISNUMBER(SEARCH("gsl",[1]OUT_TransportEnergyCons!$C$3:$C$1000))*1,[1]OUT_TransportEnergyCons!I$3:I$1000)</f>
        <v>0</v>
      </c>
      <c r="L1604" s="1" cm="1">
        <f t="array" ref="L1604">SUMPRODUCT(("TFHGV-ICEGSLExt"=[1]OUT_TransportEnergyCons!$A$3:$A$1000)*1,("Var_Fin"=[1]OUT_TransportEnergyCons!$B$3:$B$1000)*1,ISNUMBER(SEARCH("gsl",[1]OUT_TransportEnergyCons!$C$3:$C$1000))*1,[1]OUT_TransportEnergyCons!J$3:J$1000)</f>
        <v>0</v>
      </c>
      <c r="M1604" s="1" cm="1">
        <f t="array" ref="M1604">SUMPRODUCT(("TFHGV-ICEGSLExt"=[1]OUT_TransportEnergyCons!$A$3:$A$1000)*1,("Var_Fin"=[1]OUT_TransportEnergyCons!$B$3:$B$1000)*1,ISNUMBER(SEARCH("gsl",[1]OUT_TransportEnergyCons!$C$3:$C$1000))*1,[1]OUT_TransportEnergyCons!K$3:K$1000)</f>
        <v>0</v>
      </c>
      <c r="N1604" s="1" cm="1">
        <f t="array" ref="N1604">SUMPRODUCT(("TFHGV-ICEGSLExt"=[1]OUT_TransportEnergyCons!$A$3:$A$1000)*1,("Var_Fin"=[1]OUT_TransportEnergyCons!$B$3:$B$1000)*1,ISNUMBER(SEARCH("gsl",[1]OUT_TransportEnergyCons!$C$3:$C$1000))*1,[1]OUT_TransportEnergyCons!L$3:L$1000)</f>
        <v>0</v>
      </c>
      <c r="O1604" s="1" cm="1">
        <f t="array" ref="O1604">SUMPRODUCT(("TFHGV-ICEGSLExt"=[1]OUT_TransportEnergyCons!$A$3:$A$1000)*1,("Var_Fin"=[1]OUT_TransportEnergyCons!$B$3:$B$1000)*1,ISNUMBER(SEARCH("gsl",[1]OUT_TransportEnergyCons!$C$3:$C$1000))*1,[1]OUT_TransportEnergyCons!M$3:M$1000)</f>
        <v>0</v>
      </c>
      <c r="P1604" s="1" cm="1">
        <f t="array" ref="P1604">SUMPRODUCT(("TFHGV-ICEGSLExt"=[1]OUT_TransportEnergyCons!$A$3:$A$1000)*1,("Var_Fin"=[1]OUT_TransportEnergyCons!$B$3:$B$1000)*1,ISNUMBER(SEARCH("gsl",[1]OUT_TransportEnergyCons!$C$3:$C$1000))*1,[1]OUT_TransportEnergyCons!N$3:N$1000)</f>
        <v>0</v>
      </c>
      <c r="Q1604" s="1" cm="1">
        <f t="array" ref="Q1604">SUMPRODUCT(("TFHGV-ICEGSLExt"=[1]OUT_TransportEnergyCons!$A$3:$A$1000)*1,("Var_Fin"=[1]OUT_TransportEnergyCons!$B$3:$B$1000)*1,ISNUMBER(SEARCH("gsl",[1]OUT_TransportEnergyCons!$C$3:$C$1000))*1,[1]OUT_TransportEnergyCons!O$3:O$1000)</f>
        <v>0</v>
      </c>
      <c r="S1604" s="3"/>
    </row>
    <row r="1605" spans="2:19" x14ac:dyDescent="0.5">
      <c r="B1605" t="str">
        <f t="shared" si="1791"/>
        <v>SPS1</v>
      </c>
      <c r="C1605" t="str">
        <f t="shared" si="1792"/>
        <v>CH</v>
      </c>
      <c r="D1605" t="s">
        <v>1608</v>
      </c>
      <c r="E1605" t="str">
        <f t="shared" si="1799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SUMPRODUCT(("TFHGV-ICEGSL"=[1]OUT_TransportEnergyCons!$A$3:$A$1000)*1,("Var_Fin"=[1]OUT_TransportEnergyCons!$B$3:$B$1000)*1,ISNUMBER(SEARCH("gsl",[1]OUT_TransportEnergyCons!$C$3:$C$1000))*1,[1]OUT_TransportEnergyCons!H$3:H$1000)</f>
        <v>0</v>
      </c>
      <c r="K1605" s="1" cm="1">
        <f t="array" ref="K1605">SUMPRODUCT(("TFHGV-ICEGSL"=[1]OUT_TransportEnergyCons!$A$3:$A$1000)*1,("Var_Fin"=[1]OUT_TransportEnergyCons!$B$3:$B$1000)*1,ISNUMBER(SEARCH("gsl",[1]OUT_TransportEnergyCons!$C$3:$C$1000))*1,[1]OUT_TransportEnergyCons!I$3:I$1000)</f>
        <v>0</v>
      </c>
      <c r="L1605" s="1" cm="1">
        <f t="array" ref="L1605">SUMPRODUCT(("TFHGV-ICEGSL"=[1]OUT_TransportEnergyCons!$A$3:$A$1000)*1,("Var_Fin"=[1]OUT_TransportEnergyCons!$B$3:$B$1000)*1,ISNUMBER(SEARCH("gsl",[1]OUT_TransportEnergyCons!$C$3:$C$1000))*1,[1]OUT_TransportEnergyCons!J$3:J$1000)</f>
        <v>0</v>
      </c>
      <c r="M1605" s="1" cm="1">
        <f t="array" ref="M1605">SUMPRODUCT(("TFHGV-ICEGSL"=[1]OUT_TransportEnergyCons!$A$3:$A$1000)*1,("Var_Fin"=[1]OUT_TransportEnergyCons!$B$3:$B$1000)*1,ISNUMBER(SEARCH("gsl",[1]OUT_TransportEnergyCons!$C$3:$C$1000))*1,[1]OUT_TransportEnergyCons!K$3:K$1000)</f>
        <v>0</v>
      </c>
      <c r="N1605" s="1" cm="1">
        <f t="array" ref="N1605">SUMPRODUCT(("TFHGV-ICEGSL"=[1]OUT_TransportEnergyCons!$A$3:$A$1000)*1,("Var_Fin"=[1]OUT_TransportEnergyCons!$B$3:$B$1000)*1,ISNUMBER(SEARCH("gsl",[1]OUT_TransportEnergyCons!$C$3:$C$1000))*1,[1]OUT_TransportEnergyCons!L$3:L$1000)</f>
        <v>0</v>
      </c>
      <c r="O1605" s="1" cm="1">
        <f t="array" ref="O1605">SUMPRODUCT(("TFHGV-ICEGSL"=[1]OUT_TransportEnergyCons!$A$3:$A$1000)*1,("Var_Fin"=[1]OUT_TransportEnergyCons!$B$3:$B$1000)*1,ISNUMBER(SEARCH("gsl",[1]OUT_TransportEnergyCons!$C$3:$C$1000))*1,[1]OUT_TransportEnergyCons!M$3:M$1000)</f>
        <v>0</v>
      </c>
      <c r="P1605" s="1" cm="1">
        <f t="array" ref="P1605">SUMPRODUCT(("TFHGV-ICEGSL"=[1]OUT_TransportEnergyCons!$A$3:$A$1000)*1,("Var_Fin"=[1]OUT_TransportEnergyCons!$B$3:$B$1000)*1,ISNUMBER(SEARCH("gsl",[1]OUT_TransportEnergyCons!$C$3:$C$1000))*1,[1]OUT_TransportEnergyCons!N$3:N$1000)</f>
        <v>0</v>
      </c>
      <c r="Q1605" s="1" cm="1">
        <f t="array" ref="Q1605">SUMPRODUCT(("TFHGV-ICEGSL"=[1]OUT_TransportEnergyCons!$A$3:$A$1000)*1,("Var_Fin"=[1]OUT_TransportEnergyCons!$B$3:$B$1000)*1,ISNUMBER(SEARCH("gsl",[1]OUT_TransportEnergyCons!$C$3:$C$1000))*1,[1]OUT_TransportEnergyCons!O$3:O$1000)</f>
        <v>0</v>
      </c>
      <c r="S1605" s="3"/>
    </row>
    <row r="1606" spans="2:19" x14ac:dyDescent="0.5">
      <c r="B1606" t="str">
        <f t="shared" si="1791"/>
        <v>SPS1</v>
      </c>
      <c r="C1606" t="str">
        <f t="shared" si="1792"/>
        <v>CH</v>
      </c>
      <c r="D1606" t="s">
        <v>1609</v>
      </c>
      <c r="E1606" t="str">
        <f t="shared" si="1799"/>
        <v>PJ/yr.</v>
      </c>
      <c r="F1606" s="1">
        <f>SUM(F1611:F1613)</f>
        <v>24.481137131852996</v>
      </c>
      <c r="G1606" s="1">
        <f t="shared" ref="G1606:K1606" si="1811">SUM(G1611:G1613)</f>
        <v>21.030434962639742</v>
      </c>
      <c r="H1606" s="1">
        <f t="shared" si="1811"/>
        <v>20.50316232973227</v>
      </c>
      <c r="I1606" s="1">
        <f t="shared" si="1811"/>
        <v>16.609056867646878</v>
      </c>
      <c r="J1606" s="1">
        <f t="shared" si="1811"/>
        <v>14.795061252593616</v>
      </c>
      <c r="K1606" s="1">
        <f t="shared" si="1811"/>
        <v>15.413256256671122</v>
      </c>
      <c r="L1606" s="1">
        <f t="shared" ref="L1606:O1606" si="1812">SUM(L1611:L1613)</f>
        <v>16.037458234650288</v>
      </c>
      <c r="M1606" s="1">
        <f t="shared" si="1812"/>
        <v>16.659941598853617</v>
      </c>
      <c r="N1606" s="1">
        <f t="shared" si="1812"/>
        <v>17.197325468437874</v>
      </c>
      <c r="O1606" s="1">
        <f t="shared" si="1812"/>
        <v>17.794417521493479</v>
      </c>
      <c r="P1606" s="1">
        <f>SUM(P1611:P1613)</f>
        <v>18.418454474922061</v>
      </c>
      <c r="Q1606" s="1">
        <f>SUM(Q1611:Q1613)</f>
        <v>19.099509151736076</v>
      </c>
      <c r="S1606" s="3"/>
    </row>
    <row r="1607" spans="2:19" x14ac:dyDescent="0.5">
      <c r="B1607" t="str">
        <f t="shared" si="1791"/>
        <v>SPS1</v>
      </c>
      <c r="C1607" t="str">
        <f t="shared" si="1792"/>
        <v>CH</v>
      </c>
      <c r="D1607" t="s">
        <v>1610</v>
      </c>
      <c r="E1607" t="str">
        <f t="shared" si="1799"/>
        <v>PJ/yr.</v>
      </c>
      <c r="F1607" s="1">
        <f>IF(F1606-F1608&lt;0,0,F1606-F1608)</f>
        <v>23.873583126242387</v>
      </c>
      <c r="G1607" s="1">
        <f t="shared" ref="G1607:K1607" si="1813">IF(G1606-G1608&lt;0,0,G1606-G1608)</f>
        <v>20.479772810058236</v>
      </c>
      <c r="H1607" s="1">
        <f t="shared" si="1813"/>
        <v>19.583328009375741</v>
      </c>
      <c r="I1607" s="1">
        <f t="shared" si="1813"/>
        <v>16.073270234382242</v>
      </c>
      <c r="J1607" s="1">
        <f t="shared" si="1813"/>
        <v>14.273665360761733</v>
      </c>
      <c r="K1607" s="1">
        <f t="shared" si="1813"/>
        <v>14.811376740666002</v>
      </c>
      <c r="L1607" s="1">
        <f t="shared" ref="L1607:O1607" si="1814">IF(L1606-L1608&lt;0,0,L1606-L1608)</f>
        <v>15.404412344853734</v>
      </c>
      <c r="M1607" s="1">
        <f t="shared" si="1814"/>
        <v>15.992169743211116</v>
      </c>
      <c r="N1607" s="1">
        <f t="shared" si="1814"/>
        <v>16.501044264666959</v>
      </c>
      <c r="O1607" s="1">
        <f t="shared" si="1814"/>
        <v>16.953093055016431</v>
      </c>
      <c r="P1607" s="1">
        <f>IF(P1606-P1608&lt;0,0,P1606-P1608)</f>
        <v>17.361632244972508</v>
      </c>
      <c r="Q1607" s="1">
        <f>IF(Q1606-Q1608&lt;0,0,Q1606-Q1608)</f>
        <v>17.939473311509463</v>
      </c>
      <c r="S1607" s="3"/>
    </row>
    <row r="1608" spans="2:19" x14ac:dyDescent="0.5">
      <c r="B1608" t="str">
        <f t="shared" si="1791"/>
        <v>SPS1</v>
      </c>
      <c r="C1608" t="str">
        <f t="shared" si="1792"/>
        <v>CH</v>
      </c>
      <c r="D1608" t="s">
        <v>1611</v>
      </c>
      <c r="E1608" t="str">
        <f t="shared" si="1799"/>
        <v>PJ/yr.</v>
      </c>
      <c r="F1608" s="1">
        <f>SUM(F1609:F1610)</f>
        <v>0.60755400561060813</v>
      </c>
      <c r="G1608" s="1">
        <f t="shared" ref="G1608:K1608" si="1815">SUM(G1609:G1610)</f>
        <v>0.55066215258150697</v>
      </c>
      <c r="H1608" s="1">
        <f t="shared" si="1815"/>
        <v>0.91983432035652946</v>
      </c>
      <c r="I1608" s="1">
        <f t="shared" si="1815"/>
        <v>0.5357866332646366</v>
      </c>
      <c r="J1608" s="1">
        <f t="shared" si="1815"/>
        <v>0.52139589183188351</v>
      </c>
      <c r="K1608" s="1">
        <f t="shared" si="1815"/>
        <v>0.60187951600511902</v>
      </c>
      <c r="L1608" s="1">
        <f t="shared" ref="L1608:O1608" si="1816">SUM(L1609:L1610)</f>
        <v>0.63304588979655307</v>
      </c>
      <c r="M1608" s="1">
        <f t="shared" si="1816"/>
        <v>0.66777185564250163</v>
      </c>
      <c r="N1608" s="1">
        <f t="shared" si="1816"/>
        <v>0.69628120377091485</v>
      </c>
      <c r="O1608" s="1">
        <f t="shared" si="1816"/>
        <v>0.84132446647704584</v>
      </c>
      <c r="P1608" s="1">
        <f>SUM(P1609:P1610)</f>
        <v>1.0568222299495544</v>
      </c>
      <c r="Q1608" s="1">
        <f>SUM(Q1609:Q1610)</f>
        <v>1.1600358402266133</v>
      </c>
      <c r="S1608" s="3"/>
    </row>
    <row r="1609" spans="2:19" x14ac:dyDescent="0.5">
      <c r="B1609" t="str">
        <f t="shared" si="1791"/>
        <v>SPS1</v>
      </c>
      <c r="C1609" t="str">
        <f t="shared" si="1792"/>
        <v>CH</v>
      </c>
      <c r="D1609" t="s">
        <v>1612</v>
      </c>
      <c r="E1609" t="str">
        <f t="shared" si="1799"/>
        <v>PJ/yr.</v>
      </c>
      <c r="F1609" s="1">
        <f>[1]Transport!B$26/SUM([1]Transport!B$22,[1]Transport!B$26)*F1606*(F$34+F$582)/(F$34+F$582+F$38)</f>
        <v>0.60755400561060813</v>
      </c>
      <c r="G1609" s="1">
        <f>[1]Transport!C$26/SUM([1]Transport!C$22,[1]Transport!C$26)*G1606*(G$34+G$582)/(G$34+G$582+G$38)</f>
        <v>0.55066215258150697</v>
      </c>
      <c r="H1609" s="1">
        <f>[1]Transport!D$26/SUM([1]Transport!D$22,[1]Transport!D$26)*H1606*(H$34+H$582)/(H$34+H$582+H$38)</f>
        <v>0.91983432035652946</v>
      </c>
      <c r="I1609" s="1">
        <f>[1]Transport!E$26/SUM([1]Transport!E$22,[1]Transport!E$26)*I1606*(I$34+I$582)/(I$34+I$582+I$38)</f>
        <v>0.5357866332646366</v>
      </c>
      <c r="J1609" s="1">
        <f>[1]Transport!F$26/SUM([1]Transport!F$22,[1]Transport!F$26)*J1606*(J$34+J$582)/(J$34+J$582+J$38)</f>
        <v>0.52139589183188351</v>
      </c>
      <c r="K1609" s="1">
        <f>[1]Transport!G$26/SUM([1]Transport!G$22,[1]Transport!G$26)*K1606*(K$34+K$582)/(K$34+K$582+K$38)</f>
        <v>0.60187951600511902</v>
      </c>
      <c r="L1609" s="1">
        <f>[1]Transport!H$26/SUM([1]Transport!H$22,[1]Transport!H$26)*L1606*(L$34+L$582)/(L$34+L$582+L$38)</f>
        <v>0.63304588979655307</v>
      </c>
      <c r="M1609" s="1">
        <f>[1]Transport!I$26/SUM([1]Transport!I$22,[1]Transport!I$26)*M1606*(M$34+M$582)/(M$34+M$582+M$38)</f>
        <v>0.66777185564250163</v>
      </c>
      <c r="N1609" s="1">
        <f>[1]Transport!J$26/SUM([1]Transport!J$22,[1]Transport!J$26)*N1606*(N$34+N$582)/(N$34+N$582+N$38)</f>
        <v>0.69628120377091485</v>
      </c>
      <c r="O1609" s="1">
        <f>[1]Transport!K$26/SUM([1]Transport!K$22,[1]Transport!K$26)*O1606*(O$34+O$582)/(O$34+O$582+O$38)</f>
        <v>0.84132446647704584</v>
      </c>
      <c r="P1609" s="1">
        <f>[1]Transport!L$26/SUM([1]Transport!L$22,[1]Transport!L$26)*P1606*(P$34+P$582)/(P$34+P$582+P$38)</f>
        <v>1.0568222299495544</v>
      </c>
      <c r="Q1609" s="1">
        <f>[1]Transport!M$26/SUM([1]Transport!M$22,[1]Transport!M$26)*Q1606*(Q$34+Q$582)/(Q$34+Q$582+Q$38)</f>
        <v>1.1600358402266133</v>
      </c>
      <c r="S1609" s="3"/>
    </row>
    <row r="1610" spans="2:19" x14ac:dyDescent="0.5">
      <c r="B1610" t="str">
        <f t="shared" si="1791"/>
        <v>SPS1</v>
      </c>
      <c r="C1610" t="str">
        <f t="shared" si="1792"/>
        <v>CH</v>
      </c>
      <c r="D1610" t="s">
        <v>1613</v>
      </c>
      <c r="E1610" t="str">
        <f t="shared" si="1799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(J$38+J$718)/([1]Transport!F$22+[1]Transport!F$26)*J1606</f>
        <v>0</v>
      </c>
      <c r="K1610" s="1">
        <f>(K$38+K$718)/([1]Transport!G$22+[1]Transport!G$26)*K1606</f>
        <v>0</v>
      </c>
      <c r="L1610" s="1">
        <f>(L$38+L$718)/([1]Transport!H$22+[1]Transport!H$26)*L1606</f>
        <v>0</v>
      </c>
      <c r="M1610" s="1">
        <f>(M$38+M$718)/([1]Transport!I$22+[1]Transport!I$26)*M1606</f>
        <v>0</v>
      </c>
      <c r="N1610" s="1">
        <f>(N$38+N$718)/([1]Transport!J$22+[1]Transport!J$26)*N1606</f>
        <v>0</v>
      </c>
      <c r="O1610" s="1">
        <f>(O$38+O$718)/([1]Transport!K$22+[1]Transport!K$26)*O1606</f>
        <v>0</v>
      </c>
      <c r="P1610" s="1">
        <f>(P$38+P$718)/([1]Transport!L$22+[1]Transport!L$26)*P1606</f>
        <v>0</v>
      </c>
      <c r="Q1610" s="1">
        <f>(Q$38+Q$718)/([1]Transport!M$22+[1]Transport!M$26)*Q1606</f>
        <v>0</v>
      </c>
      <c r="S1610" s="3"/>
    </row>
    <row r="1611" spans="2:19" x14ac:dyDescent="0.5">
      <c r="B1611" t="str">
        <f t="shared" si="1791"/>
        <v>SPS1</v>
      </c>
      <c r="C1611" t="str">
        <f t="shared" si="1792"/>
        <v>CH</v>
      </c>
      <c r="D1611" t="s">
        <v>1614</v>
      </c>
      <c r="E1611" t="str">
        <f t="shared" si="1799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19.237570940473493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11.804600655454419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11.487188203968421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4.9464345409618744</v>
      </c>
      <c r="J1611" s="1" cm="1">
        <f t="array" ref="J1611">SUMPRODUCT(("TFHGV-ICEdslExt"=[1]OUT_TransportEnergyCons!$A$3:$A$1000)*1,("Var_Fin"=[1]OUT_TransportEnergyCons!$B$3:$B$1000)*1,ISNUMBER(SEARCH("dsl",[1]OUT_TransportEnergyCons!$C$3:$C$1000))*1,[1]OUT_TransportEnergyCons!H$3:H$1000)</f>
        <v>0</v>
      </c>
      <c r="K1611" s="1" cm="1">
        <f t="array" ref="K1611">SUMPRODUCT(("TFHGV-ICEdslExt"=[1]OUT_TransportEnergyCons!$A$3:$A$1000)*1,("Var_Fin"=[1]OUT_TransportEnergyCons!$B$3:$B$1000)*1,ISNUMBER(SEARCH("dsl",[1]OUT_TransportEnergyCons!$C$3:$C$1000))*1,[1]OUT_TransportEnergyCons!I$3:I$1000)</f>
        <v>0</v>
      </c>
      <c r="L1611" s="1" cm="1">
        <f t="array" ref="L1611">SUMPRODUCT(("TFHGV-ICEdslExt"=[1]OUT_TransportEnergyCons!$A$3:$A$1000)*1,("Var_Fin"=[1]OUT_TransportEnergyCons!$B$3:$B$1000)*1,ISNUMBER(SEARCH("dsl",[1]OUT_TransportEnergyCons!$C$3:$C$1000))*1,[1]OUT_TransportEnergyCons!J$3:J$1000)</f>
        <v>0</v>
      </c>
      <c r="M1611" s="1" cm="1">
        <f t="array" ref="M1611">SUMPRODUCT(("TFHGV-ICEdslExt"=[1]OUT_TransportEnergyCons!$A$3:$A$1000)*1,("Var_Fin"=[1]OUT_TransportEnergyCons!$B$3:$B$1000)*1,ISNUMBER(SEARCH("dsl",[1]OUT_TransportEnergyCons!$C$3:$C$1000))*1,[1]OUT_TransportEnergyCons!K$3:K$1000)</f>
        <v>0</v>
      </c>
      <c r="N1611" s="1" cm="1">
        <f t="array" ref="N1611">SUMPRODUCT(("TFHGV-ICEdslExt"=[1]OUT_TransportEnergyCons!$A$3:$A$1000)*1,("Var_Fin"=[1]OUT_TransportEnergyCons!$B$3:$B$1000)*1,ISNUMBER(SEARCH("dsl",[1]OUT_TransportEnergyCons!$C$3:$C$1000))*1,[1]OUT_TransportEnergyCons!L$3:L$1000)</f>
        <v>0</v>
      </c>
      <c r="O1611" s="1" cm="1">
        <f t="array" ref="O1611">SUMPRODUCT(("TFHGV-ICEdslExt"=[1]OUT_TransportEnergyCons!$A$3:$A$1000)*1,("Var_Fin"=[1]OUT_TransportEnergyCons!$B$3:$B$1000)*1,ISNUMBER(SEARCH("dsl",[1]OUT_TransportEnergyCons!$C$3:$C$1000))*1,[1]OUT_TransportEnergyCons!M$3:M$1000)</f>
        <v>0</v>
      </c>
      <c r="P1611" s="1" cm="1">
        <f t="array" ref="P1611">SUMPRODUCT(("TFHGV-ICEdslExt"=[1]OUT_TransportEnergyCons!$A$3:$A$1000)*1,("Var_Fin"=[1]OUT_TransportEnergyCons!$B$3:$B$1000)*1,ISNUMBER(SEARCH("dsl",[1]OUT_TransportEnergyCons!$C$3:$C$1000))*1,[1]OUT_TransportEnergyCons!N$3:N$1000)</f>
        <v>0</v>
      </c>
      <c r="Q1611" s="1" cm="1">
        <f t="array" ref="Q1611">SUMPRODUCT(("TFHGV-ICEdslExt"=[1]OUT_TransportEnergyCons!$A$3:$A$1000)*1,("Var_Fin"=[1]OUT_TransportEnergyCons!$B$3:$B$1000)*1,ISNUMBER(SEARCH("dsl",[1]OUT_TransportEnergyCons!$C$3:$C$1000))*1,[1]OUT_TransportEnergyCons!O$3:O$1000)</f>
        <v>0</v>
      </c>
      <c r="S1611" s="3"/>
    </row>
    <row r="1612" spans="2:19" x14ac:dyDescent="0.5">
      <c r="B1612" t="str">
        <f t="shared" si="1791"/>
        <v>SPS1</v>
      </c>
      <c r="C1612" t="str">
        <f t="shared" si="1792"/>
        <v>CH</v>
      </c>
      <c r="D1612" t="s">
        <v>1615</v>
      </c>
      <c r="E1612" t="str">
        <f t="shared" si="1799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5.2435661913795037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6.1407277292150395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4.7993856145692986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0.44285066049099675</v>
      </c>
      <c r="J1612" s="1" cm="1">
        <f t="array" ref="J1612">SUMPRODUCT(("TFHGV-ICEdsl"=[1]OUT_TransportEnergyCons!$A$3:$A$1000)*1,("Var_Fin"=[1]OUT_TransportEnergyCons!$B$3:$B$1000)*1,ISNUMBER(SEARCH("dsl",[1]OUT_TransportEnergyCons!$C$3:$C$1000))*1,[1]OUT_TransportEnergyCons!H$3:H$1000)</f>
        <v>3.2701950193722322E-3</v>
      </c>
      <c r="K1612" s="1" cm="1">
        <f t="array" ref="K1612">SUMPRODUCT(("TFHGV-ICEdsl"=[1]OUT_TransportEnergyCons!$A$3:$A$1000)*1,("Var_Fin"=[1]OUT_TransportEnergyCons!$B$3:$B$1000)*1,ISNUMBER(SEARCH("dsl",[1]OUT_TransportEnergyCons!$C$3:$C$1000))*1,[1]OUT_TransportEnergyCons!I$3:I$1000)</f>
        <v>4.6755586862605517E-3</v>
      </c>
      <c r="L1612" s="1" cm="1">
        <f t="array" ref="L1612">SUMPRODUCT(("TFHGV-ICEdsl"=[1]OUT_TransportEnergyCons!$A$3:$A$1000)*1,("Var_Fin"=[1]OUT_TransportEnergyCons!$B$3:$B$1000)*1,ISNUMBER(SEARCH("dsl",[1]OUT_TransportEnergyCons!$C$3:$C$1000))*1,[1]OUT_TransportEnergyCons!J$3:J$1000)</f>
        <v>3.9858484171489796E-3</v>
      </c>
      <c r="M1612" s="1" cm="1">
        <f t="array" ref="M1612">SUMPRODUCT(("TFHGV-ICEdsl"=[1]OUT_TransportEnergyCons!$A$3:$A$1000)*1,("Var_Fin"=[1]OUT_TransportEnergyCons!$B$3:$B$1000)*1,ISNUMBER(SEARCH("dsl",[1]OUT_TransportEnergyCons!$C$3:$C$1000))*1,[1]OUT_TransportEnergyCons!K$3:K$1000)</f>
        <v>4.7616481803127138E-3</v>
      </c>
      <c r="N1612" s="1" cm="1">
        <f t="array" ref="N1612">SUMPRODUCT(("TFHGV-ICEdsl"=[1]OUT_TransportEnergyCons!$A$3:$A$1000)*1,("Var_Fin"=[1]OUT_TransportEnergyCons!$B$3:$B$1000)*1,ISNUMBER(SEARCH("dsl",[1]OUT_TransportEnergyCons!$C$3:$C$1000))*1,[1]OUT_TransportEnergyCons!L$3:L$1000)</f>
        <v>5.042703421564312E-3</v>
      </c>
      <c r="O1612" s="1" cm="1">
        <f t="array" ref="O1612">SUMPRODUCT(("TFHGV-ICEdsl"=[1]OUT_TransportEnergyCons!$A$3:$A$1000)*1,("Var_Fin"=[1]OUT_TransportEnergyCons!$B$3:$B$1000)*1,ISNUMBER(SEARCH("dsl",[1]OUT_TransportEnergyCons!$C$3:$C$1000))*1,[1]OUT_TransportEnergyCons!M$3:M$1000)</f>
        <v>4.4857519556740577E-3</v>
      </c>
      <c r="P1612" s="1" cm="1">
        <f t="array" ref="P1612">SUMPRODUCT(("TFHGV-ICEdsl"=[1]OUT_TransportEnergyCons!$A$3:$A$1000)*1,("Var_Fin"=[1]OUT_TransportEnergyCons!$B$3:$B$1000)*1,ISNUMBER(SEARCH("dsl",[1]OUT_TransportEnergyCons!$C$3:$C$1000))*1,[1]OUT_TransportEnergyCons!N$3:N$1000)</f>
        <v>6.3131221993119923E-3</v>
      </c>
      <c r="Q1612" s="1" cm="1">
        <f t="array" ref="Q1612">SUMPRODUCT(("TFHGV-ICEdsl"=[1]OUT_TransportEnergyCons!$A$3:$A$1000)*1,("Var_Fin"=[1]OUT_TransportEnergyCons!$B$3:$B$1000)*1,ISNUMBER(SEARCH("dsl",[1]OUT_TransportEnergyCons!$C$3:$C$1000))*1,[1]OUT_TransportEnergyCons!O$3:O$1000)</f>
        <v>8.4330008784394526E-3</v>
      </c>
      <c r="S1612" s="3"/>
    </row>
    <row r="1613" spans="2:19" x14ac:dyDescent="0.5">
      <c r="B1613" t="str">
        <f t="shared" si="1791"/>
        <v>SPS1</v>
      </c>
      <c r="C1613" t="str">
        <f t="shared" si="1792"/>
        <v>CH</v>
      </c>
      <c r="D1613" t="s">
        <v>1616</v>
      </c>
      <c r="E1613" t="str">
        <f t="shared" si="1799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3.0851065779702838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4.2165885111945496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11.219771666194005</v>
      </c>
      <c r="J1613" s="1" cm="1">
        <f t="array" ref="J1613">SUMPRODUCT(("TFHGV-HYBDSL"=[1]OUT_TransportEnergyCons!$A$3:$A$1000)*1,("Var_Fin"=[1]OUT_TransportEnergyCons!$B$3:$B$1000)*1,ISNUMBER(SEARCH("dsl",[1]OUT_TransportEnergyCons!$C$3:$C$1000))*1,[1]OUT_TransportEnergyCons!H$3:H$1000)</f>
        <v>14.791791057574244</v>
      </c>
      <c r="K1613" s="1" cm="1">
        <f t="array" ref="K1613">SUMPRODUCT(("TFHGV-HYBDSL"=[1]OUT_TransportEnergyCons!$A$3:$A$1000)*1,("Var_Fin"=[1]OUT_TransportEnergyCons!$B$3:$B$1000)*1,ISNUMBER(SEARCH("dsl",[1]OUT_TransportEnergyCons!$C$3:$C$1000))*1,[1]OUT_TransportEnergyCons!I$3:I$1000)</f>
        <v>15.408580697984862</v>
      </c>
      <c r="L1613" s="1" cm="1">
        <f t="array" ref="L1613">SUMPRODUCT(("TFHGV-HYBDSL"=[1]OUT_TransportEnergyCons!$A$3:$A$1000)*1,("Var_Fin"=[1]OUT_TransportEnergyCons!$B$3:$B$1000)*1,ISNUMBER(SEARCH("dsl",[1]OUT_TransportEnergyCons!$C$3:$C$1000))*1,[1]OUT_TransportEnergyCons!J$3:J$1000)</f>
        <v>16.033472386233139</v>
      </c>
      <c r="M1613" s="1" cm="1">
        <f t="array" ref="M1613">SUMPRODUCT(("TFHGV-HYBDSL"=[1]OUT_TransportEnergyCons!$A$3:$A$1000)*1,("Var_Fin"=[1]OUT_TransportEnergyCons!$B$3:$B$1000)*1,ISNUMBER(SEARCH("dsl",[1]OUT_TransportEnergyCons!$C$3:$C$1000))*1,[1]OUT_TransportEnergyCons!K$3:K$1000)</f>
        <v>16.655179950673304</v>
      </c>
      <c r="N1613" s="1" cm="1">
        <f t="array" ref="N1613">SUMPRODUCT(("TFHGV-HYBDSL"=[1]OUT_TransportEnergyCons!$A$3:$A$1000)*1,("Var_Fin"=[1]OUT_TransportEnergyCons!$B$3:$B$1000)*1,ISNUMBER(SEARCH("dsl",[1]OUT_TransportEnergyCons!$C$3:$C$1000))*1,[1]OUT_TransportEnergyCons!L$3:L$1000)</f>
        <v>17.192282765016309</v>
      </c>
      <c r="O1613" s="1" cm="1">
        <f t="array" ref="O1613">SUMPRODUCT(("TFHGV-HYBDSL"=[1]OUT_TransportEnergyCons!$A$3:$A$1000)*1,("Var_Fin"=[1]OUT_TransportEnergyCons!$B$3:$B$1000)*1,ISNUMBER(SEARCH("dsl",[1]OUT_TransportEnergyCons!$C$3:$C$1000))*1,[1]OUT_TransportEnergyCons!M$3:M$1000)</f>
        <v>17.789931769537805</v>
      </c>
      <c r="P1613" s="1" cm="1">
        <f t="array" ref="P1613">SUMPRODUCT(("TFHGV-HYBDSL"=[1]OUT_TransportEnergyCons!$A$3:$A$1000)*1,("Var_Fin"=[1]OUT_TransportEnergyCons!$B$3:$B$1000)*1,ISNUMBER(SEARCH("dsl",[1]OUT_TransportEnergyCons!$C$3:$C$1000))*1,[1]OUT_TransportEnergyCons!N$3:N$1000)</f>
        <v>18.412141352722749</v>
      </c>
      <c r="Q1613" s="1" cm="1">
        <f t="array" ref="Q1613">SUMPRODUCT(("TFHGV-HYBDSL"=[1]OUT_TransportEnergyCons!$A$3:$A$1000)*1,("Var_Fin"=[1]OUT_TransportEnergyCons!$B$3:$B$1000)*1,ISNUMBER(SEARCH("dsl",[1]OUT_TransportEnergyCons!$C$3:$C$1000))*1,[1]OUT_TransportEnergyCons!O$3:O$1000)</f>
        <v>19.091076150857635</v>
      </c>
      <c r="S1613" s="3"/>
    </row>
    <row r="1614" spans="2:19" x14ac:dyDescent="0.5">
      <c r="B1614" t="str">
        <f t="shared" si="1791"/>
        <v>SPS1</v>
      </c>
      <c r="C1614" t="str">
        <f t="shared" si="1792"/>
        <v>CH</v>
      </c>
      <c r="D1614" t="s">
        <v>1617</v>
      </c>
      <c r="E1614" t="str">
        <f t="shared" si="1799"/>
        <v>PJ/yr.</v>
      </c>
      <c r="F1614" s="1">
        <f>F1619</f>
        <v>2.7031985005208047E-2</v>
      </c>
      <c r="G1614" s="1">
        <f t="shared" ref="G1614:K1614" si="1817">G1619</f>
        <v>2.2316738720329012E-3</v>
      </c>
      <c r="H1614" s="1">
        <f t="shared" si="1817"/>
        <v>2.8576628531573039E-3</v>
      </c>
      <c r="I1614" s="1">
        <f t="shared" si="1817"/>
        <v>2.8158913578391052E-3</v>
      </c>
      <c r="J1614" s="1">
        <f t="shared" si="1817"/>
        <v>2.604831387957752E-3</v>
      </c>
      <c r="K1614" s="1">
        <f t="shared" si="1817"/>
        <v>2.5427313087354126E-3</v>
      </c>
      <c r="L1614" s="1">
        <f t="shared" ref="L1614:O1614" si="1818">L1619</f>
        <v>2.4310428712538347E-3</v>
      </c>
      <c r="M1614" s="1">
        <f t="shared" si="1818"/>
        <v>2.3056538997970775E-3</v>
      </c>
      <c r="N1614" s="1">
        <f t="shared" si="1818"/>
        <v>2.2510515058467347E-3</v>
      </c>
      <c r="O1614" s="1">
        <f t="shared" si="1818"/>
        <v>2.243093726391017E-3</v>
      </c>
      <c r="P1614" s="1">
        <f>P1619</f>
        <v>2.2570440806706448E-3</v>
      </c>
      <c r="Q1614" s="1">
        <f>Q1619</f>
        <v>2.244637014917528E-3</v>
      </c>
      <c r="S1614" s="3"/>
    </row>
    <row r="1615" spans="2:19" x14ac:dyDescent="0.5">
      <c r="B1615" t="str">
        <f t="shared" si="1791"/>
        <v>SPS1</v>
      </c>
      <c r="C1615" t="str">
        <f t="shared" si="1792"/>
        <v>CH</v>
      </c>
      <c r="D1615" t="s">
        <v>1618</v>
      </c>
      <c r="E1615" t="str">
        <f t="shared" si="1799"/>
        <v>PJ/yr.</v>
      </c>
      <c r="F1615" s="1">
        <f>IF(F1614-F1616&lt;0,0,F1614-F1616)</f>
        <v>2.4975124709553154E-2</v>
      </c>
      <c r="G1615" s="1">
        <f t="shared" ref="G1615:K1615" si="1819">IF(G1614-G1616&lt;0,0,G1614-G1616)</f>
        <v>1.9554635120280412E-3</v>
      </c>
      <c r="H1615" s="1">
        <f t="shared" si="1819"/>
        <v>2.798788002248506E-3</v>
      </c>
      <c r="I1615" s="1">
        <f t="shared" si="1819"/>
        <v>1.9091592392145832E-3</v>
      </c>
      <c r="J1615" s="1">
        <f t="shared" si="1819"/>
        <v>0</v>
      </c>
      <c r="K1615" s="1">
        <f t="shared" si="1819"/>
        <v>0</v>
      </c>
      <c r="L1615" s="1">
        <f t="shared" ref="L1615:O1615" si="1820">IF(L1614-L1616&lt;0,0,L1614-L1616)</f>
        <v>0</v>
      </c>
      <c r="M1615" s="1">
        <f t="shared" si="1820"/>
        <v>0</v>
      </c>
      <c r="N1615" s="1">
        <f t="shared" si="1820"/>
        <v>0</v>
      </c>
      <c r="O1615" s="1">
        <f t="shared" si="1820"/>
        <v>0</v>
      </c>
      <c r="P1615" s="1">
        <f>IF(P1614-P1616&lt;0,0,P1614-P1616)</f>
        <v>0</v>
      </c>
      <c r="Q1615" s="1">
        <f>IF(Q1614-Q1616&lt;0,0,Q1614-Q1616)</f>
        <v>0</v>
      </c>
      <c r="S1615" s="3"/>
    </row>
    <row r="1616" spans="2:19" x14ac:dyDescent="0.5">
      <c r="B1616" t="str">
        <f t="shared" si="1791"/>
        <v>SPS1</v>
      </c>
      <c r="C1616" t="str">
        <f t="shared" si="1792"/>
        <v>CH</v>
      </c>
      <c r="D1616" t="s">
        <v>1619</v>
      </c>
      <c r="E1616" t="str">
        <f t="shared" si="1799"/>
        <v>PJ/yr.</v>
      </c>
      <c r="F1616" s="1">
        <f>SUM(F1617:F1618)</f>
        <v>2.0568602956548953E-3</v>
      </c>
      <c r="G1616" s="1">
        <f t="shared" ref="G1616:K1616" si="1821">SUM(G1617:G1618)</f>
        <v>2.7621036000485984E-4</v>
      </c>
      <c r="H1616" s="1">
        <f t="shared" si="1821"/>
        <v>5.8874850908797971E-5</v>
      </c>
      <c r="I1616" s="1">
        <f t="shared" si="1821"/>
        <v>9.0673211862452203E-4</v>
      </c>
      <c r="J1616" s="1">
        <f t="shared" si="1821"/>
        <v>3.428959951330939E-3</v>
      </c>
      <c r="K1616" s="1">
        <f t="shared" si="1821"/>
        <v>2.6324771102900772E-3</v>
      </c>
      <c r="L1616" s="1">
        <f t="shared" ref="L1616:O1616" si="1822">SUM(L1617:L1618)</f>
        <v>2.5458864912602762E-3</v>
      </c>
      <c r="M1616" s="1">
        <f t="shared" si="1822"/>
        <v>2.5257979715218415E-3</v>
      </c>
      <c r="N1616" s="1">
        <f t="shared" si="1822"/>
        <v>2.3954867154670611E-3</v>
      </c>
      <c r="O1616" s="1">
        <f t="shared" si="1822"/>
        <v>2.4762314796313136E-3</v>
      </c>
      <c r="P1616" s="1">
        <f>SUM(P1617:P1618)</f>
        <v>2.4463385589643359E-3</v>
      </c>
      <c r="Q1616" s="1">
        <f>SUM(Q1617:Q1618)</f>
        <v>2.6003098239595463E-3</v>
      </c>
      <c r="S1616" s="3"/>
    </row>
    <row r="1617" spans="2:19" x14ac:dyDescent="0.5">
      <c r="B1617" t="str">
        <f t="shared" si="1791"/>
        <v>SPS1</v>
      </c>
      <c r="C1617" t="str">
        <f t="shared" si="1792"/>
        <v>CH</v>
      </c>
      <c r="D1617" t="s">
        <v>1620</v>
      </c>
      <c r="E1617" t="str">
        <f t="shared" si="1799"/>
        <v>PJ/yr.</v>
      </c>
      <c r="F1617" s="1">
        <f>IF(SUM([1]Transport!B$24,[1]Transport!B$27)=0,0,[1]Transport!B$27/SUM([1]Transport!B$24,[1]Transport!B$27)*F1614*(F$47+F$614)/(F$47+F$614+F$49))</f>
        <v>2.0568602956548953E-3</v>
      </c>
      <c r="G1617" s="1">
        <f>IF(SUM([1]Transport!C$24,[1]Transport!C$27)=0,0,[1]Transport!C$27/SUM([1]Transport!C$24,[1]Transport!C$27)*G1614*(G$47+G$614)/(G$47+G$614+G$49))</f>
        <v>2.7621036000485984E-4</v>
      </c>
      <c r="H1617" s="1">
        <f>IF(SUM([1]Transport!D$24,[1]Transport!D$27)=0,0,[1]Transport!D$27/SUM([1]Transport!D$24,[1]Transport!D$27)*H1614*(H$47+H$614)/(H$47+H$614+H$49))</f>
        <v>5.8874850908797971E-5</v>
      </c>
      <c r="I1617" s="1">
        <f>IF(SUM([1]Transport!E$24,[1]Transport!E$27)=0,0,[1]Transport!E$27/SUM([1]Transport!E$24,[1]Transport!E$27)*I1614*(I$47+I$614)/(I$47+I$614+I$49))</f>
        <v>9.0673211862452203E-4</v>
      </c>
      <c r="J1617" s="1">
        <f>IF(SUM([1]Transport!F$24,[1]Transport!F$27)=0,0,[1]Transport!F$27/SUM([1]Transport!F$24,[1]Transport!F$27)*J1614*(J$47+J$614)/(J$47+J$614+J$49))</f>
        <v>8.2412856337318722E-4</v>
      </c>
      <c r="K1617" s="1">
        <f>IF(SUM([1]Transport!G$24,[1]Transport!G$27)=0,0,[1]Transport!G$27/SUM([1]Transport!G$24,[1]Transport!G$27)*K1614*(K$47+K$614)/(K$47+K$614+K$49))</f>
        <v>8.9745801554664753E-5</v>
      </c>
      <c r="L1617" s="1">
        <f>IF(SUM([1]Transport!H$24,[1]Transport!H$27)=0,0,[1]Transport!H$27/SUM([1]Transport!H$24,[1]Transport!H$27)*L1614*(L$47+L$614)/(L$47+L$614+L$49))</f>
        <v>1.148436200064416E-4</v>
      </c>
      <c r="M1617" s="1">
        <f>IF(SUM([1]Transport!I$24,[1]Transport!I$27)=0,0,[1]Transport!I$27/SUM([1]Transport!I$24,[1]Transport!I$27)*M1614*(M$47+M$614)/(M$47+M$614+M$49))</f>
        <v>2.2014407172476409E-4</v>
      </c>
      <c r="N1617" s="1">
        <f>IF(SUM([1]Transport!J$24,[1]Transport!J$27)=0,0,[1]Transport!J$27/SUM([1]Transport!J$24,[1]Transport!J$27)*N1614*(N$47+N$614)/(N$47+N$614+N$49))</f>
        <v>1.4443520962032644E-4</v>
      </c>
      <c r="O1617" s="1">
        <f>IF(SUM([1]Transport!K$24,[1]Transport!K$27)=0,0,[1]Transport!K$27/SUM([1]Transport!K$24,[1]Transport!K$27)*O1614*(O$47+O$614)/(O$47+O$614+O$49))</f>
        <v>2.3313775324029657E-4</v>
      </c>
      <c r="P1617" s="1">
        <f>IF(SUM([1]Transport!L$24,[1]Transport!L$27)=0,0,[1]Transport!L$27/SUM([1]Transport!L$24,[1]Transport!L$27)*P1614*(P$47+P$614)/(P$47+P$614+P$49))</f>
        <v>1.8929447829369093E-4</v>
      </c>
      <c r="Q1617" s="1">
        <f>IF(SUM([1]Transport!M$24,[1]Transport!M$27)=0,0,[1]Transport!M$27/SUM([1]Transport!M$24,[1]Transport!M$27)*Q1614*(Q$47+Q$614)/(Q$47+Q$614+Q$49))</f>
        <v>3.5567280904201829E-4</v>
      </c>
      <c r="S1617" s="3"/>
    </row>
    <row r="1618" spans="2:19" x14ac:dyDescent="0.5">
      <c r="B1618" t="str">
        <f t="shared" si="1791"/>
        <v>SPS1</v>
      </c>
      <c r="C1618" t="str">
        <f t="shared" si="1792"/>
        <v>CH</v>
      </c>
      <c r="D1618" t="s">
        <v>1621</v>
      </c>
      <c r="E1618" t="str">
        <f t="shared" si="1799"/>
        <v>PJ/yr.</v>
      </c>
      <c r="F1618" s="1">
        <f>IF(([1]Transport!B$24+[1]Transport!B$27)=0,0,IF((F$49+F$716)/([1]Transport!B$24+[1]Transport!B$27)*F1614&gt;F1614,F1614,(F$49+F$716)/([1]Transport!B$24+[1]Transport!B$27)*F1614))</f>
        <v>0</v>
      </c>
      <c r="G1618" s="1">
        <f>IF(([1]Transport!C$24+[1]Transport!C$27)=0,0,IF((G$49+G$716)/([1]Transport!C$24+[1]Transport!C$27)*G1614&gt;G1614,G1614,(G$49+G$716)/([1]Transport!C$24+[1]Transport!C$27)*G1614))</f>
        <v>0</v>
      </c>
      <c r="H1618" s="1">
        <f>IF(([1]Transport!D$24+[1]Transport!D$27)=0,0,IF((H$49+H$716)/([1]Transport!D$24+[1]Transport!D$27)*H1614&gt;H1614,H1614,(H$49+H$716)/([1]Transport!D$24+[1]Transport!D$27)*H1614))</f>
        <v>0</v>
      </c>
      <c r="I1618" s="1">
        <f>IF(([1]Transport!E$24+[1]Transport!E$27)=0,0,IF((I$49+I$716)/([1]Transport!E$24+[1]Transport!E$27)*I1614&gt;I1614,I1614,(I$49+I$716)/([1]Transport!E$24+[1]Transport!E$27)*I1614))</f>
        <v>0</v>
      </c>
      <c r="J1618" s="1">
        <f>IF(([1]Transport!F$24+[1]Transport!F$27)=0,0,IF((J$49+J$716)/([1]Transport!F$24+[1]Transport!F$27)*J1614&gt;J1614,J1614,(J$49+J$716)/([1]Transport!F$24+[1]Transport!F$27)*J1614))</f>
        <v>2.604831387957752E-3</v>
      </c>
      <c r="K1618" s="1">
        <f>IF(([1]Transport!G$24+[1]Transport!G$27)=0,0,IF((K$49+K$716)/([1]Transport!G$24+[1]Transport!G$27)*K1614&gt;K1614,K1614,(K$49+K$716)/([1]Transport!G$24+[1]Transport!G$27)*K1614))</f>
        <v>2.5427313087354126E-3</v>
      </c>
      <c r="L1618" s="1">
        <f>IF(([1]Transport!H$24+[1]Transport!H$27)=0,0,IF((L$49+L$716)/([1]Transport!H$24+[1]Transport!H$27)*L1614&gt;L1614,L1614,(L$49+L$716)/([1]Transport!H$24+[1]Transport!H$27)*L1614))</f>
        <v>2.4310428712538347E-3</v>
      </c>
      <c r="M1618" s="1">
        <f>IF(([1]Transport!I$24+[1]Transport!I$27)=0,0,IF((M$49+M$716)/([1]Transport!I$24+[1]Transport!I$27)*M1614&gt;M1614,M1614,(M$49+M$716)/([1]Transport!I$24+[1]Transport!I$27)*M1614))</f>
        <v>2.3056538997970775E-3</v>
      </c>
      <c r="N1618" s="1">
        <f>IF(([1]Transport!J$24+[1]Transport!J$27)=0,0,IF((N$49+N$716)/([1]Transport!J$24+[1]Transport!J$27)*N1614&gt;N1614,N1614,(N$49+N$716)/([1]Transport!J$24+[1]Transport!J$27)*N1614))</f>
        <v>2.2510515058467347E-3</v>
      </c>
      <c r="O1618" s="1">
        <f>IF(([1]Transport!K$24+[1]Transport!K$27)=0,0,IF((O$49+O$716)/([1]Transport!K$24+[1]Transport!K$27)*O1614&gt;O1614,O1614,(O$49+O$716)/([1]Transport!K$24+[1]Transport!K$27)*O1614))</f>
        <v>2.243093726391017E-3</v>
      </c>
      <c r="P1618" s="1">
        <f>IF(([1]Transport!L$24+[1]Transport!L$27)=0,0,IF((P$49+P$716)/([1]Transport!L$24+[1]Transport!L$27)*P1614&gt;P1614,P1614,(P$49+P$716)/([1]Transport!L$24+[1]Transport!L$27)*P1614))</f>
        <v>2.2570440806706448E-3</v>
      </c>
      <c r="Q1618" s="1">
        <f>IF(([1]Transport!M$24+[1]Transport!M$27)=0,0,IF((Q$49+Q$716)/([1]Transport!M$24+[1]Transport!M$27)*Q1614&gt;Q1614,Q1614,(Q$49+Q$716)/([1]Transport!M$24+[1]Transport!M$27)*Q1614))</f>
        <v>2.244637014917528E-3</v>
      </c>
      <c r="S1618" s="3"/>
    </row>
    <row r="1619" spans="2:19" x14ac:dyDescent="0.5">
      <c r="B1619" t="str">
        <f t="shared" si="1791"/>
        <v>SPS1</v>
      </c>
      <c r="C1619" t="str">
        <f t="shared" si="1792"/>
        <v>CH</v>
      </c>
      <c r="D1619" t="s">
        <v>1622</v>
      </c>
      <c r="E1619" t="str">
        <f t="shared" si="1799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2.7031985005208047E-2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2.2316738720329012E-3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2.8576628531573039E-3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2.8158913578391052E-3</v>
      </c>
      <c r="J1619" s="1" cm="1">
        <f t="array" ref="J1619">SUMPRODUCT(("TFHGV-ICENGA"=[1]OUT_TransportEnergyCons!$A$3:$A$1000)*1,("Var_Fin"=[1]OUT_TransportEnergyCons!$B$3:$B$1000)*1,ISNUMBER(SEARCH("nga",[1]OUT_TransportEnergyCons!$C$3:$C$1000))*1,[1]OUT_TransportEnergyCons!H$3:H$1000)</f>
        <v>2.604831387957752E-3</v>
      </c>
      <c r="K1619" s="1" cm="1">
        <f t="array" ref="K1619">SUMPRODUCT(("TFHGV-ICENGA"=[1]OUT_TransportEnergyCons!$A$3:$A$1000)*1,("Var_Fin"=[1]OUT_TransportEnergyCons!$B$3:$B$1000)*1,ISNUMBER(SEARCH("nga",[1]OUT_TransportEnergyCons!$C$3:$C$1000))*1,[1]OUT_TransportEnergyCons!I$3:I$1000)</f>
        <v>2.5427313087354126E-3</v>
      </c>
      <c r="L1619" s="1" cm="1">
        <f t="array" ref="L1619">SUMPRODUCT(("TFHGV-ICENGA"=[1]OUT_TransportEnergyCons!$A$3:$A$1000)*1,("Var_Fin"=[1]OUT_TransportEnergyCons!$B$3:$B$1000)*1,ISNUMBER(SEARCH("nga",[1]OUT_TransportEnergyCons!$C$3:$C$1000))*1,[1]OUT_TransportEnergyCons!J$3:J$1000)</f>
        <v>2.4310428712538347E-3</v>
      </c>
      <c r="M1619" s="1" cm="1">
        <f t="array" ref="M1619">SUMPRODUCT(("TFHGV-ICENGA"=[1]OUT_TransportEnergyCons!$A$3:$A$1000)*1,("Var_Fin"=[1]OUT_TransportEnergyCons!$B$3:$B$1000)*1,ISNUMBER(SEARCH("nga",[1]OUT_TransportEnergyCons!$C$3:$C$1000))*1,[1]OUT_TransportEnergyCons!K$3:K$1000)</f>
        <v>2.3056538997970775E-3</v>
      </c>
      <c r="N1619" s="1" cm="1">
        <f t="array" ref="N1619">SUMPRODUCT(("TFHGV-ICENGA"=[1]OUT_TransportEnergyCons!$A$3:$A$1000)*1,("Var_Fin"=[1]OUT_TransportEnergyCons!$B$3:$B$1000)*1,ISNUMBER(SEARCH("nga",[1]OUT_TransportEnergyCons!$C$3:$C$1000))*1,[1]OUT_TransportEnergyCons!L$3:L$1000)</f>
        <v>2.2510515058467347E-3</v>
      </c>
      <c r="O1619" s="1" cm="1">
        <f t="array" ref="O1619">SUMPRODUCT(("TFHGV-ICENGA"=[1]OUT_TransportEnergyCons!$A$3:$A$1000)*1,("Var_Fin"=[1]OUT_TransportEnergyCons!$B$3:$B$1000)*1,ISNUMBER(SEARCH("nga",[1]OUT_TransportEnergyCons!$C$3:$C$1000))*1,[1]OUT_TransportEnergyCons!M$3:M$1000)</f>
        <v>2.243093726391017E-3</v>
      </c>
      <c r="P1619" s="1" cm="1">
        <f t="array" ref="P1619">SUMPRODUCT(("TFHGV-ICENGA"=[1]OUT_TransportEnergyCons!$A$3:$A$1000)*1,("Var_Fin"=[1]OUT_TransportEnergyCons!$B$3:$B$1000)*1,ISNUMBER(SEARCH("nga",[1]OUT_TransportEnergyCons!$C$3:$C$1000))*1,[1]OUT_TransportEnergyCons!N$3:N$1000)</f>
        <v>2.2570440806706448E-3</v>
      </c>
      <c r="Q1619" s="1" cm="1">
        <f t="array" ref="Q1619">SUMPRODUCT(("TFHGV-ICENGA"=[1]OUT_TransportEnergyCons!$A$3:$A$1000)*1,("Var_Fin"=[1]OUT_TransportEnergyCons!$B$3:$B$1000)*1,ISNUMBER(SEARCH("nga",[1]OUT_TransportEnergyCons!$C$3:$C$1000))*1,[1]OUT_TransportEnergyCons!O$3:O$1000)</f>
        <v>2.244637014917528E-3</v>
      </c>
      <c r="S1619" s="3"/>
    </row>
    <row r="1620" spans="2:19" x14ac:dyDescent="0.5">
      <c r="B1620" s="2" t="str">
        <f t="shared" si="1791"/>
        <v>SPS1</v>
      </c>
      <c r="C1620" s="2" t="str">
        <f t="shared" si="1792"/>
        <v>CH</v>
      </c>
      <c r="D1620" s="2" t="s">
        <v>1623</v>
      </c>
      <c r="E1620" s="2" t="s">
        <v>1517</v>
      </c>
      <c r="F1620" s="3">
        <f>SUM(F1621:F1629)</f>
        <v>2.20342475295356</v>
      </c>
      <c r="G1620" s="3">
        <f t="shared" ref="G1620" si="1823">SUM(G1621:G1629)</f>
        <v>2.2263492675253924</v>
      </c>
      <c r="H1620" s="3">
        <f t="shared" ref="H1620" si="1824">SUM(H1621:H1629)</f>
        <v>2.2607584775718714</v>
      </c>
      <c r="I1620" s="3">
        <f t="shared" ref="I1620" si="1825">SUM(I1621:I1629)</f>
        <v>2.3180975769979466</v>
      </c>
      <c r="J1620" s="3">
        <f t="shared" ref="J1620" si="1826">SUM(J1621:J1629)</f>
        <v>2.418904907417081</v>
      </c>
      <c r="K1620" s="3">
        <f t="shared" ref="K1620" si="1827">SUM(K1621:K1629)</f>
        <v>2.5201037200819147</v>
      </c>
      <c r="L1620" s="3">
        <f t="shared" ref="L1620:O1620" si="1828">SUM(L1621:L1629)</f>
        <v>2.622339251075601</v>
      </c>
      <c r="M1620" s="3">
        <f t="shared" si="1828"/>
        <v>2.7245758191477245</v>
      </c>
      <c r="N1620" s="3">
        <f t="shared" si="1828"/>
        <v>2.8129690051640392</v>
      </c>
      <c r="O1620" s="3">
        <f t="shared" si="1828"/>
        <v>2.9109961121561838</v>
      </c>
      <c r="P1620" s="3">
        <f>SUM(P1621:P1629)</f>
        <v>3.0146673891151528</v>
      </c>
      <c r="Q1620" s="3">
        <f>SUM(Q1621:Q1629)</f>
        <v>3.1326917602825852</v>
      </c>
      <c r="S1620" s="3"/>
    </row>
    <row r="1621" spans="2:19" x14ac:dyDescent="0.5">
      <c r="B1621" t="str">
        <f t="shared" si="1791"/>
        <v>SPS1</v>
      </c>
      <c r="C1621" t="str">
        <f t="shared" si="1792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SUMPRODUCT(("TFHGV-BeVELCExt"=[1]OUT_TransportEnergyCons!$A$3:$A$1000)*1,("var_fout"=[1]OUT_TransportEnergyCons!$B$3:$B$1000)*1,ISNUMBER(SEARCH("TFHGV",[1]OUT_TransportEnergyCons!$C$3:$C$1000))*1,[1]OUT_TransportEnergyCons!H$3:H$1000)</f>
        <v>0</v>
      </c>
      <c r="K1621" s="1" cm="1">
        <f t="array" ref="K1621">SUMPRODUCT(("TFHGV-BeVELCExt"=[1]OUT_TransportEnergyCons!$A$3:$A$1000)*1,("var_fout"=[1]OUT_TransportEnergyCons!$B$3:$B$1000)*1,ISNUMBER(SEARCH("TFHGV",[1]OUT_TransportEnergyCons!$C$3:$C$1000))*1,[1]OUT_TransportEnergyCons!I$3:I$1000)</f>
        <v>0</v>
      </c>
      <c r="L1621" s="1" cm="1">
        <f t="array" ref="L1621">SUMPRODUCT(("TFHGV-BeVELCExt"=[1]OUT_TransportEnergyCons!$A$3:$A$1000)*1,("var_fout"=[1]OUT_TransportEnergyCons!$B$3:$B$1000)*1,ISNUMBER(SEARCH("TFHGV",[1]OUT_TransportEnergyCons!$C$3:$C$1000))*1,[1]OUT_TransportEnergyCons!J$3:J$1000)</f>
        <v>0</v>
      </c>
      <c r="M1621" s="1" cm="1">
        <f t="array" ref="M1621">SUMPRODUCT(("TFHGV-BeVELCExt"=[1]OUT_TransportEnergyCons!$A$3:$A$1000)*1,("var_fout"=[1]OUT_TransportEnergyCons!$B$3:$B$1000)*1,ISNUMBER(SEARCH("TFHGV",[1]OUT_TransportEnergyCons!$C$3:$C$1000))*1,[1]OUT_TransportEnergyCons!K$3:K$1000)</f>
        <v>0</v>
      </c>
      <c r="N1621" s="1" cm="1">
        <f t="array" ref="N1621">SUMPRODUCT(("TFHGV-BeVELCExt"=[1]OUT_TransportEnergyCons!$A$3:$A$1000)*1,("var_fout"=[1]OUT_TransportEnergyCons!$B$3:$B$1000)*1,ISNUMBER(SEARCH("TFHGV",[1]OUT_TransportEnergyCons!$C$3:$C$1000))*1,[1]OUT_TransportEnergyCons!L$3:L$1000)</f>
        <v>0</v>
      </c>
      <c r="O1621" s="1" cm="1">
        <f t="array" ref="O1621">SUMPRODUCT(("TFHGV-BeVELCExt"=[1]OUT_TransportEnergyCons!$A$3:$A$1000)*1,("var_fout"=[1]OUT_TransportEnergyCons!$B$3:$B$1000)*1,ISNUMBER(SEARCH("TFHGV",[1]OUT_TransportEnergyCons!$C$3:$C$1000))*1,[1]OUT_TransportEnergyCons!M$3:M$1000)</f>
        <v>0</v>
      </c>
      <c r="P1621" s="1" cm="1">
        <f t="array" ref="P1621">SUMPRODUCT(("TFHGV-BeVELCExt"=[1]OUT_TransportEnergyCons!$A$3:$A$1000)*1,("var_fout"=[1]OUT_TransportEnergyCons!$B$3:$B$1000)*1,ISNUMBER(SEARCH("TFHGV",[1]OUT_TransportEnergyCons!$C$3:$C$1000))*1,[1]OUT_TransportEnergyCons!N$3:N$1000)</f>
        <v>0</v>
      </c>
      <c r="Q1621" s="1" cm="1">
        <f t="array" ref="Q1621">SUMPRODUCT(("TFHGV-BeVELCExt"=[1]OUT_TransportEnergyCons!$A$3:$A$1000)*1,("var_fout"=[1]OUT_TransportEnergyCons!$B$3:$B$1000)*1,ISNUMBER(SEARCH("TFHGV",[1]OUT_TransportEnergyCons!$C$3:$C$1000))*1,[1]OUT_TransportEnergyCons!O$3:O$1000)</f>
        <v>0</v>
      </c>
      <c r="S1621" s="3"/>
    </row>
    <row r="1622" spans="2:19" x14ac:dyDescent="0.5">
      <c r="B1622" t="str">
        <f t="shared" si="1791"/>
        <v>SPS1</v>
      </c>
      <c r="C1622" t="str">
        <f t="shared" si="1792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1.1757655555454175E-3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1.1759621839687287E-3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1.2500531105453488E-3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4.971574466432903E-4</v>
      </c>
      <c r="J1622" s="1" cm="1">
        <f t="array" ref="J1622">SUMPRODUCT(("TFHGV-BEVELC"=[1]OUT_TransportEnergyCons!$A$3:$A$1000)*1,("var_fout"=[1]OUT_TransportEnergyCons!$B$3:$B$1000)*1,ISNUMBER(SEARCH("TFHGV",[1]OUT_TransportEnergyCons!$C$3:$C$1000))*1,[1]OUT_TransportEnergyCons!H$3:H$1000)</f>
        <v>2.246624295615961E-4</v>
      </c>
      <c r="K1622" s="1" cm="1">
        <f t="array" ref="K1622">SUMPRODUCT(("TFHGV-BEVELC"=[1]OUT_TransportEnergyCons!$A$3:$A$1000)*1,("var_fout"=[1]OUT_TransportEnergyCons!$B$3:$B$1000)*1,ISNUMBER(SEARCH("TFHGV",[1]OUT_TransportEnergyCons!$C$3:$C$1000))*1,[1]OUT_TransportEnergyCons!I$3:I$1000)</f>
        <v>4.3307170057433139E-4</v>
      </c>
      <c r="L1622" s="1" cm="1">
        <f t="array" ref="L1622">SUMPRODUCT(("TFHGV-BEVELC"=[1]OUT_TransportEnergyCons!$A$3:$A$1000)*1,("var_fout"=[1]OUT_TransportEnergyCons!$B$3:$B$1000)*1,ISNUMBER(SEARCH("TFHGV",[1]OUT_TransportEnergyCons!$C$3:$C$1000))*1,[1]OUT_TransportEnergyCons!J$3:J$1000)</f>
        <v>5.9941956925609475E-4</v>
      </c>
      <c r="M1622" s="1" cm="1">
        <f t="array" ref="M1622">SUMPRODUCT(("TFHGV-BEVELC"=[1]OUT_TransportEnergyCons!$A$3:$A$1000)*1,("var_fout"=[1]OUT_TransportEnergyCons!$B$3:$B$1000)*1,ISNUMBER(SEARCH("TFHGV",[1]OUT_TransportEnergyCons!$C$3:$C$1000))*1,[1]OUT_TransportEnergyCons!K$3:K$1000)</f>
        <v>1.1260110853198591E-3</v>
      </c>
      <c r="N1622" s="1" cm="1">
        <f t="array" ref="N1622">SUMPRODUCT(("TFHGV-BEVELC"=[1]OUT_TransportEnergyCons!$A$3:$A$1000)*1,("var_fout"=[1]OUT_TransportEnergyCons!$B$3:$B$1000)*1,ISNUMBER(SEARCH("TFHGV",[1]OUT_TransportEnergyCons!$C$3:$C$1000))*1,[1]OUT_TransportEnergyCons!L$3:L$1000)</f>
        <v>1.6899977605246753E-3</v>
      </c>
      <c r="O1622" s="1" cm="1">
        <f t="array" ref="O1622">SUMPRODUCT(("TFHGV-BEVELC"=[1]OUT_TransportEnergyCons!$A$3:$A$1000)*1,("var_fout"=[1]OUT_TransportEnergyCons!$B$3:$B$1000)*1,ISNUMBER(SEARCH("TFHGV",[1]OUT_TransportEnergyCons!$C$3:$C$1000))*1,[1]OUT_TransportEnergyCons!M$3:M$1000)</f>
        <v>2.0902002681753499E-3</v>
      </c>
      <c r="P1622" s="1" cm="1">
        <f t="array" ref="P1622">SUMPRODUCT(("TFHGV-BEVELC"=[1]OUT_TransportEnergyCons!$A$3:$A$1000)*1,("var_fout"=[1]OUT_TransportEnergyCons!$B$3:$B$1000)*1,ISNUMBER(SEARCH("TFHGV",[1]OUT_TransportEnergyCons!$C$3:$C$1000))*1,[1]OUT_TransportEnergyCons!N$3:N$1000)</f>
        <v>3.8306122887272654E-3</v>
      </c>
      <c r="Q1622" s="1" cm="1">
        <f t="array" ref="Q1622">SUMPRODUCT(("TFHGV-BEVELC"=[1]OUT_TransportEnergyCons!$A$3:$A$1000)*1,("var_fout"=[1]OUT_TransportEnergyCons!$B$3:$B$1000)*1,ISNUMBER(SEARCH("TFHGV",[1]OUT_TransportEnergyCons!$C$3:$C$1000))*1,[1]OUT_TransportEnergyCons!O$3:O$1000)</f>
        <v>1.0623304664717361E-2</v>
      </c>
      <c r="S1622" s="3"/>
    </row>
    <row r="1623" spans="2:19" x14ac:dyDescent="0.5">
      <c r="B1623" t="str">
        <f t="shared" si="1791"/>
        <v>SPS1</v>
      </c>
      <c r="C1623" t="str">
        <f t="shared" si="1792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4.3952520924942141E-4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1.6171454690229301E-4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1.5942347477879368E-4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2.5485727555941076E-5</v>
      </c>
      <c r="J1623" s="1" cm="1">
        <f t="array" ref="J1623">SUMPRODUCT(("TFHGV-FCLH2O"=[1]OUT_TransportEnergyCons!$A$3:$A$1000)*1,("var_fout"=[1]OUT_TransportEnergyCons!$B$3:$B$1000)*1,ISNUMBER(SEARCH("TFHGV",[1]OUT_TransportEnergyCons!$C$3:$C$1000))*1,[1]OUT_TransportEnergyCons!H$3:H$1000)</f>
        <v>2.4013814686785337E-5</v>
      </c>
      <c r="K1623" s="1" cm="1">
        <f t="array" ref="K1623">SUMPRODUCT(("TFHGV-FCLH2O"=[1]OUT_TransportEnergyCons!$A$3:$A$1000)*1,("var_fout"=[1]OUT_TransportEnergyCons!$B$3:$B$1000)*1,ISNUMBER(SEARCH("TFHGV",[1]OUT_TransportEnergyCons!$C$3:$C$1000))*1,[1]OUT_TransportEnergyCons!I$3:I$1000)</f>
        <v>2.3705757985534715E-5</v>
      </c>
      <c r="L1623" s="1" cm="1">
        <f t="array" ref="L1623">SUMPRODUCT(("TFHGV-FCLH2O"=[1]OUT_TransportEnergyCons!$A$3:$A$1000)*1,("var_fout"=[1]OUT_TransportEnergyCons!$B$3:$B$1000)*1,ISNUMBER(SEARCH("TFHGV",[1]OUT_TransportEnergyCons!$C$3:$C$1000))*1,[1]OUT_TransportEnergyCons!J$3:J$1000)</f>
        <v>2.2838979301260805E-5</v>
      </c>
      <c r="M1623" s="1" cm="1">
        <f t="array" ref="M1623">SUMPRODUCT(("TFHGV-FCLH2O"=[1]OUT_TransportEnergyCons!$A$3:$A$1000)*1,("var_fout"=[1]OUT_TransportEnergyCons!$B$3:$B$1000)*1,ISNUMBER(SEARCH("TFHGV",[1]OUT_TransportEnergyCons!$C$3:$C$1000))*1,[1]OUT_TransportEnergyCons!K$3:K$1000)</f>
        <v>2.1820165932582569E-5</v>
      </c>
      <c r="N1623" s="1" cm="1">
        <f t="array" ref="N1623">SUMPRODUCT(("TFHGV-FCLH2O"=[1]OUT_TransportEnergyCons!$A$3:$A$1000)*1,("var_fout"=[1]OUT_TransportEnergyCons!$B$3:$B$1000)*1,ISNUMBER(SEARCH("TFHGV",[1]OUT_TransportEnergyCons!$C$3:$C$1000))*1,[1]OUT_TransportEnergyCons!L$3:L$1000)</f>
        <v>2.0818641992476503E-5</v>
      </c>
      <c r="O1623" s="1" cm="1">
        <f t="array" ref="O1623">SUMPRODUCT(("TFHGV-FCLH2O"=[1]OUT_TransportEnergyCons!$A$3:$A$1000)*1,("var_fout"=[1]OUT_TransportEnergyCons!$B$3:$B$1000)*1,ISNUMBER(SEARCH("TFHGV",[1]OUT_TransportEnergyCons!$C$3:$C$1000))*1,[1]OUT_TransportEnergyCons!M$3:M$1000)</f>
        <v>1.9063433359742592E-5</v>
      </c>
      <c r="P1623" s="1" cm="1">
        <f t="array" ref="P1623">SUMPRODUCT(("TFHGV-FCLH2O"=[1]OUT_TransportEnergyCons!$A$3:$A$1000)*1,("var_fout"=[1]OUT_TransportEnergyCons!$B$3:$B$1000)*1,ISNUMBER(SEARCH("TFHGV",[1]OUT_TransportEnergyCons!$C$3:$C$1000))*1,[1]OUT_TransportEnergyCons!N$3:N$1000)</f>
        <v>2.0566189976226556E-5</v>
      </c>
      <c r="Q1623" s="1" cm="1">
        <f t="array" ref="Q1623">SUMPRODUCT(("TFHGV-FCLH2O"=[1]OUT_TransportEnergyCons!$A$3:$A$1000)*1,("var_fout"=[1]OUT_TransportEnergyCons!$B$3:$B$1000)*1,ISNUMBER(SEARCH("TFHGV",[1]OUT_TransportEnergyCons!$C$3:$C$1000))*1,[1]OUT_TransportEnergyCons!O$3:O$1000)</f>
        <v>1.8879021505839583E-5</v>
      </c>
      <c r="S1623" s="3"/>
    </row>
    <row r="1624" spans="2:19" x14ac:dyDescent="0.5">
      <c r="B1624" t="str">
        <f t="shared" si="1791"/>
        <v>SPS1</v>
      </c>
      <c r="C1624" t="str">
        <f t="shared" si="1792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SUMPRODUCT(("TFHGV-ICEGSLExt"=[1]OUT_TransportEnergyCons!$A$3:$A$1000)*1,("var_fout"=[1]OUT_TransportEnergyCons!$B$3:$B$1000)*1,ISNUMBER(SEARCH("TFHGV",[1]OUT_TransportEnergyCons!$C$3:$C$1000))*1,[1]OUT_TransportEnergyCons!H$3:H$1000)</f>
        <v>0</v>
      </c>
      <c r="K1624" s="1" cm="1">
        <f t="array" ref="K1624">SUMPRODUCT(("TFHGV-ICEGSLExt"=[1]OUT_TransportEnergyCons!$A$3:$A$1000)*1,("var_fout"=[1]OUT_TransportEnergyCons!$B$3:$B$1000)*1,ISNUMBER(SEARCH("TFHGV",[1]OUT_TransportEnergyCons!$C$3:$C$1000))*1,[1]OUT_TransportEnergyCons!I$3:I$1000)</f>
        <v>0</v>
      </c>
      <c r="L1624" s="1" cm="1">
        <f t="array" ref="L1624">SUMPRODUCT(("TFHGV-ICEGSLExt"=[1]OUT_TransportEnergyCons!$A$3:$A$1000)*1,("var_fout"=[1]OUT_TransportEnergyCons!$B$3:$B$1000)*1,ISNUMBER(SEARCH("TFHGV",[1]OUT_TransportEnergyCons!$C$3:$C$1000))*1,[1]OUT_TransportEnergyCons!J$3:J$1000)</f>
        <v>0</v>
      </c>
      <c r="M1624" s="1" cm="1">
        <f t="array" ref="M1624">SUMPRODUCT(("TFHGV-ICEGSLExt"=[1]OUT_TransportEnergyCons!$A$3:$A$1000)*1,("var_fout"=[1]OUT_TransportEnergyCons!$B$3:$B$1000)*1,ISNUMBER(SEARCH("TFHGV",[1]OUT_TransportEnergyCons!$C$3:$C$1000))*1,[1]OUT_TransportEnergyCons!K$3:K$1000)</f>
        <v>0</v>
      </c>
      <c r="N1624" s="1" cm="1">
        <f t="array" ref="N1624">SUMPRODUCT(("TFHGV-ICEGSLExt"=[1]OUT_TransportEnergyCons!$A$3:$A$1000)*1,("var_fout"=[1]OUT_TransportEnergyCons!$B$3:$B$1000)*1,ISNUMBER(SEARCH("TFHGV",[1]OUT_TransportEnergyCons!$C$3:$C$1000))*1,[1]OUT_TransportEnergyCons!L$3:L$1000)</f>
        <v>0</v>
      </c>
      <c r="O1624" s="1" cm="1">
        <f t="array" ref="O1624">SUMPRODUCT(("TFHGV-ICEGSLExt"=[1]OUT_TransportEnergyCons!$A$3:$A$1000)*1,("var_fout"=[1]OUT_TransportEnergyCons!$B$3:$B$1000)*1,ISNUMBER(SEARCH("TFHGV",[1]OUT_TransportEnergyCons!$C$3:$C$1000))*1,[1]OUT_TransportEnergyCons!M$3:M$1000)</f>
        <v>0</v>
      </c>
      <c r="P1624" s="1" cm="1">
        <f t="array" ref="P1624">SUMPRODUCT(("TFHGV-ICEGSLExt"=[1]OUT_TransportEnergyCons!$A$3:$A$1000)*1,("var_fout"=[1]OUT_TransportEnergyCons!$B$3:$B$1000)*1,ISNUMBER(SEARCH("TFHGV",[1]OUT_TransportEnergyCons!$C$3:$C$1000))*1,[1]OUT_TransportEnergyCons!N$3:N$1000)</f>
        <v>0</v>
      </c>
      <c r="Q1624" s="1" cm="1">
        <f t="array" ref="Q1624">SUMPRODUCT(("TFHGV-ICEGSLExt"=[1]OUT_TransportEnergyCons!$A$3:$A$1000)*1,("var_fout"=[1]OUT_TransportEnergyCons!$B$3:$B$1000)*1,ISNUMBER(SEARCH("TFHGV",[1]OUT_TransportEnergyCons!$C$3:$C$1000))*1,[1]OUT_TransportEnergyCons!O$3:O$1000)</f>
        <v>0</v>
      </c>
      <c r="S1624" s="3"/>
    </row>
    <row r="1625" spans="2:19" x14ac:dyDescent="0.5">
      <c r="B1625" t="str">
        <f t="shared" si="1791"/>
        <v>SPS1</v>
      </c>
      <c r="C1625" t="str">
        <f t="shared" si="1792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SUMPRODUCT(("TFHGV-ICEGSL"=[1]OUT_TransportEnergyCons!$A$3:$A$1000)*1,("var_fout"=[1]OUT_TransportEnergyCons!$B$3:$B$1000)*1,ISNUMBER(SEARCH("TFHGV",[1]OUT_TransportEnergyCons!$C$3:$C$1000))*1,[1]OUT_TransportEnergyCons!H$3:H$1000)</f>
        <v>0</v>
      </c>
      <c r="K1625" s="1" cm="1">
        <f t="array" ref="K1625">SUMPRODUCT(("TFHGV-ICEGSL"=[1]OUT_TransportEnergyCons!$A$3:$A$1000)*1,("var_fout"=[1]OUT_TransportEnergyCons!$B$3:$B$1000)*1,ISNUMBER(SEARCH("TFHGV",[1]OUT_TransportEnergyCons!$C$3:$C$1000))*1,[1]OUT_TransportEnergyCons!I$3:I$1000)</f>
        <v>0</v>
      </c>
      <c r="L1625" s="1" cm="1">
        <f t="array" ref="L1625">SUMPRODUCT(("TFHGV-ICEGSL"=[1]OUT_TransportEnergyCons!$A$3:$A$1000)*1,("var_fout"=[1]OUT_TransportEnergyCons!$B$3:$B$1000)*1,ISNUMBER(SEARCH("TFHGV",[1]OUT_TransportEnergyCons!$C$3:$C$1000))*1,[1]OUT_TransportEnergyCons!J$3:J$1000)</f>
        <v>0</v>
      </c>
      <c r="M1625" s="1" cm="1">
        <f t="array" ref="M1625">SUMPRODUCT(("TFHGV-ICEGSL"=[1]OUT_TransportEnergyCons!$A$3:$A$1000)*1,("var_fout"=[1]OUT_TransportEnergyCons!$B$3:$B$1000)*1,ISNUMBER(SEARCH("TFHGV",[1]OUT_TransportEnergyCons!$C$3:$C$1000))*1,[1]OUT_TransportEnergyCons!K$3:K$1000)</f>
        <v>0</v>
      </c>
      <c r="N1625" s="1" cm="1">
        <f t="array" ref="N1625">SUMPRODUCT(("TFHGV-ICEGSL"=[1]OUT_TransportEnergyCons!$A$3:$A$1000)*1,("var_fout"=[1]OUT_TransportEnergyCons!$B$3:$B$1000)*1,ISNUMBER(SEARCH("TFHGV",[1]OUT_TransportEnergyCons!$C$3:$C$1000))*1,[1]OUT_TransportEnergyCons!L$3:L$1000)</f>
        <v>0</v>
      </c>
      <c r="O1625" s="1" cm="1">
        <f t="array" ref="O1625">SUMPRODUCT(("TFHGV-ICEGSL"=[1]OUT_TransportEnergyCons!$A$3:$A$1000)*1,("var_fout"=[1]OUT_TransportEnergyCons!$B$3:$B$1000)*1,ISNUMBER(SEARCH("TFHGV",[1]OUT_TransportEnergyCons!$C$3:$C$1000))*1,[1]OUT_TransportEnergyCons!M$3:M$1000)</f>
        <v>0</v>
      </c>
      <c r="P1625" s="1" cm="1">
        <f t="array" ref="P1625">SUMPRODUCT(("TFHGV-ICEGSL"=[1]OUT_TransportEnergyCons!$A$3:$A$1000)*1,("var_fout"=[1]OUT_TransportEnergyCons!$B$3:$B$1000)*1,ISNUMBER(SEARCH("TFHGV",[1]OUT_TransportEnergyCons!$C$3:$C$1000))*1,[1]OUT_TransportEnergyCons!N$3:N$1000)</f>
        <v>0</v>
      </c>
      <c r="Q1625" s="1" cm="1">
        <f t="array" ref="Q1625">SUMPRODUCT(("TFHGV-ICEGSL"=[1]OUT_TransportEnergyCons!$A$3:$A$1000)*1,("var_fout"=[1]OUT_TransportEnergyCons!$B$3:$B$1000)*1,ISNUMBER(SEARCH("TFHGV",[1]OUT_TransportEnergyCons!$C$3:$C$1000))*1,[1]OUT_TransportEnergyCons!O$3:O$1000)</f>
        <v>0</v>
      </c>
      <c r="S1625" s="3"/>
    </row>
    <row r="1626" spans="2:19" x14ac:dyDescent="0.5">
      <c r="B1626" t="str">
        <f t="shared" si="1791"/>
        <v>SPS1</v>
      </c>
      <c r="C1626" t="str">
        <f t="shared" si="1792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1.5765893840878258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0.99154172288931008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1.0000749925192556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0.43063675798751977</v>
      </c>
      <c r="J1626" s="1" cm="1">
        <f t="array" ref="J1626">SUMPRODUCT(("TFHGV-ICEdslExt"=[1]OUT_TransportEnergyCons!$A$3:$A$1000)*1,("var_fout"=[1]OUT_TransportEnergyCons!$B$3:$B$1000)*1,ISNUMBER(SEARCH("TFHGV",[1]OUT_TransportEnergyCons!$C$3:$C$1000))*1,[1]OUT_TransportEnergyCons!H$3:H$1000)</f>
        <v>0</v>
      </c>
      <c r="K1626" s="1" cm="1">
        <f t="array" ref="K1626">SUMPRODUCT(("TFHGV-ICEdslExt"=[1]OUT_TransportEnergyCons!$A$3:$A$1000)*1,("var_fout"=[1]OUT_TransportEnergyCons!$B$3:$B$1000)*1,ISNUMBER(SEARCH("TFHGV",[1]OUT_TransportEnergyCons!$C$3:$C$1000))*1,[1]OUT_TransportEnergyCons!I$3:I$1000)</f>
        <v>0</v>
      </c>
      <c r="L1626" s="1" cm="1">
        <f t="array" ref="L1626">SUMPRODUCT(("TFHGV-ICEdslExt"=[1]OUT_TransportEnergyCons!$A$3:$A$1000)*1,("var_fout"=[1]OUT_TransportEnergyCons!$B$3:$B$1000)*1,ISNUMBER(SEARCH("TFHGV",[1]OUT_TransportEnergyCons!$C$3:$C$1000))*1,[1]OUT_TransportEnergyCons!J$3:J$1000)</f>
        <v>0</v>
      </c>
      <c r="M1626" s="1" cm="1">
        <f t="array" ref="M1626">SUMPRODUCT(("TFHGV-ICEdslExt"=[1]OUT_TransportEnergyCons!$A$3:$A$1000)*1,("var_fout"=[1]OUT_TransportEnergyCons!$B$3:$B$1000)*1,ISNUMBER(SEARCH("TFHGV",[1]OUT_TransportEnergyCons!$C$3:$C$1000))*1,[1]OUT_TransportEnergyCons!K$3:K$1000)</f>
        <v>0</v>
      </c>
      <c r="N1626" s="1" cm="1">
        <f t="array" ref="N1626">SUMPRODUCT(("TFHGV-ICEdslExt"=[1]OUT_TransportEnergyCons!$A$3:$A$1000)*1,("var_fout"=[1]OUT_TransportEnergyCons!$B$3:$B$1000)*1,ISNUMBER(SEARCH("TFHGV",[1]OUT_TransportEnergyCons!$C$3:$C$1000))*1,[1]OUT_TransportEnergyCons!L$3:L$1000)</f>
        <v>0</v>
      </c>
      <c r="O1626" s="1" cm="1">
        <f t="array" ref="O1626">SUMPRODUCT(("TFHGV-ICEdslExt"=[1]OUT_TransportEnergyCons!$A$3:$A$1000)*1,("var_fout"=[1]OUT_TransportEnergyCons!$B$3:$B$1000)*1,ISNUMBER(SEARCH("TFHGV",[1]OUT_TransportEnergyCons!$C$3:$C$1000))*1,[1]OUT_TransportEnergyCons!M$3:M$1000)</f>
        <v>0</v>
      </c>
      <c r="P1626" s="1" cm="1">
        <f t="array" ref="P1626">SUMPRODUCT(("TFHGV-ICEdslExt"=[1]OUT_TransportEnergyCons!$A$3:$A$1000)*1,("var_fout"=[1]OUT_TransportEnergyCons!$B$3:$B$1000)*1,ISNUMBER(SEARCH("TFHGV",[1]OUT_TransportEnergyCons!$C$3:$C$1000))*1,[1]OUT_TransportEnergyCons!N$3:N$1000)</f>
        <v>0</v>
      </c>
      <c r="Q1626" s="1" cm="1">
        <f t="array" ref="Q1626">SUMPRODUCT(("TFHGV-ICEdslExt"=[1]OUT_TransportEnergyCons!$A$3:$A$1000)*1,("var_fout"=[1]OUT_TransportEnergyCons!$B$3:$B$1000)*1,ISNUMBER(SEARCH("TFHGV",[1]OUT_TransportEnergyCons!$C$3:$C$1000))*1,[1]OUT_TransportEnergyCons!O$3:O$1000)</f>
        <v>0</v>
      </c>
      <c r="S1626" s="3"/>
    </row>
    <row r="1627" spans="2:19" x14ac:dyDescent="0.5">
      <c r="B1627" t="str">
        <f t="shared" si="1791"/>
        <v>SPS1</v>
      </c>
      <c r="C1627" t="str">
        <f t="shared" si="1792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0.62242973784497224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0.72892596587344949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0.56970394210040176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5.2567930002875768E-2</v>
      </c>
      <c r="J1627" s="1" cm="1">
        <f t="array" ref="J1627">SUMPRODUCT(("TFHGV-ICEdsl"=[1]OUT_TransportEnergyCons!$A$3:$A$1000)*1,("var_fout"=[1]OUT_TransportEnergyCons!$B$3:$B$1000)*1,ISNUMBER(SEARCH("TFHGV",[1]OUT_TransportEnergyCons!$C$3:$C$1000))*1,[1]OUT_TransportEnergyCons!H$3:H$1000)</f>
        <v>3.8818364340591877E-4</v>
      </c>
      <c r="K1627" s="1" cm="1">
        <f t="array" ref="K1627">SUMPRODUCT(("TFHGV-ICEdsl"=[1]OUT_TransportEnergyCons!$A$3:$A$1000)*1,("var_fout"=[1]OUT_TransportEnergyCons!$B$3:$B$1000)*1,ISNUMBER(SEARCH("TFHGV",[1]OUT_TransportEnergyCons!$C$3:$C$1000))*1,[1]OUT_TransportEnergyCons!I$3:I$1000)</f>
        <v>5.5500525046338844E-4</v>
      </c>
      <c r="L1627" s="1" cm="1">
        <f t="array" ref="L1627">SUMPRODUCT(("TFHGV-ICEdsl"=[1]OUT_TransportEnergyCons!$A$3:$A$1000)*1,("var_fout"=[1]OUT_TransportEnergyCons!$B$3:$B$1000)*1,ISNUMBER(SEARCH("TFHGV",[1]OUT_TransportEnergyCons!$C$3:$C$1000))*1,[1]OUT_TransportEnergyCons!J$3:J$1000)</f>
        <v>4.7313421721546832E-4</v>
      </c>
      <c r="M1627" s="1" cm="1">
        <f t="array" ref="M1627">SUMPRODUCT(("TFHGV-ICEdsl"=[1]OUT_TransportEnergyCons!$A$3:$A$1000)*1,("var_fout"=[1]OUT_TransportEnergyCons!$B$3:$B$1000)*1,ISNUMBER(SEARCH("TFHGV",[1]OUT_TransportEnergyCons!$C$3:$C$1000))*1,[1]OUT_TransportEnergyCons!K$3:K$1000)</f>
        <v>5.6522437600855439E-4</v>
      </c>
      <c r="N1627" s="1" cm="1">
        <f t="array" ref="N1627">SUMPRODUCT(("TFHGV-ICEdsl"=[1]OUT_TransportEnergyCons!$A$3:$A$1000)*1,("var_fout"=[1]OUT_TransportEnergyCons!$B$3:$B$1000)*1,ISNUMBER(SEARCH("TFHGV",[1]OUT_TransportEnergyCons!$C$3:$C$1000))*1,[1]OUT_TransportEnergyCons!L$3:L$1000)</f>
        <v>5.9858662104320061E-4</v>
      </c>
      <c r="O1627" s="1" cm="1">
        <f t="array" ref="O1627">SUMPRODUCT(("TFHGV-ICEdsl"=[1]OUT_TransportEnergyCons!$A$3:$A$1000)*1,("var_fout"=[1]OUT_TransportEnergyCons!$B$3:$B$1000)*1,ISNUMBER(SEARCH("TFHGV",[1]OUT_TransportEnergyCons!$C$3:$C$1000))*1,[1]OUT_TransportEnergyCons!M$3:M$1000)</f>
        <v>5.3247452437960453E-4</v>
      </c>
      <c r="P1627" s="1" cm="1">
        <f t="array" ref="P1627">SUMPRODUCT(("TFHGV-ICEdsl"=[1]OUT_TransportEnergyCons!$A$3:$A$1000)*1,("var_fout"=[1]OUT_TransportEnergyCons!$B$3:$B$1000)*1,ISNUMBER(SEARCH("TFHGV",[1]OUT_TransportEnergyCons!$C$3:$C$1000))*1,[1]OUT_TransportEnergyCons!N$3:N$1000)</f>
        <v>7.4938979543371688E-4</v>
      </c>
      <c r="Q1627" s="1" cm="1">
        <f t="array" ref="Q1627">SUMPRODUCT(("TFHGV-ICEdsl"=[1]OUT_TransportEnergyCons!$A$3:$A$1000)*1,("var_fout"=[1]OUT_TransportEnergyCons!$B$3:$B$1000)*1,ISNUMBER(SEARCH("TFHGV",[1]OUT_TransportEnergyCons!$C$3:$C$1000))*1,[1]OUT_TransportEnergyCons!O$3:O$1000)</f>
        <v>1.0010268459360423E-3</v>
      </c>
      <c r="S1627" s="3"/>
    </row>
    <row r="1628" spans="2:19" x14ac:dyDescent="0.5">
      <c r="B1628" t="str">
        <f t="shared" si="1791"/>
        <v>SPS1</v>
      </c>
      <c r="C1628" t="str">
        <f t="shared" si="1792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0.50431266068380332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0.68927245051232966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1.834060755517132</v>
      </c>
      <c r="J1628" s="1" cm="1">
        <f t="array" ref="J1628">SUMPRODUCT(("TFHGV-HYBDSL"=[1]OUT_TransportEnergyCons!$A$3:$A$1000)*1,("var_fout"=[1]OUT_TransportEnergyCons!$B$3:$B$1000)*1,ISNUMBER(SEARCH("TFHGV",[1]OUT_TransportEnergyCons!$C$3:$C$1000))*1,[1]OUT_TransportEnergyCons!H$3:H$1000)</f>
        <v>2.4179675210546359</v>
      </c>
      <c r="K1628" s="1" cm="1">
        <f t="array" ref="K1628">SUMPRODUCT(("TFHGV-HYBDSL"=[1]OUT_TransportEnergyCons!$A$3:$A$1000)*1,("var_fout"=[1]OUT_TransportEnergyCons!$B$3:$B$1000)*1,ISNUMBER(SEARCH("TFHGV",[1]OUT_TransportEnergyCons!$C$3:$C$1000))*1,[1]OUT_TransportEnergyCons!I$3:I$1000)</f>
        <v>2.5187921819784518</v>
      </c>
      <c r="L1628" s="1" cm="1">
        <f t="array" ref="L1628">SUMPRODUCT(("TFHGV-HYBDSL"=[1]OUT_TransportEnergyCons!$A$3:$A$1000)*1,("var_fout"=[1]OUT_TransportEnergyCons!$B$3:$B$1000)*1,ISNUMBER(SEARCH("TFHGV",[1]OUT_TransportEnergyCons!$C$3:$C$1000))*1,[1]OUT_TransportEnergyCons!J$3:J$1000)</f>
        <v>2.6209412591578234</v>
      </c>
      <c r="M1628" s="1" cm="1">
        <f t="array" ref="M1628">SUMPRODUCT(("TFHGV-HYBDSL"=[1]OUT_TransportEnergyCons!$A$3:$A$1000)*1,("var_fout"=[1]OUT_TransportEnergyCons!$B$3:$B$1000)*1,ISNUMBER(SEARCH("TFHGV",[1]OUT_TransportEnergyCons!$C$3:$C$1000))*1,[1]OUT_TransportEnergyCons!K$3:K$1000)</f>
        <v>2.7225698376416041</v>
      </c>
      <c r="N1628" s="1" cm="1">
        <f t="array" ref="N1628">SUMPRODUCT(("TFHGV-HYBDSL"=[1]OUT_TransportEnergyCons!$A$3:$A$1000)*1,("var_fout"=[1]OUT_TransportEnergyCons!$B$3:$B$1000)*1,ISNUMBER(SEARCH("TFHGV",[1]OUT_TransportEnergyCons!$C$3:$C$1000))*1,[1]OUT_TransportEnergyCons!L$3:L$1000)</f>
        <v>2.8103683439545599</v>
      </c>
      <c r="O1628" s="1" cm="1">
        <f t="array" ref="O1628">SUMPRODUCT(("TFHGV-HYBDSL"=[1]OUT_TransportEnergyCons!$A$3:$A$1000)*1,("var_fout"=[1]OUT_TransportEnergyCons!$B$3:$B$1000)*1,ISNUMBER(SEARCH("TFHGV",[1]OUT_TransportEnergyCons!$C$3:$C$1000))*1,[1]OUT_TransportEnergyCons!M$3:M$1000)</f>
        <v>2.9080641453824558</v>
      </c>
      <c r="P1628" s="1" cm="1">
        <f t="array" ref="P1628">SUMPRODUCT(("TFHGV-HYBDSL"=[1]OUT_TransportEnergyCons!$A$3:$A$1000)*1,("var_fout"=[1]OUT_TransportEnergyCons!$B$3:$B$1000)*1,ISNUMBER(SEARCH("TFHGV",[1]OUT_TransportEnergyCons!$C$3:$C$1000))*1,[1]OUT_TransportEnergyCons!N$3:N$1000)</f>
        <v>3.0097747872901315</v>
      </c>
      <c r="Q1628" s="1" cm="1">
        <f t="array" ref="Q1628">SUMPRODUCT(("TFHGV-HYBDSL"=[1]OUT_TransportEnergyCons!$A$3:$A$1000)*1,("var_fout"=[1]OUT_TransportEnergyCons!$B$3:$B$1000)*1,ISNUMBER(SEARCH("TFHGV",[1]OUT_TransportEnergyCons!$C$3:$C$1000))*1,[1]OUT_TransportEnergyCons!O$3:O$1000)</f>
        <v>3.1207581215201907</v>
      </c>
      <c r="S1628" s="3"/>
    </row>
    <row r="1629" spans="2:19" x14ac:dyDescent="0.5">
      <c r="B1629" t="str">
        <f t="shared" si="1791"/>
        <v>SPS1</v>
      </c>
      <c r="C1629" t="str">
        <f t="shared" si="1792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2.7903402559671183E-3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2.3124134795821761E-4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2.9761585456042843E-4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3.0949031621975469E-4</v>
      </c>
      <c r="J1629" s="1" cm="1">
        <f t="array" ref="J1629">SUMPRODUCT(("TFHGV-ICENGA"=[1]OUT_TransportEnergyCons!$A$3:$A$1000)*1,("var_fout"=[1]OUT_TransportEnergyCons!$B$3:$B$1000)*1,ISNUMBER(SEARCH("TFHGV",[1]OUT_TransportEnergyCons!$C$3:$C$1000))*1,[1]OUT_TransportEnergyCons!H$3:H$1000)</f>
        <v>3.0052647479040156E-4</v>
      </c>
      <c r="K1629" s="1" cm="1">
        <f t="array" ref="K1629">SUMPRODUCT(("TFHGV-ICENGA"=[1]OUT_TransportEnergyCons!$A$3:$A$1000)*1,("var_fout"=[1]OUT_TransportEnergyCons!$B$3:$B$1000)*1,ISNUMBER(SEARCH("TFHGV",[1]OUT_TransportEnergyCons!$C$3:$C$1000))*1,[1]OUT_TransportEnergyCons!I$3:I$1000)</f>
        <v>2.9975539443944727E-4</v>
      </c>
      <c r="L1629" s="1" cm="1">
        <f t="array" ref="L1629">SUMPRODUCT(("TFHGV-ICENGA"=[1]OUT_TransportEnergyCons!$A$3:$A$1000)*1,("var_fout"=[1]OUT_TransportEnergyCons!$B$3:$B$1000)*1,ISNUMBER(SEARCH("TFHGV",[1]OUT_TransportEnergyCons!$C$3:$C$1000))*1,[1]OUT_TransportEnergyCons!J$3:J$1000)</f>
        <v>3.0259915200513544E-4</v>
      </c>
      <c r="M1629" s="1" cm="1">
        <f t="array" ref="M1629">SUMPRODUCT(("TFHGV-ICENGA"=[1]OUT_TransportEnergyCons!$A$3:$A$1000)*1,("var_fout"=[1]OUT_TransportEnergyCons!$B$3:$B$1000)*1,ISNUMBER(SEARCH("TFHGV",[1]OUT_TransportEnergyCons!$C$3:$C$1000))*1,[1]OUT_TransportEnergyCons!K$3:K$1000)</f>
        <v>2.9292587885911675E-4</v>
      </c>
      <c r="N1629" s="1" cm="1">
        <f t="array" ref="N1629">SUMPRODUCT(("TFHGV-ICENGA"=[1]OUT_TransportEnergyCons!$A$3:$A$1000)*1,("var_fout"=[1]OUT_TransportEnergyCons!$B$3:$B$1000)*1,ISNUMBER(SEARCH("TFHGV",[1]OUT_TransportEnergyCons!$C$3:$C$1000))*1,[1]OUT_TransportEnergyCons!L$3:L$1000)</f>
        <v>2.9125818591905876E-4</v>
      </c>
      <c r="O1629" s="1" cm="1">
        <f t="array" ref="O1629">SUMPRODUCT(("TFHGV-ICENGA"=[1]OUT_TransportEnergyCons!$A$3:$A$1000)*1,("var_fout"=[1]OUT_TransportEnergyCons!$B$3:$B$1000)*1,ISNUMBER(SEARCH("TFHGV",[1]OUT_TransportEnergyCons!$C$3:$C$1000))*1,[1]OUT_TransportEnergyCons!M$3:M$1000)</f>
        <v>2.9022854781340181E-4</v>
      </c>
      <c r="P1629" s="1" cm="1">
        <f t="array" ref="P1629">SUMPRODUCT(("TFHGV-ICENGA"=[1]OUT_TransportEnergyCons!$A$3:$A$1000)*1,("var_fout"=[1]OUT_TransportEnergyCons!$B$3:$B$1000)*1,ISNUMBER(SEARCH("TFHGV",[1]OUT_TransportEnergyCons!$C$3:$C$1000))*1,[1]OUT_TransportEnergyCons!N$3:N$1000)</f>
        <v>2.92033550884126E-4</v>
      </c>
      <c r="Q1629" s="1" cm="1">
        <f t="array" ref="Q1629">SUMPRODUCT(("TFHGV-ICENGA"=[1]OUT_TransportEnergyCons!$A$3:$A$1000)*1,("var_fout"=[1]OUT_TransportEnergyCons!$B$3:$B$1000)*1,ISNUMBER(SEARCH("TFHGV",[1]OUT_TransportEnergyCons!$C$3:$C$1000))*1,[1]OUT_TransportEnergyCons!O$3:O$1000)</f>
        <v>2.9042823023533358E-4</v>
      </c>
      <c r="S1629" s="3"/>
    </row>
    <row r="1630" spans="2:19" x14ac:dyDescent="0.5">
      <c r="B1630" s="2" t="str">
        <f t="shared" si="1791"/>
        <v>SPS1</v>
      </c>
      <c r="C1630" s="2" t="str">
        <f t="shared" si="1792"/>
        <v>CH</v>
      </c>
      <c r="D1630" s="2" t="s">
        <v>1633</v>
      </c>
      <c r="E1630" s="2" t="s">
        <v>1229</v>
      </c>
      <c r="F1630" s="22" t="s">
        <v>292</v>
      </c>
      <c r="G1630" s="22" t="s">
        <v>292</v>
      </c>
      <c r="H1630" s="22" t="s">
        <v>292</v>
      </c>
      <c r="I1630" s="22" t="s">
        <v>292</v>
      </c>
      <c r="J1630" s="22" t="s">
        <v>292</v>
      </c>
      <c r="K1630" s="22" t="s">
        <v>292</v>
      </c>
      <c r="L1630" s="22" t="s">
        <v>292</v>
      </c>
      <c r="M1630" s="22" t="s">
        <v>292</v>
      </c>
      <c r="N1630" s="22" t="s">
        <v>292</v>
      </c>
      <c r="O1630" s="22" t="s">
        <v>292</v>
      </c>
      <c r="P1630" s="22" t="s">
        <v>292</v>
      </c>
      <c r="Q1630" s="22" t="s">
        <v>292</v>
      </c>
      <c r="S1630" s="3"/>
    </row>
    <row r="1631" spans="2:19" x14ac:dyDescent="0.5">
      <c r="B1631" t="str">
        <f t="shared" si="1791"/>
        <v>SPS1</v>
      </c>
      <c r="C1631" t="str">
        <f t="shared" si="1792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829">IFERROR(G1621/G1595,"-")</f>
        <v>-</v>
      </c>
      <c r="H1631" s="1" t="str">
        <f t="shared" si="1829"/>
        <v>-</v>
      </c>
      <c r="I1631" s="1" t="str">
        <f t="shared" si="1829"/>
        <v>-</v>
      </c>
      <c r="J1631" s="1" t="str">
        <f t="shared" si="1829"/>
        <v>-</v>
      </c>
      <c r="K1631" s="1" t="str">
        <f t="shared" si="1829"/>
        <v>-</v>
      </c>
      <c r="L1631" s="1" t="str">
        <f t="shared" ref="L1631:O1631" si="1830">IFERROR(L1621/L1595,"-")</f>
        <v>-</v>
      </c>
      <c r="M1631" s="1" t="str">
        <f t="shared" si="1830"/>
        <v>-</v>
      </c>
      <c r="N1631" s="1" t="str">
        <f t="shared" si="1830"/>
        <v>-</v>
      </c>
      <c r="O1631" s="1" t="str">
        <f t="shared" si="1830"/>
        <v>-</v>
      </c>
      <c r="P1631" s="1" t="str">
        <f>IFERROR(P1621/P1595,"-")</f>
        <v>-</v>
      </c>
      <c r="Q1631" s="1" t="str">
        <f>IFERROR(Q1621/Q1595,"-")</f>
        <v>-</v>
      </c>
      <c r="S1631" s="3"/>
    </row>
    <row r="1632" spans="2:19" x14ac:dyDescent="0.5">
      <c r="B1632" t="str">
        <f t="shared" si="1791"/>
        <v>SPS1</v>
      </c>
      <c r="C1632" t="str">
        <f t="shared" si="1792"/>
        <v>CH</v>
      </c>
      <c r="D1632" t="s">
        <v>1635</v>
      </c>
      <c r="E1632" t="str">
        <f t="shared" ref="E1632:E1639" si="1831">E1631</f>
        <v>km/MJ</v>
      </c>
      <c r="F1632" s="1">
        <f>IFERROR(F1622/F1596,"-")</f>
        <v>0.26872776416540906</v>
      </c>
      <c r="G1632" s="1">
        <f t="shared" ref="G1632:K1632" si="1832">IFERROR(G1622/G1596,"-")</f>
        <v>0.27064896685634066</v>
      </c>
      <c r="H1632" s="1">
        <f t="shared" si="1832"/>
        <v>0.27155655648105609</v>
      </c>
      <c r="I1632" s="1">
        <f t="shared" si="1832"/>
        <v>0.2782796399885169</v>
      </c>
      <c r="J1632" s="1">
        <f t="shared" si="1832"/>
        <v>0.30307635861003229</v>
      </c>
      <c r="K1632" s="1">
        <f t="shared" si="1832"/>
        <v>0.31271475290054279</v>
      </c>
      <c r="L1632" s="1">
        <f t="shared" ref="L1632:O1632" si="1833">IFERROR(L1622/L1596,"-")</f>
        <v>0.3256086316921305</v>
      </c>
      <c r="M1632" s="1">
        <f t="shared" si="1833"/>
        <v>0.33637560411213213</v>
      </c>
      <c r="N1632" s="1">
        <f t="shared" si="1833"/>
        <v>0.33941433665773912</v>
      </c>
      <c r="O1632" s="1">
        <f t="shared" si="1833"/>
        <v>0.33941433665773868</v>
      </c>
      <c r="P1632" s="1">
        <f>IFERROR(P1622/P1596,"-")</f>
        <v>0.33941433665773929</v>
      </c>
      <c r="Q1632" s="1">
        <f>IFERROR(Q1622/Q1596,"-")</f>
        <v>0.33941433665773885</v>
      </c>
      <c r="S1632" s="3"/>
    </row>
    <row r="1633" spans="2:19" x14ac:dyDescent="0.5">
      <c r="B1633" t="str">
        <f t="shared" si="1791"/>
        <v>SPS1</v>
      </c>
      <c r="C1633" t="str">
        <f t="shared" si="1792"/>
        <v>CH</v>
      </c>
      <c r="D1633" t="s">
        <v>1636</v>
      </c>
      <c r="E1633" t="str">
        <f t="shared" si="1831"/>
        <v>km/MJ</v>
      </c>
      <c r="F1633" s="1">
        <f>IFERROR(F1623/F1598,"-")</f>
        <v>0.17445873125089914</v>
      </c>
      <c r="G1633" s="1">
        <f t="shared" ref="G1633:K1633" si="1834">IFERROR(G1623/G1598,"-")</f>
        <v>0.17511529612530247</v>
      </c>
      <c r="H1633" s="1">
        <f t="shared" si="1834"/>
        <v>0.17532222149282528</v>
      </c>
      <c r="I1633" s="1">
        <f t="shared" si="1834"/>
        <v>0.17966346391326957</v>
      </c>
      <c r="J1633" s="1">
        <f t="shared" si="1834"/>
        <v>0.19418387936072218</v>
      </c>
      <c r="K1633" s="1">
        <f t="shared" si="1834"/>
        <v>0.19900590778798874</v>
      </c>
      <c r="L1633" s="1">
        <f t="shared" ref="L1633:O1633" si="1835">IFERROR(L1623/L1598,"-")</f>
        <v>0.20890795798842202</v>
      </c>
      <c r="M1633" s="1">
        <f t="shared" si="1835"/>
        <v>0.21484515056860645</v>
      </c>
      <c r="N1633" s="1">
        <f t="shared" si="1835"/>
        <v>0.21890981102623203</v>
      </c>
      <c r="O1633" s="1">
        <f t="shared" si="1835"/>
        <v>0.21890981102623197</v>
      </c>
      <c r="P1633" s="1">
        <f>IFERROR(P1623/P1598,"-")</f>
        <v>0.21890981102623211</v>
      </c>
      <c r="Q1633" s="1">
        <f>IFERROR(Q1623/Q1598,"-")</f>
        <v>0.21890981102623225</v>
      </c>
      <c r="S1633" s="3"/>
    </row>
    <row r="1634" spans="2:19" x14ac:dyDescent="0.5">
      <c r="B1634" t="str">
        <f t="shared" si="1791"/>
        <v>SPS1</v>
      </c>
      <c r="C1634" t="str">
        <f t="shared" si="1792"/>
        <v>CH</v>
      </c>
      <c r="D1634" t="s">
        <v>1637</v>
      </c>
      <c r="E1634" t="str">
        <f t="shared" si="1831"/>
        <v>km/MJ</v>
      </c>
      <c r="F1634" s="1" t="str">
        <f>IFERROR(F1624/F1604,"-")</f>
        <v>-</v>
      </c>
      <c r="G1634" s="1" t="str">
        <f t="shared" ref="G1634:K1634" si="1836">IFERROR(G1624/G1604,"-")</f>
        <v>-</v>
      </c>
      <c r="H1634" s="1" t="str">
        <f t="shared" si="1836"/>
        <v>-</v>
      </c>
      <c r="I1634" s="1" t="str">
        <f t="shared" si="1836"/>
        <v>-</v>
      </c>
      <c r="J1634" s="1" t="str">
        <f t="shared" si="1836"/>
        <v>-</v>
      </c>
      <c r="K1634" s="1" t="str">
        <f t="shared" si="1836"/>
        <v>-</v>
      </c>
      <c r="L1634" s="1" t="str">
        <f t="shared" ref="L1634:O1634" si="1837">IFERROR(L1624/L1604,"-")</f>
        <v>-</v>
      </c>
      <c r="M1634" s="1" t="str">
        <f t="shared" si="1837"/>
        <v>-</v>
      </c>
      <c r="N1634" s="1" t="str">
        <f t="shared" si="1837"/>
        <v>-</v>
      </c>
      <c r="O1634" s="1" t="str">
        <f t="shared" si="1837"/>
        <v>-</v>
      </c>
      <c r="P1634" s="1" t="str">
        <f>IFERROR(P1624/P1604,"-")</f>
        <v>-</v>
      </c>
      <c r="Q1634" s="1" t="str">
        <f>IFERROR(Q1624/Q1604,"-")</f>
        <v>-</v>
      </c>
      <c r="S1634" s="3"/>
    </row>
    <row r="1635" spans="2:19" x14ac:dyDescent="0.5">
      <c r="B1635" t="str">
        <f t="shared" si="1791"/>
        <v>SPS1</v>
      </c>
      <c r="C1635" t="str">
        <f t="shared" si="1792"/>
        <v>CH</v>
      </c>
      <c r="D1635" t="s">
        <v>1638</v>
      </c>
      <c r="E1635" t="str">
        <f t="shared" si="1831"/>
        <v>km/MJ</v>
      </c>
      <c r="F1635" s="1" t="str">
        <f>IFERROR(F1625/F1605,"-")</f>
        <v>-</v>
      </c>
      <c r="G1635" s="1" t="str">
        <f t="shared" ref="G1635:K1635" si="1838">IFERROR(G1625/G1605,"-")</f>
        <v>-</v>
      </c>
      <c r="H1635" s="1" t="str">
        <f t="shared" si="1838"/>
        <v>-</v>
      </c>
      <c r="I1635" s="1" t="str">
        <f t="shared" si="1838"/>
        <v>-</v>
      </c>
      <c r="J1635" s="1" t="str">
        <f t="shared" si="1838"/>
        <v>-</v>
      </c>
      <c r="K1635" s="1" t="str">
        <f t="shared" si="1838"/>
        <v>-</v>
      </c>
      <c r="L1635" s="1" t="str">
        <f t="shared" ref="L1635:O1635" si="1839">IFERROR(L1625/L1605,"-")</f>
        <v>-</v>
      </c>
      <c r="M1635" s="1" t="str">
        <f t="shared" si="1839"/>
        <v>-</v>
      </c>
      <c r="N1635" s="1" t="str">
        <f t="shared" si="1839"/>
        <v>-</v>
      </c>
      <c r="O1635" s="1" t="str">
        <f t="shared" si="1839"/>
        <v>-</v>
      </c>
      <c r="P1635" s="1" t="str">
        <f>IFERROR(P1625/P1605,"-")</f>
        <v>-</v>
      </c>
      <c r="Q1635" s="1" t="str">
        <f>IFERROR(Q1625/Q1605,"-")</f>
        <v>-</v>
      </c>
      <c r="S1635" s="3"/>
    </row>
    <row r="1636" spans="2:19" x14ac:dyDescent="0.5">
      <c r="B1636" t="str">
        <f t="shared" si="1791"/>
        <v>SPS1</v>
      </c>
      <c r="C1636" t="str">
        <f t="shared" si="1792"/>
        <v>CH</v>
      </c>
      <c r="D1636" t="s">
        <v>1639</v>
      </c>
      <c r="E1636" t="str">
        <f t="shared" si="1831"/>
        <v>km/MJ</v>
      </c>
      <c r="F1636" s="1">
        <f>IFERROR(F1626/F1611,"-")</f>
        <v>8.1953661871669817E-2</v>
      </c>
      <c r="G1636" s="1">
        <f t="shared" ref="G1636:K1636" si="1840">IFERROR(G1626/G1611,"-")</f>
        <v>8.3996210615660219E-2</v>
      </c>
      <c r="H1636" s="1">
        <f t="shared" si="1840"/>
        <v>8.7060033731645906E-2</v>
      </c>
      <c r="I1636" s="1">
        <f t="shared" si="1840"/>
        <v>8.7060033731646017E-2</v>
      </c>
      <c r="J1636" s="1" t="str">
        <f t="shared" si="1840"/>
        <v>-</v>
      </c>
      <c r="K1636" s="1" t="str">
        <f t="shared" si="1840"/>
        <v>-</v>
      </c>
      <c r="L1636" s="1" t="str">
        <f t="shared" ref="L1636:O1636" si="1841">IFERROR(L1626/L1611,"-")</f>
        <v>-</v>
      </c>
      <c r="M1636" s="1" t="str">
        <f t="shared" si="1841"/>
        <v>-</v>
      </c>
      <c r="N1636" s="1" t="str">
        <f t="shared" si="1841"/>
        <v>-</v>
      </c>
      <c r="O1636" s="1" t="str">
        <f t="shared" si="1841"/>
        <v>-</v>
      </c>
      <c r="P1636" s="1" t="str">
        <f t="shared" ref="P1636:Q1638" si="1842">IFERROR(P1626/P1611,"-")</f>
        <v>-</v>
      </c>
      <c r="Q1636" s="1" t="str">
        <f t="shared" si="1842"/>
        <v>-</v>
      </c>
      <c r="S1636" s="3"/>
    </row>
    <row r="1637" spans="2:19" x14ac:dyDescent="0.5">
      <c r="B1637" t="str">
        <f t="shared" si="1791"/>
        <v>SPS1</v>
      </c>
      <c r="C1637" t="str">
        <f t="shared" si="1792"/>
        <v>CH</v>
      </c>
      <c r="D1637" t="s">
        <v>1640</v>
      </c>
      <c r="E1637" t="str">
        <f t="shared" si="1831"/>
        <v>km/MJ</v>
      </c>
      <c r="F1637" s="1">
        <f>IFERROR(F1627/F1612,"-")</f>
        <v>0.11870351496053495</v>
      </c>
      <c r="G1637" s="1">
        <f t="shared" ref="G1637:K1637" si="1843">IFERROR(G1627/G1612,"-")</f>
        <v>0.11870351496053499</v>
      </c>
      <c r="H1637" s="1">
        <f t="shared" si="1843"/>
        <v>0.1187035149605347</v>
      </c>
      <c r="I1637" s="1">
        <f t="shared" si="1843"/>
        <v>0.11870351496053484</v>
      </c>
      <c r="J1637" s="1">
        <f t="shared" si="1843"/>
        <v>0.11870351496053499</v>
      </c>
      <c r="K1637" s="1">
        <f t="shared" si="1843"/>
        <v>0.11870351496053493</v>
      </c>
      <c r="L1637" s="1">
        <f t="shared" ref="L1637:O1637" si="1844">IFERROR(L1627/L1612,"-")</f>
        <v>0.11870351496053491</v>
      </c>
      <c r="M1637" s="1">
        <f t="shared" si="1844"/>
        <v>0.11870351496053498</v>
      </c>
      <c r="N1637" s="1">
        <f t="shared" si="1844"/>
        <v>0.11870351496053505</v>
      </c>
      <c r="O1637" s="1">
        <f t="shared" si="1844"/>
        <v>0.11870351496053497</v>
      </c>
      <c r="P1637" s="1">
        <f t="shared" si="1842"/>
        <v>0.11870351496053502</v>
      </c>
      <c r="Q1637" s="1">
        <f t="shared" si="1842"/>
        <v>0.11870351496053499</v>
      </c>
      <c r="S1637" s="3"/>
    </row>
    <row r="1638" spans="2:19" x14ac:dyDescent="0.5">
      <c r="B1638" t="str">
        <f t="shared" si="1791"/>
        <v>SPS1</v>
      </c>
      <c r="C1638" t="str">
        <f t="shared" si="1792"/>
        <v>CH</v>
      </c>
      <c r="D1638" t="s">
        <v>1641</v>
      </c>
      <c r="E1638" t="str">
        <f t="shared" si="1831"/>
        <v>km/MJ</v>
      </c>
      <c r="F1638" s="1" t="str">
        <f>IFERROR(F1628/F1613,"-")</f>
        <v>-</v>
      </c>
      <c r="G1638" s="1">
        <f t="shared" ref="G1638:K1638" si="1845">IFERROR(G1628/G1613,"-")</f>
        <v>0.1634668520967579</v>
      </c>
      <c r="H1638" s="1">
        <f t="shared" si="1845"/>
        <v>0.16346685209675829</v>
      </c>
      <c r="I1638" s="1">
        <f t="shared" si="1845"/>
        <v>0.16346685209675804</v>
      </c>
      <c r="J1638" s="1">
        <f t="shared" si="1845"/>
        <v>0.16346685209675796</v>
      </c>
      <c r="K1638" s="1">
        <f t="shared" si="1845"/>
        <v>0.16346685209675801</v>
      </c>
      <c r="L1638" s="1">
        <f t="shared" ref="L1638:O1638" si="1846">IFERROR(L1628/L1613,"-")</f>
        <v>0.16346685209675782</v>
      </c>
      <c r="M1638" s="1">
        <f t="shared" si="1846"/>
        <v>0.16346685209675813</v>
      </c>
      <c r="N1638" s="1">
        <f t="shared" si="1846"/>
        <v>0.16346685209675785</v>
      </c>
      <c r="O1638" s="1">
        <f t="shared" si="1846"/>
        <v>0.16346685209675818</v>
      </c>
      <c r="P1638" s="1">
        <f t="shared" si="1842"/>
        <v>0.16346685209675801</v>
      </c>
      <c r="Q1638" s="1">
        <f t="shared" si="1842"/>
        <v>0.1634668520967581</v>
      </c>
      <c r="S1638" s="3"/>
    </row>
    <row r="1639" spans="2:19" x14ac:dyDescent="0.5">
      <c r="B1639" t="str">
        <f t="shared" si="1791"/>
        <v>SPS1</v>
      </c>
      <c r="C1639" t="str">
        <f t="shared" si="1792"/>
        <v>CH</v>
      </c>
      <c r="D1639" t="s">
        <v>1642</v>
      </c>
      <c r="E1639" t="str">
        <f t="shared" si="1831"/>
        <v>km/MJ</v>
      </c>
      <c r="F1639" s="1">
        <f>IFERROR(F1629/F1619,"-")</f>
        <v>0.10322365358776001</v>
      </c>
      <c r="G1639" s="1">
        <f t="shared" ref="G1639:K1639" si="1847">IFERROR(G1629/G1619,"-")</f>
        <v>0.10361789455713467</v>
      </c>
      <c r="H1639" s="1">
        <f t="shared" si="1847"/>
        <v>0.10414659456121844</v>
      </c>
      <c r="I1639" s="1">
        <f t="shared" si="1847"/>
        <v>0.10990847191535662</v>
      </c>
      <c r="J1639" s="1">
        <f t="shared" si="1847"/>
        <v>0.11537271709015348</v>
      </c>
      <c r="K1639" s="1">
        <f t="shared" si="1847"/>
        <v>0.11788716857721232</v>
      </c>
      <c r="L1639" s="1">
        <f t="shared" ref="L1639:O1639" si="1848">IFERROR(L1629/L1619,"-")</f>
        <v>0.1244729805398565</v>
      </c>
      <c r="M1639" s="1">
        <f t="shared" si="1848"/>
        <v>0.12704676919848959</v>
      </c>
      <c r="N1639" s="1">
        <f t="shared" si="1848"/>
        <v>0.12938761514899313</v>
      </c>
      <c r="O1639" s="1">
        <f t="shared" si="1848"/>
        <v>0.12938761514899313</v>
      </c>
      <c r="P1639" s="1">
        <f>IFERROR(P1629/P1619,"-")</f>
        <v>0.12938761514899294</v>
      </c>
      <c r="Q1639" s="1">
        <f>IFERROR(Q1629/Q1619,"-")</f>
        <v>0.129387615148993</v>
      </c>
      <c r="S1639" s="3"/>
    </row>
    <row r="1640" spans="2:19" x14ac:dyDescent="0.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10.966836589904624</v>
      </c>
      <c r="G1640" s="1">
        <f t="shared" ref="G1640:K1640" si="1849">G1641+G1645+G1649+G1655</f>
        <v>10.359565309068364</v>
      </c>
      <c r="H1640" s="1">
        <f t="shared" si="1849"/>
        <v>11.550676794970158</v>
      </c>
      <c r="I1640" s="1">
        <f t="shared" si="1849"/>
        <v>12.708727658858477</v>
      </c>
      <c r="J1640" s="1">
        <f t="shared" si="1849"/>
        <v>14.050246201629026</v>
      </c>
      <c r="K1640" s="1">
        <f t="shared" si="1849"/>
        <v>14.326490324064796</v>
      </c>
      <c r="L1640" s="1">
        <f t="shared" ref="L1640:O1640" si="1850">L1641+L1645+L1649+L1655</f>
        <v>14.964144058546385</v>
      </c>
      <c r="M1640" s="1">
        <f t="shared" si="1850"/>
        <v>14.989442959902844</v>
      </c>
      <c r="N1640" s="1">
        <f t="shared" si="1850"/>
        <v>15.594461583860168</v>
      </c>
      <c r="O1640" s="1">
        <f t="shared" si="1850"/>
        <v>18.899171127574906</v>
      </c>
      <c r="P1640" s="1">
        <f>P1641+P1645+P1649+P1655</f>
        <v>20.88219051158659</v>
      </c>
      <c r="Q1640" s="1">
        <f>Q1641+Q1645+Q1649+Q1655</f>
        <v>21.414874843975017</v>
      </c>
      <c r="S1640" s="3"/>
    </row>
    <row r="1641" spans="2:19" x14ac:dyDescent="0.5">
      <c r="B1641" t="str">
        <f t="shared" ref="B1641:B1662" si="1851">B1640</f>
        <v>SPS1</v>
      </c>
      <c r="C1641" t="str">
        <f t="shared" ref="C1641:C1687" si="1852">C1640</f>
        <v>CH</v>
      </c>
      <c r="D1641" t="s">
        <v>1652</v>
      </c>
      <c r="E1641" t="s">
        <v>8</v>
      </c>
      <c r="F1641" s="1">
        <f>SUM(F1642:F1644)</f>
        <v>9.2070288261762663</v>
      </c>
      <c r="G1641" s="1">
        <f t="shared" ref="G1641:K1641" si="1853">SUM(G1642:G1644)</f>
        <v>9.5633260703270491</v>
      </c>
      <c r="H1641" s="1">
        <f t="shared" si="1853"/>
        <v>9.9541390969969363</v>
      </c>
      <c r="I1641" s="1">
        <f t="shared" si="1853"/>
        <v>10.606078963364938</v>
      </c>
      <c r="J1641" s="1">
        <f t="shared" si="1853"/>
        <v>11.359745451863812</v>
      </c>
      <c r="K1641" s="1">
        <f t="shared" si="1853"/>
        <v>12.665159433535949</v>
      </c>
      <c r="L1641" s="1">
        <f t="shared" ref="L1641:O1641" si="1854">SUM(L1642:L1644)</f>
        <v>14.14145868807323</v>
      </c>
      <c r="M1641" s="1">
        <f t="shared" si="1854"/>
        <v>14.988552551847169</v>
      </c>
      <c r="N1641" s="1">
        <f t="shared" si="1854"/>
        <v>15.593544798676184</v>
      </c>
      <c r="O1641" s="1">
        <f t="shared" si="1854"/>
        <v>18.897949002450446</v>
      </c>
      <c r="P1641" s="1">
        <f>SUM(P1642:P1644)</f>
        <v>20.881016373644584</v>
      </c>
      <c r="Q1641" s="1">
        <f>SUM(Q1642:Q1644)</f>
        <v>21.412090389931514</v>
      </c>
      <c r="S1641" s="3"/>
    </row>
    <row r="1642" spans="2:19" x14ac:dyDescent="0.5">
      <c r="B1642" t="str">
        <f t="shared" si="1851"/>
        <v>SPS1</v>
      </c>
      <c r="C1642" t="str">
        <f t="shared" si="1852"/>
        <v>CH</v>
      </c>
      <c r="D1642" t="s">
        <v>1653</v>
      </c>
      <c r="E1642" t="str">
        <f t="shared" ref="E1642:E1644" si="185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SUMPRODUCT(("TPRLPELCEXT"=[1]OUT_TransportEnergyCons!$A$3:$A$1000)*1,("Var_Fin"=[1]OUT_TransportEnergyCons!$B$3:$B$1000)*1,ISNUMBER(SEARCH("ELC",[1]OUT_TransportEnergyCons!$C$3:$C$1000))*1,[1]OUT_TransportEnergyCons!H$3:H$1000)</f>
        <v>9.2102053769306007</v>
      </c>
      <c r="K1642" s="1" cm="1">
        <f t="array" ref="K1642">SUMPRODUCT(("TPRLPELCEXT"=[1]OUT_TransportEnergyCons!$A$3:$A$1000)*1,("Var_Fin"=[1]OUT_TransportEnergyCons!$B$3:$B$1000)*1,ISNUMBER(SEARCH("ELC",[1]OUT_TransportEnergyCons!$C$3:$C$1000))*1,[1]OUT_TransportEnergyCons!I$3:I$1000)</f>
        <v>9.7091188730704641</v>
      </c>
      <c r="L1642" s="1" cm="1">
        <f t="array" ref="L1642">SUMPRODUCT(("TPRLPELCEXT"=[1]OUT_TransportEnergyCons!$A$3:$A$1000)*1,("Var_Fin"=[1]OUT_TransportEnergyCons!$B$3:$B$1000)*1,ISNUMBER(SEARCH("ELC",[1]OUT_TransportEnergyCons!$C$3:$C$1000))*1,[1]OUT_TransportEnergyCons!J$3:J$1000)</f>
        <v>10.080427206033708</v>
      </c>
      <c r="M1642" s="1" cm="1">
        <f t="array" ref="M1642">SUMPRODUCT(("TPRLPELCEXT"=[1]OUT_TransportEnergyCons!$A$3:$A$1000)*1,("Var_Fin"=[1]OUT_TransportEnergyCons!$B$3:$B$1000)*1,ISNUMBER(SEARCH("ELC",[1]OUT_TransportEnergyCons!$C$3:$C$1000))*1,[1]OUT_TransportEnergyCons!K$3:K$1000)</f>
        <v>10.452283766253602</v>
      </c>
      <c r="N1642" s="1" cm="1">
        <f t="array" ref="N1642">SUMPRODUCT(("TPRLPELCEXT"=[1]OUT_TransportEnergyCons!$A$3:$A$1000)*1,("Var_Fin"=[1]OUT_TransportEnergyCons!$B$3:$B$1000)*1,ISNUMBER(SEARCH("ELC",[1]OUT_TransportEnergyCons!$C$3:$C$1000))*1,[1]OUT_TransportEnergyCons!L$3:L$1000)</f>
        <v>10.945783245960422</v>
      </c>
      <c r="O1642" s="1" cm="1">
        <f t="array" ref="O1642">SUMPRODUCT(("TPRLPELCEXT"=[1]OUT_TransportEnergyCons!$A$3:$A$1000)*1,("Var_Fin"=[1]OUT_TransportEnergyCons!$B$3:$B$1000)*1,ISNUMBER(SEARCH("ELC",[1]OUT_TransportEnergyCons!$C$3:$C$1000))*1,[1]OUT_TransportEnergyCons!M$3:M$1000)</f>
        <v>11.437985234932183</v>
      </c>
      <c r="P1642" s="1" cm="1">
        <f t="array" ref="P1642">SUMPRODUCT(("TPRLPELCEXT"=[1]OUT_TransportEnergyCons!$A$3:$A$1000)*1,("Var_Fin"=[1]OUT_TransportEnergyCons!$B$3:$B$1000)*1,ISNUMBER(SEARCH("ELC",[1]OUT_TransportEnergyCons!$C$3:$C$1000))*1,[1]OUT_TransportEnergyCons!N$3:N$1000)</f>
        <v>11.92912504157718</v>
      </c>
      <c r="Q1642" s="1" cm="1">
        <f t="array" ref="Q1642">SUMPRODUCT(("TPRLPELCEXT"=[1]OUT_TransportEnergyCons!$A$3:$A$1000)*1,("Var_Fin"=[1]OUT_TransportEnergyCons!$B$3:$B$1000)*1,ISNUMBER(SEARCH("ELC",[1]OUT_TransportEnergyCons!$C$3:$C$1000))*1,[1]OUT_TransportEnergyCons!O$3:O$1000)</f>
        <v>12.418644575905004</v>
      </c>
      <c r="S1642" s="3"/>
    </row>
    <row r="1643" spans="2:19" x14ac:dyDescent="0.5">
      <c r="B1643" t="str">
        <f t="shared" si="1851"/>
        <v>SPS1</v>
      </c>
      <c r="C1643" t="str">
        <f t="shared" si="1852"/>
        <v>CH</v>
      </c>
      <c r="D1643" t="s">
        <v>1654</v>
      </c>
      <c r="E1643" t="str">
        <f t="shared" si="185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1.5023088130753199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1.6574187930215014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1.7462288644172526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1.8942536323938914</v>
      </c>
      <c r="J1643" s="1" cm="1">
        <f t="array" ref="J1643">SUMPRODUCT(("TFRLFELCEXT"=[1]OUT_TransportEnergyCons!$A$3:$A$1000)*1,("Var_Fin"=[1]OUT_TransportEnergyCons!$B$3:$B$1000)*1,ISNUMBER(SEARCH("ELC",[1]OUT_TransportEnergyCons!$C$3:$C$1000))*1,[1]OUT_TransportEnergyCons!H$3:H$1000)</f>
        <v>1.9813015902510784</v>
      </c>
      <c r="K1643" s="1" cm="1">
        <f t="array" ref="K1643">SUMPRODUCT(("TFRLFELCEXT"=[1]OUT_TransportEnergyCons!$A$3:$A$1000)*1,("Var_Fin"=[1]OUT_TransportEnergyCons!$B$3:$B$1000)*1,ISNUMBER(SEARCH("ELC",[1]OUT_TransportEnergyCons!$C$3:$C$1000))*1,[1]OUT_TransportEnergyCons!I$3:I$1000)</f>
        <v>2.028006604767381</v>
      </c>
      <c r="L1643" s="1" cm="1">
        <f t="array" ref="L1643">SUMPRODUCT(("TFRLFELCEXT"=[1]OUT_TransportEnergyCons!$A$3:$A$1000)*1,("Var_Fin"=[1]OUT_TransportEnergyCons!$B$3:$B$1000)*1,ISNUMBER(SEARCH("ELC",[1]OUT_TransportEnergyCons!$C$3:$C$1000))*1,[1]OUT_TransportEnergyCons!J$3:J$1000)</f>
        <v>2.1040930334567318</v>
      </c>
      <c r="M1643" s="1" cm="1">
        <f t="array" ref="M1643">SUMPRODUCT(("TFRLFELCEXT"=[1]OUT_TransportEnergyCons!$A$3:$A$1000)*1,("Var_Fin"=[1]OUT_TransportEnergyCons!$B$3:$B$1000)*1,ISNUMBER(SEARCH("ELC",[1]OUT_TransportEnergyCons!$C$3:$C$1000))*1,[1]OUT_TransportEnergyCons!K$3:K$1000)</f>
        <v>2.1801338301597211</v>
      </c>
      <c r="N1643" s="1" cm="1">
        <f t="array" ref="N1643">SUMPRODUCT(("TFRLFELCEXT"=[1]OUT_TransportEnergyCons!$A$3:$A$1000)*1,("Var_Fin"=[1]OUT_TransportEnergyCons!$B$3:$B$1000)*1,ISNUMBER(SEARCH("ELC",[1]OUT_TransportEnergyCons!$C$3:$C$1000))*1,[1]OUT_TransportEnergyCons!L$3:L$1000)</f>
        <v>2.2147621833927489</v>
      </c>
      <c r="O1643" s="1" cm="1">
        <f t="array" ref="O1643">SUMPRODUCT(("TFRLFELCEXT"=[1]OUT_TransportEnergyCons!$A$3:$A$1000)*1,("Var_Fin"=[1]OUT_TransportEnergyCons!$B$3:$B$1000)*1,ISNUMBER(SEARCH("ELC",[1]OUT_TransportEnergyCons!$C$3:$C$1000))*1,[1]OUT_TransportEnergyCons!M$3:M$1000)</f>
        <v>2.2669865838592225</v>
      </c>
      <c r="P1643" s="1" cm="1">
        <f t="array" ref="P1643">SUMPRODUCT(("TFRLFELCEXT"=[1]OUT_TransportEnergyCons!$A$3:$A$1000)*1,("Var_Fin"=[1]OUT_TransportEnergyCons!$B$3:$B$1000)*1,ISNUMBER(SEARCH("ELC",[1]OUT_TransportEnergyCons!$C$3:$C$1000))*1,[1]OUT_TransportEnergyCons!N$3:N$1000)</f>
        <v>2.2819132559904562</v>
      </c>
      <c r="Q1643" s="1" cm="1">
        <f t="array" ref="Q1643">SUMPRODUCT(("TFRLFELCEXT"=[1]OUT_TransportEnergyCons!$A$3:$A$1000)*1,("Var_Fin"=[1]OUT_TransportEnergyCons!$B$3:$B$1000)*1,ISNUMBER(SEARCH("ELC",[1]OUT_TransportEnergyCons!$C$3:$C$1000))*1,[1]OUT_TransportEnergyCons!O$3:O$1000)</f>
        <v>2.3110755482577798</v>
      </c>
      <c r="S1643" s="3"/>
    </row>
    <row r="1644" spans="2:19" x14ac:dyDescent="0.5">
      <c r="B1644" t="str">
        <f t="shared" si="1851"/>
        <v>SPS1</v>
      </c>
      <c r="C1644" t="str">
        <f t="shared" si="1852"/>
        <v>CH</v>
      </c>
      <c r="D1644" t="s">
        <v>1655</v>
      </c>
      <c r="E1644" t="str">
        <f t="shared" si="185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1.8404546237257952E-6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8.780275330350784E-6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1.5333794966710099E-5</v>
      </c>
      <c r="J1644" s="1" cm="1">
        <f t="array" ref="J1644">SUMPRODUCT(("TPSHPELCEXT"=[1]OUT_TransportEnergyCons!$A$3:$A$1000)*1,("Var_Fin"=[1]OUT_TransportEnergyCons!$B$3:$B$1000)*1,ISNUMBER(SEARCH("ELC",[1]OUT_TransportEnergyCons!$C$3:$C$1000))*1,[1]OUT_TransportEnergyCons!H$3:H$1000)+[1]Transport_Aviation_Intl!F$13</f>
        <v>0.16823848468213246</v>
      </c>
      <c r="K1644" s="1" cm="1">
        <f t="array" ref="K1644">SUMPRODUCT(("TPSHPELCEXT"=[1]OUT_TransportEnergyCons!$A$3:$A$1000)*1,("Var_Fin"=[1]OUT_TransportEnergyCons!$B$3:$B$1000)*1,ISNUMBER(SEARCH("ELC",[1]OUT_TransportEnergyCons!$C$3:$C$1000))*1,[1]OUT_TransportEnergyCons!I$3:I$1000)+[1]Transport_Aviation_Intl!G$13</f>
        <v>0.92803395569810487</v>
      </c>
      <c r="L1644" s="1" cm="1">
        <f t="array" ref="L1644">SUMPRODUCT(("TPSHPELCEXT"=[1]OUT_TransportEnergyCons!$A$3:$A$1000)*1,("Var_Fin"=[1]OUT_TransportEnergyCons!$B$3:$B$1000)*1,ISNUMBER(SEARCH("ELC",[1]OUT_TransportEnergyCons!$C$3:$C$1000))*1,[1]OUT_TransportEnergyCons!J$3:J$1000)+[1]Transport_Aviation_Intl!H$13</f>
        <v>1.956938448582791</v>
      </c>
      <c r="M1644" s="1" cm="1">
        <f t="array" ref="M1644">SUMPRODUCT(("TPSHPELCEXT"=[1]OUT_TransportEnergyCons!$A$3:$A$1000)*1,("Var_Fin"=[1]OUT_TransportEnergyCons!$B$3:$B$1000)*1,ISNUMBER(SEARCH("ELC",[1]OUT_TransportEnergyCons!$C$3:$C$1000))*1,[1]OUT_TransportEnergyCons!K$3:K$1000)+[1]Transport_Aviation_Intl!I$13</f>
        <v>2.3561349554338467</v>
      </c>
      <c r="N1644" s="1" cm="1">
        <f t="array" ref="N1644">SUMPRODUCT(("TPSHPELCEXT"=[1]OUT_TransportEnergyCons!$A$3:$A$1000)*1,("Var_Fin"=[1]OUT_TransportEnergyCons!$B$3:$B$1000)*1,ISNUMBER(SEARCH("ELC",[1]OUT_TransportEnergyCons!$C$3:$C$1000))*1,[1]OUT_TransportEnergyCons!L$3:L$1000)+[1]Transport_Aviation_Intl!J$13</f>
        <v>2.4329993693230136</v>
      </c>
      <c r="O1644" s="1" cm="1">
        <f t="array" ref="O1644">SUMPRODUCT(("TPSHPELCEXT"=[1]OUT_TransportEnergyCons!$A$3:$A$1000)*1,("Var_Fin"=[1]OUT_TransportEnergyCons!$B$3:$B$1000)*1,ISNUMBER(SEARCH("ELC",[1]OUT_TransportEnergyCons!$C$3:$C$1000))*1,[1]OUT_TransportEnergyCons!M$3:M$1000)+[1]Transport_Aviation_Intl!K$13</f>
        <v>5.1929771836590408</v>
      </c>
      <c r="P1644" s="1" cm="1">
        <f t="array" ref="P1644">SUMPRODUCT(("TPSHPELCEXT"=[1]OUT_TransportEnergyCons!$A$3:$A$1000)*1,("Var_Fin"=[1]OUT_TransportEnergyCons!$B$3:$B$1000)*1,ISNUMBER(SEARCH("ELC",[1]OUT_TransportEnergyCons!$C$3:$C$1000))*1,[1]OUT_TransportEnergyCons!N$3:N$1000)+[1]Transport_Aviation_Intl!L$13</f>
        <v>6.6699780760769496</v>
      </c>
      <c r="Q1644" s="1" cm="1">
        <f t="array" ref="Q1644">SUMPRODUCT(("TPSHPELCEXT"=[1]OUT_TransportEnergyCons!$A$3:$A$1000)*1,("Var_Fin"=[1]OUT_TransportEnergyCons!$B$3:$B$1000)*1,ISNUMBER(SEARCH("ELC",[1]OUT_TransportEnergyCons!$C$3:$C$1000))*1,[1]OUT_TransportEnergyCons!O$3:O$1000)+[1]Transport_Aviation_Intl!M$13</f>
        <v>6.6823702657687303</v>
      </c>
      <c r="S1644" s="3"/>
    </row>
    <row r="1645" spans="2:19" x14ac:dyDescent="0.5">
      <c r="B1645" t="str">
        <f t="shared" si="1851"/>
        <v>SPS1</v>
      </c>
      <c r="C1645" t="str">
        <f t="shared" si="185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856">SUM(G1646:G1648)</f>
        <v>0</v>
      </c>
      <c r="H1645" s="1">
        <f t="shared" si="1856"/>
        <v>0</v>
      </c>
      <c r="I1645" s="1">
        <f t="shared" si="1856"/>
        <v>0</v>
      </c>
      <c r="J1645" s="1">
        <f t="shared" si="1856"/>
        <v>3.2096174054404596E-5</v>
      </c>
      <c r="K1645" s="1">
        <f t="shared" si="1856"/>
        <v>4.9377644417243009E-4</v>
      </c>
      <c r="L1645" s="1">
        <f t="shared" ref="L1645:O1645" si="1857">SUM(L1646:L1648)</f>
        <v>6.1839876626631747E-4</v>
      </c>
      <c r="M1645" s="1">
        <f t="shared" si="1857"/>
        <v>8.9040805567477217E-4</v>
      </c>
      <c r="N1645" s="1">
        <f t="shared" si="1857"/>
        <v>9.1678518398367003E-4</v>
      </c>
      <c r="O1645" s="1">
        <f t="shared" si="1857"/>
        <v>1.2221251244614784E-3</v>
      </c>
      <c r="P1645" s="1">
        <f>SUM(P1646:P1648)</f>
        <v>1.1741379420060632E-3</v>
      </c>
      <c r="Q1645" s="1">
        <f>SUM(Q1646:Q1648)</f>
        <v>2.7844540435017382E-3</v>
      </c>
      <c r="S1645" s="3"/>
    </row>
    <row r="1646" spans="2:19" x14ac:dyDescent="0.5">
      <c r="B1646" t="str">
        <f t="shared" si="1851"/>
        <v>SPS1</v>
      </c>
      <c r="C1646" t="str">
        <f t="shared" si="1852"/>
        <v>CH</v>
      </c>
      <c r="D1646" t="s">
        <v>1657</v>
      </c>
      <c r="E1646" t="str">
        <f t="shared" ref="E1646:E1648" si="185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SUMPRODUCT(("TPRLPH2OFCL"=[1]OUT_TransportEnergyCons!$A$3:$A$1000)*1,("Var_Fin"=[1]OUT_TransportEnergyCons!$B$3:$B$1000)*1,ISNUMBER(SEARCH("h2",[1]OUT_TransportEnergyCons!$C$3:$C$1000))*1,[1]OUT_TransportEnergyCons!H$3:H$1000)</f>
        <v>0</v>
      </c>
      <c r="K1646" s="1" cm="1">
        <f t="array" ref="K1646">SUMPRODUCT(("TPRLPH2OFCL"=[1]OUT_TransportEnergyCons!$A$3:$A$1000)*1,("Var_Fin"=[1]OUT_TransportEnergyCons!$B$3:$B$1000)*1,ISNUMBER(SEARCH("h2",[1]OUT_TransportEnergyCons!$C$3:$C$1000))*1,[1]OUT_TransportEnergyCons!I$3:I$1000)</f>
        <v>2.6740457145556131E-4</v>
      </c>
      <c r="L1646" s="1" cm="1">
        <f t="array" ref="L1646">SUMPRODUCT(("TPRLPH2OFCL"=[1]OUT_TransportEnergyCons!$A$3:$A$1000)*1,("Var_Fin"=[1]OUT_TransportEnergyCons!$B$3:$B$1000)*1,ISNUMBER(SEARCH("h2",[1]OUT_TransportEnergyCons!$C$3:$C$1000))*1,[1]OUT_TransportEnergyCons!J$3:J$1000)</f>
        <v>3.3737655935536559E-4</v>
      </c>
      <c r="M1646" s="1" cm="1">
        <f t="array" ref="M1646">SUMPRODUCT(("TPRLPH2OFCL"=[1]OUT_TransportEnergyCons!$A$3:$A$1000)*1,("Var_Fin"=[1]OUT_TransportEnergyCons!$B$3:$B$1000)*1,ISNUMBER(SEARCH("h2",[1]OUT_TransportEnergyCons!$C$3:$C$1000))*1,[1]OUT_TransportEnergyCons!K$3:K$1000)</f>
        <v>3.8683320443899958E-4</v>
      </c>
      <c r="N1646" s="1" cm="1">
        <f t="array" ref="N1646">SUMPRODUCT(("TPRLPH2OFCL"=[1]OUT_TransportEnergyCons!$A$3:$A$1000)*1,("Var_Fin"=[1]OUT_TransportEnergyCons!$B$3:$B$1000)*1,ISNUMBER(SEARCH("h2",[1]OUT_TransportEnergyCons!$C$3:$C$1000))*1,[1]OUT_TransportEnergyCons!L$3:L$1000)</f>
        <v>3.9728740317138199E-4</v>
      </c>
      <c r="O1646" s="1" cm="1">
        <f t="array" ref="O1646">SUMPRODUCT(("TPRLPH2OFCL"=[1]OUT_TransportEnergyCons!$A$3:$A$1000)*1,("Var_Fin"=[1]OUT_TransportEnergyCons!$B$3:$B$1000)*1,ISNUMBER(SEARCH("h2",[1]OUT_TransportEnergyCons!$C$3:$C$1000))*1,[1]OUT_TransportEnergyCons!M$3:M$1000)</f>
        <v>5.3838968841169268E-4</v>
      </c>
      <c r="P1646" s="1" cm="1">
        <f t="array" ref="P1646">SUMPRODUCT(("TPRLPH2OFCL"=[1]OUT_TransportEnergyCons!$A$3:$A$1000)*1,("Var_Fin"=[1]OUT_TransportEnergyCons!$B$3:$B$1000)*1,ISNUMBER(SEARCH("h2",[1]OUT_TransportEnergyCons!$C$3:$C$1000))*1,[1]OUT_TransportEnergyCons!N$3:N$1000)</f>
        <v>5.0634450933076706E-4</v>
      </c>
      <c r="Q1646" s="1" cm="1">
        <f t="array" ref="Q1646">SUMPRODUCT(("TPRLPH2OFCL"=[1]OUT_TransportEnergyCons!$A$3:$A$1000)*1,("Var_Fin"=[1]OUT_TransportEnergyCons!$B$3:$B$1000)*1,ISNUMBER(SEARCH("h2",[1]OUT_TransportEnergyCons!$C$3:$C$1000))*1,[1]OUT_TransportEnergyCons!O$3:O$1000)</f>
        <v>1.0408043630594404E-3</v>
      </c>
      <c r="S1646" s="3"/>
    </row>
    <row r="1647" spans="2:19" x14ac:dyDescent="0.5">
      <c r="B1647" t="str">
        <f t="shared" si="1851"/>
        <v>SPS1</v>
      </c>
      <c r="C1647" t="str">
        <f t="shared" si="1852"/>
        <v>CH</v>
      </c>
      <c r="D1647" t="s">
        <v>1658</v>
      </c>
      <c r="E1647" t="str">
        <f t="shared" si="185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SUMPRODUCT(("TFRLFH2OFCL"=[1]OUT_TransportEnergyCons!$A$3:$A$1000)*1,("Var_Fin"=[1]OUT_TransportEnergyCons!$B$3:$B$1000)*1,ISNUMBER(SEARCH("h2",[1]OUT_TransportEnergyCons!$C$3:$C$1000))*1,[1]OUT_TransportEnergyCons!H$3:H$1000)</f>
        <v>0</v>
      </c>
      <c r="K1647" s="1" cm="1">
        <f t="array" ref="K1647">SUMPRODUCT(("TFRLFH2OFCL"=[1]OUT_TransportEnergyCons!$A$3:$A$1000)*1,("Var_Fin"=[1]OUT_TransportEnergyCons!$B$3:$B$1000)*1,ISNUMBER(SEARCH("h2",[1]OUT_TransportEnergyCons!$C$3:$C$1000))*1,[1]OUT_TransportEnergyCons!I$3:I$1000)</f>
        <v>1.9082475318649017E-4</v>
      </c>
      <c r="L1647" s="1" cm="1">
        <f t="array" ref="L1647">SUMPRODUCT(("TFRLFH2OFCL"=[1]OUT_TransportEnergyCons!$A$3:$A$1000)*1,("Var_Fin"=[1]OUT_TransportEnergyCons!$B$3:$B$1000)*1,ISNUMBER(SEARCH("h2",[1]OUT_TransportEnergyCons!$C$3:$C$1000))*1,[1]OUT_TransportEnergyCons!J$3:J$1000)</f>
        <v>2.3192826018929519E-4</v>
      </c>
      <c r="M1647" s="1" cm="1">
        <f t="array" ref="M1647">SUMPRODUCT(("TFRLFH2OFCL"=[1]OUT_TransportEnergyCons!$A$3:$A$1000)*1,("Var_Fin"=[1]OUT_TransportEnergyCons!$B$3:$B$1000)*1,ISNUMBER(SEARCH("h2",[1]OUT_TransportEnergyCons!$C$3:$C$1000))*1,[1]OUT_TransportEnergyCons!K$3:K$1000)</f>
        <v>4.3300673569210537E-4</v>
      </c>
      <c r="N1647" s="1" cm="1">
        <f t="array" ref="N1647">SUMPRODUCT(("TFRLFH2OFCL"=[1]OUT_TransportEnergyCons!$A$3:$A$1000)*1,("Var_Fin"=[1]OUT_TransportEnergyCons!$B$3:$B$1000)*1,ISNUMBER(SEARCH("h2",[1]OUT_TransportEnergyCons!$C$3:$C$1000))*1,[1]OUT_TransportEnergyCons!L$3:L$1000)</f>
        <v>4.4538294326501376E-4</v>
      </c>
      <c r="O1647" s="1" cm="1">
        <f t="array" ref="O1647">SUMPRODUCT(("TFRLFH2OFCL"=[1]OUT_TransportEnergyCons!$A$3:$A$1000)*1,("Var_Fin"=[1]OUT_TransportEnergyCons!$B$3:$B$1000)*1,ISNUMBER(SEARCH("h2",[1]OUT_TransportEnergyCons!$C$3:$C$1000))*1,[1]OUT_TransportEnergyCons!M$3:M$1000)</f>
        <v>5.9494653160841306E-4</v>
      </c>
      <c r="P1647" s="1" cm="1">
        <f t="array" ref="P1647">SUMPRODUCT(("TFRLFH2OFCL"=[1]OUT_TransportEnergyCons!$A$3:$A$1000)*1,("Var_Fin"=[1]OUT_TransportEnergyCons!$B$3:$B$1000)*1,ISNUMBER(SEARCH("h2",[1]OUT_TransportEnergyCons!$C$3:$C$1000))*1,[1]OUT_TransportEnergyCons!N$3:N$1000)</f>
        <v>5.7400916072288964E-4</v>
      </c>
      <c r="Q1647" s="1" cm="1">
        <f t="array" ref="Q1647">SUMPRODUCT(("TFRLFH2OFCL"=[1]OUT_TransportEnergyCons!$A$3:$A$1000)*1,("Var_Fin"=[1]OUT_TransportEnergyCons!$B$3:$B$1000)*1,ISNUMBER(SEARCH("h2",[1]OUT_TransportEnergyCons!$C$3:$C$1000))*1,[1]OUT_TransportEnergyCons!O$3:O$1000)</f>
        <v>1.6405083190369194E-3</v>
      </c>
      <c r="S1647" s="3"/>
    </row>
    <row r="1648" spans="2:19" x14ac:dyDescent="0.5">
      <c r="B1648" t="str">
        <f t="shared" si="1851"/>
        <v>SPS1</v>
      </c>
      <c r="C1648" t="str">
        <f t="shared" si="1852"/>
        <v>CH</v>
      </c>
      <c r="D1648" t="s">
        <v>1659</v>
      </c>
      <c r="E1648" t="str">
        <f t="shared" si="185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SUMPRODUCT(("TPSHPH2OEXT"=[1]OUT_TransportEnergyCons!$A$3:$A$1000)*1,("Var_Fin"=[1]OUT_TransportEnergyCons!$B$3:$B$1000)*1,ISNUMBER(SEARCH("h2",[1]OUT_TransportEnergyCons!$C$3:$C$1000))*1,[1]OUT_TransportEnergyCons!H$3:H$1000)+[1]Transport_Aviation_Intl!F$14</f>
        <v>3.2096174054404596E-5</v>
      </c>
      <c r="K1648" s="1" cm="1">
        <f t="array" ref="K1648">SUMPRODUCT(("TPSHPH2OEXT"=[1]OUT_TransportEnergyCons!$A$3:$A$1000)*1,("Var_Fin"=[1]OUT_TransportEnergyCons!$B$3:$B$1000)*1,ISNUMBER(SEARCH("h2",[1]OUT_TransportEnergyCons!$C$3:$C$1000))*1,[1]OUT_TransportEnergyCons!I$3:I$1000)+[1]Transport_Aviation_Intl!G$14</f>
        <v>3.5547119530378566E-5</v>
      </c>
      <c r="L1648" s="1" cm="1">
        <f t="array" ref="L1648">SUMPRODUCT(("TPSHPH2OEXT"=[1]OUT_TransportEnergyCons!$A$3:$A$1000)*1,("Var_Fin"=[1]OUT_TransportEnergyCons!$B$3:$B$1000)*1,ISNUMBER(SEARCH("h2",[1]OUT_TransportEnergyCons!$C$3:$C$1000))*1,[1]OUT_TransportEnergyCons!J$3:J$1000)+[1]Transport_Aviation_Intl!H$14</f>
        <v>4.9093946721656784E-5</v>
      </c>
      <c r="M1648" s="1" cm="1">
        <f t="array" ref="M1648">SUMPRODUCT(("TPSHPH2OEXT"=[1]OUT_TransportEnergyCons!$A$3:$A$1000)*1,("Var_Fin"=[1]OUT_TransportEnergyCons!$B$3:$B$1000)*1,ISNUMBER(SEARCH("h2",[1]OUT_TransportEnergyCons!$C$3:$C$1000))*1,[1]OUT_TransportEnergyCons!K$3:K$1000)+[1]Transport_Aviation_Intl!I$14</f>
        <v>7.0568115543667183E-5</v>
      </c>
      <c r="N1648" s="1" cm="1">
        <f t="array" ref="N1648">SUMPRODUCT(("TPSHPH2OEXT"=[1]OUT_TransportEnergyCons!$A$3:$A$1000)*1,("Var_Fin"=[1]OUT_TransportEnergyCons!$B$3:$B$1000)*1,ISNUMBER(SEARCH("h2",[1]OUT_TransportEnergyCons!$C$3:$C$1000))*1,[1]OUT_TransportEnergyCons!L$3:L$1000)+[1]Transport_Aviation_Intl!J$14</f>
        <v>7.4114837547274281E-5</v>
      </c>
      <c r="O1648" s="1" cm="1">
        <f t="array" ref="O1648">SUMPRODUCT(("TPSHPH2OEXT"=[1]OUT_TransportEnergyCons!$A$3:$A$1000)*1,("Var_Fin"=[1]OUT_TransportEnergyCons!$B$3:$B$1000)*1,ISNUMBER(SEARCH("h2",[1]OUT_TransportEnergyCons!$C$3:$C$1000))*1,[1]OUT_TransportEnergyCons!M$3:M$1000)+[1]Transport_Aviation_Intl!K$14</f>
        <v>8.8788904441372603E-5</v>
      </c>
      <c r="P1648" s="1" cm="1">
        <f t="array" ref="P1648">SUMPRODUCT(("TPSHPH2OEXT"=[1]OUT_TransportEnergyCons!$A$3:$A$1000)*1,("Var_Fin"=[1]OUT_TransportEnergyCons!$B$3:$B$1000)*1,ISNUMBER(SEARCH("h2",[1]OUT_TransportEnergyCons!$C$3:$C$1000))*1,[1]OUT_TransportEnergyCons!N$3:N$1000)+[1]Transport_Aviation_Intl!L$14</f>
        <v>9.3784271952406485E-5</v>
      </c>
      <c r="Q1648" s="1" cm="1">
        <f t="array" ref="Q1648">SUMPRODUCT(("TPSHPH2OEXT"=[1]OUT_TransportEnergyCons!$A$3:$A$1000)*1,("Var_Fin"=[1]OUT_TransportEnergyCons!$B$3:$B$1000)*1,ISNUMBER(SEARCH("h2",[1]OUT_TransportEnergyCons!$C$3:$C$1000))*1,[1]OUT_TransportEnergyCons!O$3:O$1000)+[1]Transport_Aviation_Intl!M$14</f>
        <v>1.0314136140537844E-4</v>
      </c>
      <c r="S1648" s="3"/>
    </row>
    <row r="1649" spans="2:19" x14ac:dyDescent="0.5">
      <c r="B1649" t="str">
        <f t="shared" si="1851"/>
        <v>SPS1</v>
      </c>
      <c r="C1649" t="str">
        <f t="shared" si="185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859">G1654</f>
        <v>0.79623923874131508</v>
      </c>
      <c r="H1649" s="1">
        <f t="shared" si="1859"/>
        <v>1.5965376979732213</v>
      </c>
      <c r="I1649" s="1">
        <f t="shared" si="1859"/>
        <v>2.1026486954935382</v>
      </c>
      <c r="J1649" s="1">
        <f t="shared" si="1859"/>
        <v>2.6904686535911595</v>
      </c>
      <c r="K1649" s="1">
        <f t="shared" si="1859"/>
        <v>1.6608371140846758</v>
      </c>
      <c r="L1649" s="1">
        <f t="shared" ref="L1649:O1649" si="1860">L1654</f>
        <v>0.82206697170688892</v>
      </c>
      <c r="M1649" s="1">
        <f t="shared" si="1860"/>
        <v>0</v>
      </c>
      <c r="N1649" s="1">
        <f t="shared" si="1860"/>
        <v>0</v>
      </c>
      <c r="O1649" s="1">
        <f t="shared" si="1860"/>
        <v>0</v>
      </c>
      <c r="P1649" s="1">
        <f>P1654</f>
        <v>0</v>
      </c>
      <c r="Q1649" s="1">
        <f>Q1654</f>
        <v>0</v>
      </c>
      <c r="S1649" s="3"/>
    </row>
    <row r="1650" spans="2:19" x14ac:dyDescent="0.5">
      <c r="B1650" t="str">
        <f t="shared" si="1851"/>
        <v>SPS1</v>
      </c>
      <c r="C1650" t="str">
        <f t="shared" si="1852"/>
        <v>CH</v>
      </c>
      <c r="D1650" t="s">
        <v>1661</v>
      </c>
      <c r="E1650" t="str">
        <f t="shared" ref="E1650:E1662" si="1861">E1649</f>
        <v>PJ/yr.</v>
      </c>
      <c r="F1650" s="1">
        <f>F1649-F1651</f>
        <v>1.6634737741230428</v>
      </c>
      <c r="G1650" s="1">
        <f t="shared" ref="G1650:K1650" si="1862">G1649-G1651</f>
        <v>0.75265262783497489</v>
      </c>
      <c r="H1650" s="1">
        <f t="shared" si="1862"/>
        <v>1.50914095712927</v>
      </c>
      <c r="I1650" s="1">
        <f t="shared" si="1862"/>
        <v>1.9644305285060055</v>
      </c>
      <c r="J1650" s="1">
        <f t="shared" si="1862"/>
        <v>2.5273523782366096</v>
      </c>
      <c r="K1650" s="1">
        <f t="shared" si="1862"/>
        <v>1.5699029106598967</v>
      </c>
      <c r="L1650" s="1">
        <f t="shared" ref="L1650:O1650" si="1863">L1649-L1651</f>
        <v>0.77705633300589605</v>
      </c>
      <c r="M1650" s="1">
        <f t="shared" si="1863"/>
        <v>0</v>
      </c>
      <c r="N1650" s="1">
        <f t="shared" si="1863"/>
        <v>0</v>
      </c>
      <c r="O1650" s="1">
        <f t="shared" si="1863"/>
        <v>0</v>
      </c>
      <c r="P1650" s="1">
        <f>P1649-P1651</f>
        <v>0</v>
      </c>
      <c r="Q1650" s="1">
        <f>Q1649-Q1651</f>
        <v>0</v>
      </c>
      <c r="S1650" s="3"/>
    </row>
    <row r="1651" spans="2:19" x14ac:dyDescent="0.5">
      <c r="B1651" t="str">
        <f t="shared" si="1851"/>
        <v>SPS1</v>
      </c>
      <c r="C1651" t="str">
        <f t="shared" si="1852"/>
        <v>CH</v>
      </c>
      <c r="D1651" t="s">
        <v>1662</v>
      </c>
      <c r="E1651" t="str">
        <f t="shared" si="1861"/>
        <v>PJ/yr.</v>
      </c>
      <c r="F1651" s="1">
        <f>SUM(F1652:F1653)</f>
        <v>9.6333989605315209E-2</v>
      </c>
      <c r="G1651" s="1">
        <f t="shared" ref="G1651:K1651" si="1864">SUM(G1652:G1653)</f>
        <v>4.3586610906340237E-2</v>
      </c>
      <c r="H1651" s="1">
        <f t="shared" si="1864"/>
        <v>8.7396740843951215E-2</v>
      </c>
      <c r="I1651" s="1">
        <f t="shared" si="1864"/>
        <v>0.13821816698753267</v>
      </c>
      <c r="J1651" s="1">
        <f t="shared" si="1864"/>
        <v>0.16311627535455003</v>
      </c>
      <c r="K1651" s="1">
        <f t="shared" si="1864"/>
        <v>9.093420342477905E-2</v>
      </c>
      <c r="L1651" s="1">
        <f t="shared" ref="L1651:O1651" si="1865">SUM(L1652:L1653)</f>
        <v>4.5010638700992825E-2</v>
      </c>
      <c r="M1651" s="1">
        <f t="shared" si="1865"/>
        <v>0</v>
      </c>
      <c r="N1651" s="1">
        <f t="shared" si="1865"/>
        <v>0</v>
      </c>
      <c r="O1651" s="1">
        <f t="shared" si="1865"/>
        <v>0</v>
      </c>
      <c r="P1651" s="1">
        <f>SUM(P1652:P1653)</f>
        <v>0</v>
      </c>
      <c r="Q1651" s="1">
        <f>SUM(Q1652:Q1653)</f>
        <v>0</v>
      </c>
      <c r="S1651" s="3"/>
    </row>
    <row r="1652" spans="2:19" x14ac:dyDescent="0.5">
      <c r="B1652" t="str">
        <f t="shared" si="1851"/>
        <v>SPS1</v>
      </c>
      <c r="C1652" t="str">
        <f t="shared" si="1852"/>
        <v>CH</v>
      </c>
      <c r="D1652" t="s">
        <v>1663</v>
      </c>
      <c r="E1652" t="str">
        <f t="shared" si="1861"/>
        <v>PJ/yr.</v>
      </c>
      <c r="F1652" s="1">
        <f>[1]Transport!B$25/SUM([1]Transport!B$21,[1]Transport!B$25)*F1649*(F$35+F$600)/(F$35+F$600+F$39)</f>
        <v>9.6333989605315209E-2</v>
      </c>
      <c r="G1652" s="1">
        <f>[1]Transport!C$25/SUM([1]Transport!C$21,[1]Transport!C$25)*G1649*(G$35+G$600)/(G$35+G$600+G$39)</f>
        <v>4.3586610906340237E-2</v>
      </c>
      <c r="H1652" s="1">
        <f>[1]Transport!D$25/SUM([1]Transport!D$21,[1]Transport!D$25)*H1649*(H$35+H$600)/(H$35+H$600+H$39)</f>
        <v>8.7396740843951215E-2</v>
      </c>
      <c r="I1652" s="1">
        <f>[1]Transport!E$25/SUM([1]Transport!E$21,[1]Transport!E$25)*I1649*(I$35+I$600)/(I$35+I$600+I$39)</f>
        <v>0.13821816698753267</v>
      </c>
      <c r="J1652" s="1">
        <f>[1]Transport!F$25/SUM([1]Transport!F$21,[1]Transport!F$25)*J1649*(J$35+J$600)/(J$35+J$600+J$39)</f>
        <v>0.16311627535455003</v>
      </c>
      <c r="K1652" s="1">
        <f>[1]Transport!G$25/SUM([1]Transport!G$21,[1]Transport!G$25)*K1649*(K$35+K$600)/(K$35+K$600+K$39)</f>
        <v>9.093420342477905E-2</v>
      </c>
      <c r="L1652" s="1">
        <f>[1]Transport!H$25/SUM([1]Transport!H$21,[1]Transport!H$25)*L1649*(L$35+L$600)/(L$35+L$600+L$39)</f>
        <v>4.5010638700992825E-2</v>
      </c>
      <c r="M1652" s="1">
        <f>[1]Transport!I$25/SUM([1]Transport!I$21,[1]Transport!I$25)*M1649*(M$35+M$600)/(M$35+M$600+M$39)</f>
        <v>0</v>
      </c>
      <c r="N1652" s="1">
        <f>[1]Transport!J$25/SUM([1]Transport!J$21,[1]Transport!J$25)*N1649*(N$35+N$600)/(N$35+N$600+N$39)</f>
        <v>0</v>
      </c>
      <c r="O1652" s="1">
        <f>[1]Transport!K$25/SUM([1]Transport!K$21,[1]Transport!K$25)*O1649*(O$35+O$600)/(O$35+O$600+O$39)</f>
        <v>0</v>
      </c>
      <c r="P1652" s="1">
        <f>[1]Transport!L$25/SUM([1]Transport!L$21,[1]Transport!L$25)*P1649*(P$35+P$600)/(P$35+P$600+P$39)</f>
        <v>0</v>
      </c>
      <c r="Q1652" s="1">
        <f>[1]Transport!M$25/SUM([1]Transport!M$21,[1]Transport!M$25)*Q1649*(Q$35+Q$600)/(Q$35+Q$600+Q$39)</f>
        <v>0</v>
      </c>
      <c r="S1652" s="3"/>
    </row>
    <row r="1653" spans="2:19" x14ac:dyDescent="0.5">
      <c r="B1653" t="str">
        <f t="shared" si="1851"/>
        <v>SPS1</v>
      </c>
      <c r="C1653" t="str">
        <f t="shared" si="1852"/>
        <v>CH</v>
      </c>
      <c r="D1653" t="s">
        <v>1664</v>
      </c>
      <c r="E1653" t="str">
        <f t="shared" si="186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(J$39+J$719)/([1]Transport!F$21+[1]Transport!F$25)*J1649</f>
        <v>0</v>
      </c>
      <c r="K1653" s="1">
        <f>(K$39+K$719)/([1]Transport!G$21+[1]Transport!G$25)*K1649</f>
        <v>0</v>
      </c>
      <c r="L1653" s="1">
        <f>(L$39+L$719)/([1]Transport!H$21+[1]Transport!H$25)*L1649</f>
        <v>0</v>
      </c>
      <c r="M1653" s="1">
        <f>(M$39+M$719)/([1]Transport!I$21+[1]Transport!I$25)*M1649</f>
        <v>0</v>
      </c>
      <c r="N1653" s="1">
        <f>(N$39+N$719)/([1]Transport!J$21+[1]Transport!J$25)*N1649</f>
        <v>0</v>
      </c>
      <c r="O1653" s="1">
        <f>(O$39+O$719)/([1]Transport!K$21+[1]Transport!K$25)*O1649</f>
        <v>0</v>
      </c>
      <c r="P1653" s="1">
        <f>(P$39+P$719)/([1]Transport!L$21+[1]Transport!L$25)*P1649</f>
        <v>0</v>
      </c>
      <c r="Q1653" s="1">
        <f>(Q$39+Q$719)/([1]Transport!M$21+[1]Transport!M$25)*Q1649</f>
        <v>0</v>
      </c>
      <c r="S1653" s="3"/>
    </row>
    <row r="1654" spans="2:19" x14ac:dyDescent="0.5">
      <c r="B1654" t="str">
        <f t="shared" si="1851"/>
        <v>SPS1</v>
      </c>
      <c r="C1654" t="str">
        <f t="shared" si="1852"/>
        <v>CH</v>
      </c>
      <c r="D1654" t="s">
        <v>1665</v>
      </c>
      <c r="E1654" t="str">
        <f t="shared" si="186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0.79623923874131508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1.5965376979732213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2.1026486954935382</v>
      </c>
      <c r="J1654" s="1" cm="1">
        <f t="array" ref="J1654">SUMPRODUCT(("TPSHPGSLEXT"=[1]OUT_TransportEnergyCons!$A$3:$A$1000)*1,("Var_Fin"=[1]OUT_TransportEnergyCons!$B$3:$B$1000)*1,ISNUMBER(SEARCH("GSL",[1]OUT_TransportEnergyCons!$C$3:$C$1000))*1,[1]OUT_TransportEnergyCons!H$3:H$1000)</f>
        <v>2.6904686535911595</v>
      </c>
      <c r="K1654" s="1" cm="1">
        <f t="array" ref="K1654">SUMPRODUCT(("TPSHPGSLEXT"=[1]OUT_TransportEnergyCons!$A$3:$A$1000)*1,("Var_Fin"=[1]OUT_TransportEnergyCons!$B$3:$B$1000)*1,ISNUMBER(SEARCH("GSL",[1]OUT_TransportEnergyCons!$C$3:$C$1000))*1,[1]OUT_TransportEnergyCons!I$3:I$1000)</f>
        <v>1.6608371140846758</v>
      </c>
      <c r="L1654" s="1" cm="1">
        <f t="array" ref="L1654">SUMPRODUCT(("TPSHPGSLEXT"=[1]OUT_TransportEnergyCons!$A$3:$A$1000)*1,("Var_Fin"=[1]OUT_TransportEnergyCons!$B$3:$B$1000)*1,ISNUMBER(SEARCH("GSL",[1]OUT_TransportEnergyCons!$C$3:$C$1000))*1,[1]OUT_TransportEnergyCons!J$3:J$1000)</f>
        <v>0.82206697170688892</v>
      </c>
      <c r="M1654" s="1" cm="1">
        <f t="array" ref="M1654">SUMPRODUCT(("TPSHPGSLEXT"=[1]OUT_TransportEnergyCons!$A$3:$A$1000)*1,("Var_Fin"=[1]OUT_TransportEnergyCons!$B$3:$B$1000)*1,ISNUMBER(SEARCH("GSL",[1]OUT_TransportEnergyCons!$C$3:$C$1000))*1,[1]OUT_TransportEnergyCons!K$3:K$1000)</f>
        <v>0</v>
      </c>
      <c r="N1654" s="1" cm="1">
        <f t="array" ref="N1654">SUMPRODUCT(("TPSHPGSLEXT"=[1]OUT_TransportEnergyCons!$A$3:$A$1000)*1,("Var_Fin"=[1]OUT_TransportEnergyCons!$B$3:$B$1000)*1,ISNUMBER(SEARCH("GSL",[1]OUT_TransportEnergyCons!$C$3:$C$1000))*1,[1]OUT_TransportEnergyCons!L$3:L$1000)</f>
        <v>0</v>
      </c>
      <c r="O1654" s="1" cm="1">
        <f t="array" ref="O1654">SUMPRODUCT(("TPSHPGSLEXT"=[1]OUT_TransportEnergyCons!$A$3:$A$1000)*1,("Var_Fin"=[1]OUT_TransportEnergyCons!$B$3:$B$1000)*1,ISNUMBER(SEARCH("GSL",[1]OUT_TransportEnergyCons!$C$3:$C$1000))*1,[1]OUT_TransportEnergyCons!M$3:M$1000)</f>
        <v>0</v>
      </c>
      <c r="P1654" s="1" cm="1">
        <f t="array" ref="P1654">SUMPRODUCT(("TPSHPGSLEXT"=[1]OUT_TransportEnergyCons!$A$3:$A$1000)*1,("Var_Fin"=[1]OUT_TransportEnergyCons!$B$3:$B$1000)*1,ISNUMBER(SEARCH("GSL",[1]OUT_TransportEnergyCons!$C$3:$C$1000))*1,[1]OUT_TransportEnergyCons!N$3:N$1000)</f>
        <v>0</v>
      </c>
      <c r="Q1654" s="1" cm="1">
        <f t="array" ref="Q1654">SUMPRODUCT(("TPSHPGSLEXT"=[1]OUT_TransportEnergyCons!$A$3:$A$1000)*1,("Var_Fin"=[1]OUT_TransportEnergyCons!$B$3:$B$1000)*1,ISNUMBER(SEARCH("GSL",[1]OUT_TransportEnergyCons!$C$3:$C$1000))*1,[1]OUT_TransportEnergyCons!O$3:O$1000)</f>
        <v>0</v>
      </c>
      <c r="S1654" s="3"/>
    </row>
    <row r="1655" spans="2:19" x14ac:dyDescent="0.5">
      <c r="B1655" t="str">
        <f t="shared" si="1851"/>
        <v>SPS1</v>
      </c>
      <c r="C1655" t="str">
        <f t="shared" si="1852"/>
        <v>CH</v>
      </c>
      <c r="D1655" t="s">
        <v>1666</v>
      </c>
      <c r="E1655" t="str">
        <f t="shared" si="1861"/>
        <v>PJ/yr.</v>
      </c>
      <c r="F1655" s="1">
        <f>[1]TRA_FuelByFleet!F$99</f>
        <v>0</v>
      </c>
      <c r="G1655" s="1">
        <f>[1]TRA_FuelByFleet!G$99</f>
        <v>0</v>
      </c>
      <c r="H1655" s="1">
        <f>[1]TRA_FuelByFleet!H$99</f>
        <v>0</v>
      </c>
      <c r="I1655" s="1">
        <f>[1]TRA_FuelByFleet!I$99</f>
        <v>0</v>
      </c>
      <c r="J1655" s="1">
        <f>[1]TRA_FuelByFleet!J$99</f>
        <v>0</v>
      </c>
      <c r="K1655" s="1">
        <f>[1]TRA_FuelByFleet!K$99</f>
        <v>0</v>
      </c>
      <c r="L1655" s="1">
        <f>[1]TRA_FuelByFleet!L$99</f>
        <v>0</v>
      </c>
      <c r="M1655" s="1">
        <f>[1]TRA_FuelByFleet!M$99</f>
        <v>0</v>
      </c>
      <c r="N1655" s="1">
        <f>[1]TRA_FuelByFleet!N$99</f>
        <v>0</v>
      </c>
      <c r="O1655" s="1">
        <f>[1]TRA_FuelByFleet!O$99</f>
        <v>0</v>
      </c>
      <c r="P1655" s="1">
        <f>[1]TRA_FuelByFleet!P$99</f>
        <v>0</v>
      </c>
      <c r="Q1655" s="1">
        <f>[1]TRA_FuelByFleet!Q$99</f>
        <v>0</v>
      </c>
      <c r="S1655" s="3"/>
    </row>
    <row r="1656" spans="2:19" x14ac:dyDescent="0.5">
      <c r="B1656" t="str">
        <f t="shared" si="1851"/>
        <v>SPS1</v>
      </c>
      <c r="C1656" t="str">
        <f t="shared" si="1852"/>
        <v>CH</v>
      </c>
      <c r="D1656" t="s">
        <v>1667</v>
      </c>
      <c r="E1656" t="str">
        <f t="shared" si="1861"/>
        <v>PJ/yr.</v>
      </c>
      <c r="F1656" s="1">
        <f>F1655-F1657</f>
        <v>0</v>
      </c>
      <c r="G1656" s="1">
        <f t="shared" ref="G1656:K1656" si="1866">G1655-G1657</f>
        <v>0</v>
      </c>
      <c r="H1656" s="1">
        <f t="shared" si="1866"/>
        <v>0</v>
      </c>
      <c r="I1656" s="1">
        <f t="shared" si="1866"/>
        <v>0</v>
      </c>
      <c r="J1656" s="1">
        <f t="shared" si="1866"/>
        <v>0</v>
      </c>
      <c r="K1656" s="1">
        <f t="shared" si="1866"/>
        <v>0</v>
      </c>
      <c r="L1656" s="1">
        <f t="shared" ref="L1656:O1656" si="1867">L1655-L1657</f>
        <v>0</v>
      </c>
      <c r="M1656" s="1">
        <f t="shared" si="1867"/>
        <v>0</v>
      </c>
      <c r="N1656" s="1">
        <f t="shared" si="1867"/>
        <v>0</v>
      </c>
      <c r="O1656" s="1">
        <f t="shared" si="1867"/>
        <v>0</v>
      </c>
      <c r="P1656" s="1">
        <f>P1655-P1657</f>
        <v>0</v>
      </c>
      <c r="Q1656" s="1">
        <f>Q1655-Q1657</f>
        <v>0</v>
      </c>
      <c r="S1656" s="3"/>
    </row>
    <row r="1657" spans="2:19" x14ac:dyDescent="0.5">
      <c r="B1657" t="str">
        <f t="shared" si="1851"/>
        <v>SPS1</v>
      </c>
      <c r="C1657" t="str">
        <f t="shared" si="1852"/>
        <v>CH</v>
      </c>
      <c r="D1657" t="s">
        <v>1668</v>
      </c>
      <c r="E1657" t="str">
        <f t="shared" si="1861"/>
        <v>PJ/yr.</v>
      </c>
      <c r="F1657" s="1">
        <f>SUM(F1658:F1659)</f>
        <v>0</v>
      </c>
      <c r="G1657" s="1">
        <f t="shared" ref="G1657:K1657" si="1868">SUM(G1658:G1659)</f>
        <v>0</v>
      </c>
      <c r="H1657" s="1">
        <f t="shared" si="1868"/>
        <v>0</v>
      </c>
      <c r="I1657" s="1">
        <f t="shared" si="1868"/>
        <v>0</v>
      </c>
      <c r="J1657" s="1">
        <f t="shared" si="1868"/>
        <v>0</v>
      </c>
      <c r="K1657" s="1">
        <f t="shared" si="1868"/>
        <v>0</v>
      </c>
      <c r="L1657" s="1">
        <f t="shared" ref="L1657:O1657" si="1869">SUM(L1658:L1659)</f>
        <v>0</v>
      </c>
      <c r="M1657" s="1">
        <f t="shared" si="1869"/>
        <v>0</v>
      </c>
      <c r="N1657" s="1">
        <f t="shared" si="1869"/>
        <v>0</v>
      </c>
      <c r="O1657" s="1">
        <f t="shared" si="1869"/>
        <v>0</v>
      </c>
      <c r="P1657" s="1">
        <f>SUM(P1658:P1659)</f>
        <v>0</v>
      </c>
      <c r="Q1657" s="1">
        <f>SUM(Q1658:Q1659)</f>
        <v>0</v>
      </c>
      <c r="S1657" s="3"/>
    </row>
    <row r="1658" spans="2:19" x14ac:dyDescent="0.5">
      <c r="B1658" t="str">
        <f t="shared" si="1851"/>
        <v>SPS1</v>
      </c>
      <c r="C1658" t="str">
        <f t="shared" si="1852"/>
        <v>CH</v>
      </c>
      <c r="D1658" t="s">
        <v>1669</v>
      </c>
      <c r="E1658" t="str">
        <f t="shared" si="1861"/>
        <v>PJ/yr.</v>
      </c>
      <c r="F1658" s="1">
        <f>[1]Transport!B$26/SUM([1]Transport!B$22,[1]Transport!B$26)*F1655*(F$34+F$582)/(F$34+F$582+F$38)</f>
        <v>0</v>
      </c>
      <c r="G1658" s="1">
        <f>[1]Transport!C$26/SUM([1]Transport!C$22,[1]Transport!C$26)*G1655*(G$34+G$582)/(G$34+G$582+G$38)</f>
        <v>0</v>
      </c>
      <c r="H1658" s="1">
        <f>[1]Transport!D$26/SUM([1]Transport!D$22,[1]Transport!D$26)*H1655*(H$34+H$582)/(H$34+H$582+H$38)</f>
        <v>0</v>
      </c>
      <c r="I1658" s="1">
        <f>[1]Transport!E$26/SUM([1]Transport!E$22,[1]Transport!E$26)*I1655*(I$34+I$582)/(I$34+I$582+I$38)</f>
        <v>0</v>
      </c>
      <c r="J1658" s="1">
        <f>[1]Transport!F$26/SUM([1]Transport!F$22,[1]Transport!F$26)*J1655*(J$34+J$582)/(J$34+J$582+J$38)</f>
        <v>0</v>
      </c>
      <c r="K1658" s="1">
        <f>[1]Transport!G$26/SUM([1]Transport!G$22,[1]Transport!G$26)*K1655*(K$34+K$582)/(K$34+K$582+K$38)</f>
        <v>0</v>
      </c>
      <c r="L1658" s="1">
        <f>[1]Transport!H$26/SUM([1]Transport!H$22,[1]Transport!H$26)*L1655*(L$34+L$582)/(L$34+L$582+L$38)</f>
        <v>0</v>
      </c>
      <c r="M1658" s="1">
        <f>[1]Transport!I$26/SUM([1]Transport!I$22,[1]Transport!I$26)*M1655*(M$34+M$582)/(M$34+M$582+M$38)</f>
        <v>0</v>
      </c>
      <c r="N1658" s="1">
        <f>[1]Transport!J$26/SUM([1]Transport!J$22,[1]Transport!J$26)*N1655*(N$34+N$582)/(N$34+N$582+N$38)</f>
        <v>0</v>
      </c>
      <c r="O1658" s="1">
        <f>[1]Transport!K$26/SUM([1]Transport!K$22,[1]Transport!K$26)*O1655*(O$34+O$582)/(O$34+O$582+O$38)</f>
        <v>0</v>
      </c>
      <c r="P1658" s="1">
        <f>[1]Transport!L$26/SUM([1]Transport!L$22,[1]Transport!L$26)*P1655*(P$34+P$582)/(P$34+P$582+P$38)</f>
        <v>0</v>
      </c>
      <c r="Q1658" s="1">
        <f>[1]Transport!M$26/SUM([1]Transport!M$22,[1]Transport!M$26)*Q1655*(Q$34+Q$582)/(Q$34+Q$582+Q$38)</f>
        <v>0</v>
      </c>
      <c r="S1658" s="3"/>
    </row>
    <row r="1659" spans="2:19" x14ac:dyDescent="0.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[1]Transport!F$26/SUM([1]Transport!F$22,[1]Transport!F$26)*J1655-J1658</f>
        <v>0</v>
      </c>
      <c r="K1659" s="1">
        <f>[1]Transport!G$26/SUM([1]Transport!G$22,[1]Transport!G$26)*K1655-K1658</f>
        <v>0</v>
      </c>
      <c r="L1659" s="1">
        <f>[1]Transport!H$26/SUM([1]Transport!H$22,[1]Transport!H$26)*L1655-L1658</f>
        <v>0</v>
      </c>
      <c r="M1659" s="1">
        <f>[1]Transport!I$26/SUM([1]Transport!I$22,[1]Transport!I$26)*M1655-M1658</f>
        <v>0</v>
      </c>
      <c r="N1659" s="1">
        <f>[1]Transport!J$26/SUM([1]Transport!J$22,[1]Transport!J$26)*N1655-N1658</f>
        <v>0</v>
      </c>
      <c r="O1659" s="1">
        <f>[1]Transport!K$26/SUM([1]Transport!K$22,[1]Transport!K$26)*O1655-O1658</f>
        <v>0</v>
      </c>
      <c r="P1659" s="1">
        <f>[1]Transport!L$26/SUM([1]Transport!L$22,[1]Transport!L$26)*P1655-P1658</f>
        <v>0</v>
      </c>
      <c r="Q1659" s="1">
        <f>[1]Transport!M$26/SUM([1]Transport!M$22,[1]Transport!M$26)*Q1655-Q1658</f>
        <v>0</v>
      </c>
      <c r="S1659" s="3"/>
    </row>
    <row r="1660" spans="2:19" x14ac:dyDescent="0.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SUMPRODUCT(("TPRLPDSLEXT"=[1]OUT_TransportEnergyCons!$A$3:$A$1000)*1,("Var_Fin"=[1]OUT_TransportEnergyCons!$B$3:$B$1000)*1,ISNUMBER(SEARCH("DSL",[1]OUT_TransportEnergyCons!$C$3:$C$1000))*1,[1]OUT_TransportEnergyCons!H$3:H$1000)</f>
        <v>0</v>
      </c>
      <c r="K1660" s="1" cm="1">
        <f t="array" ref="K1660">SUMPRODUCT(("TPRLPDSLEXT"=[1]OUT_TransportEnergyCons!$A$3:$A$1000)*1,("Var_Fin"=[1]OUT_TransportEnergyCons!$B$3:$B$1000)*1,ISNUMBER(SEARCH("DSL",[1]OUT_TransportEnergyCons!$C$3:$C$1000))*1,[1]OUT_TransportEnergyCons!I$3:I$1000)</f>
        <v>0</v>
      </c>
      <c r="L1660" s="1" cm="1">
        <f t="array" ref="L1660">SUMPRODUCT(("TPRLPDSLEXT"=[1]OUT_TransportEnergyCons!$A$3:$A$1000)*1,("Var_Fin"=[1]OUT_TransportEnergyCons!$B$3:$B$1000)*1,ISNUMBER(SEARCH("DSL",[1]OUT_TransportEnergyCons!$C$3:$C$1000))*1,[1]OUT_TransportEnergyCons!J$3:J$1000)</f>
        <v>0</v>
      </c>
      <c r="M1660" s="1" cm="1">
        <f t="array" ref="M1660">SUMPRODUCT(("TPRLPDSLEXT"=[1]OUT_TransportEnergyCons!$A$3:$A$1000)*1,("Var_Fin"=[1]OUT_TransportEnergyCons!$B$3:$B$1000)*1,ISNUMBER(SEARCH("DSL",[1]OUT_TransportEnergyCons!$C$3:$C$1000))*1,[1]OUT_TransportEnergyCons!K$3:K$1000)</f>
        <v>0</v>
      </c>
      <c r="N1660" s="1" cm="1">
        <f t="array" ref="N1660">SUMPRODUCT(("TPRLPDSLEXT"=[1]OUT_TransportEnergyCons!$A$3:$A$1000)*1,("Var_Fin"=[1]OUT_TransportEnergyCons!$B$3:$B$1000)*1,ISNUMBER(SEARCH("DSL",[1]OUT_TransportEnergyCons!$C$3:$C$1000))*1,[1]OUT_TransportEnergyCons!L$3:L$1000)</f>
        <v>0</v>
      </c>
      <c r="O1660" s="1" cm="1">
        <f t="array" ref="O1660">SUMPRODUCT(("TPRLPDSLEXT"=[1]OUT_TransportEnergyCons!$A$3:$A$1000)*1,("Var_Fin"=[1]OUT_TransportEnergyCons!$B$3:$B$1000)*1,ISNUMBER(SEARCH("DSL",[1]OUT_TransportEnergyCons!$C$3:$C$1000))*1,[1]OUT_TransportEnergyCons!M$3:M$1000)</f>
        <v>0</v>
      </c>
      <c r="P1660" s="1" cm="1">
        <f t="array" ref="P1660">SUMPRODUCT(("TPRLPDSLEXT"=[1]OUT_TransportEnergyCons!$A$3:$A$1000)*1,("Var_Fin"=[1]OUT_TransportEnergyCons!$B$3:$B$1000)*1,ISNUMBER(SEARCH("DSL",[1]OUT_TransportEnergyCons!$C$3:$C$1000))*1,[1]OUT_TransportEnergyCons!N$3:N$1000)</f>
        <v>0</v>
      </c>
      <c r="Q1660" s="1" cm="1">
        <f t="array" ref="Q1660">SUMPRODUCT(("TPRLPDSLEXT"=[1]OUT_TransportEnergyCons!$A$3:$A$1000)*1,("Var_Fin"=[1]OUT_TransportEnergyCons!$B$3:$B$1000)*1,ISNUMBER(SEARCH("DSL",[1]OUT_TransportEnergyCons!$C$3:$C$1000))*1,[1]OUT_TransportEnergyCons!O$3:O$1000)</f>
        <v>0</v>
      </c>
      <c r="S1660" s="3"/>
    </row>
    <row r="1661" spans="2:19" x14ac:dyDescent="0.5">
      <c r="B1661" t="str">
        <f t="shared" si="1851"/>
        <v>SPS1</v>
      </c>
      <c r="C1661" t="str">
        <f t="shared" si="1852"/>
        <v>CH</v>
      </c>
      <c r="D1661" t="s">
        <v>1672</v>
      </c>
      <c r="E1661" t="str">
        <f t="shared" si="186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0.39609077646806617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5.726083617300752E-4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6.1018859971821303E-4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6.3873491449737752E-4</v>
      </c>
      <c r="J1661" s="1" cm="1">
        <f t="array" ref="J1661">SUMPRODUCT(("TFRLFDSLEXT"=[1]OUT_TransportEnergyCons!$A$3:$A$1000)*1,("Var_Fin"=[1]OUT_TransportEnergyCons!$B$3:$B$1000)*1,ISNUMBER(SEARCH("DSL",[1]OUT_TransportEnergyCons!$C$3:$C$1000))*1,[1]OUT_TransportEnergyCons!H$3:H$1000)</f>
        <v>6.215080175960623E-4</v>
      </c>
      <c r="K1661" s="1" cm="1">
        <f t="array" ref="K1661">SUMPRODUCT(("TFRLFDSLEXT"=[1]OUT_TransportEnergyCons!$A$3:$A$1000)*1,("Var_Fin"=[1]OUT_TransportEnergyCons!$B$3:$B$1000)*1,ISNUMBER(SEARCH("DSL",[1]OUT_TransportEnergyCons!$C$3:$C$1000))*1,[1]OUT_TransportEnergyCons!I$3:I$1000)</f>
        <v>6.2242209648338614E-4</v>
      </c>
      <c r="L1661" s="1" cm="1">
        <f t="array" ref="L1661">SUMPRODUCT(("TFRLFDSLEXT"=[1]OUT_TransportEnergyCons!$A$3:$A$1000)*1,("Var_Fin"=[1]OUT_TransportEnergyCons!$B$3:$B$1000)*1,ISNUMBER(SEARCH("DSL",[1]OUT_TransportEnergyCons!$C$3:$C$1000))*1,[1]OUT_TransportEnergyCons!J$3:J$1000)</f>
        <v>6.25772077488917E-4</v>
      </c>
      <c r="M1661" s="1" cm="1">
        <f t="array" ref="M1661">SUMPRODUCT(("TFRLFDSLEXT"=[1]OUT_TransportEnergyCons!$A$3:$A$1000)*1,("Var_Fin"=[1]OUT_TransportEnergyCons!$B$3:$B$1000)*1,ISNUMBER(SEARCH("DSL",[1]OUT_TransportEnergyCons!$C$3:$C$1000))*1,[1]OUT_TransportEnergyCons!K$3:K$1000)</f>
        <v>5.3386277530516606E-4</v>
      </c>
      <c r="N1661" s="1" cm="1">
        <f t="array" ref="N1661">SUMPRODUCT(("TFRLFDSLEXT"=[1]OUT_TransportEnergyCons!$A$3:$A$1000)*1,("Var_Fin"=[1]OUT_TransportEnergyCons!$B$3:$B$1000)*1,ISNUMBER(SEARCH("DSL",[1]OUT_TransportEnergyCons!$C$3:$C$1000))*1,[1]OUT_TransportEnergyCons!L$3:L$1000)</f>
        <v>3.468074277751324E-4</v>
      </c>
      <c r="O1661" s="1" cm="1">
        <f t="array" ref="O1661">SUMPRODUCT(("TFRLFDSLEXT"=[1]OUT_TransportEnergyCons!$A$3:$A$1000)*1,("Var_Fin"=[1]OUT_TransportEnergyCons!$B$3:$B$1000)*1,ISNUMBER(SEARCH("DSL",[1]OUT_TransportEnergyCons!$C$3:$C$1000))*1,[1]OUT_TransportEnergyCons!M$3:M$1000)</f>
        <v>5.3803355650787141E-4</v>
      </c>
      <c r="P1661" s="1" cm="1">
        <f t="array" ref="P1661">SUMPRODUCT(("TFRLFDSLEXT"=[1]OUT_TransportEnergyCons!$A$3:$A$1000)*1,("Var_Fin"=[1]OUT_TransportEnergyCons!$B$3:$B$1000)*1,ISNUMBER(SEARCH("DSL",[1]OUT_TransportEnergyCons!$C$3:$C$1000))*1,[1]OUT_TransportEnergyCons!N$3:N$1000)</f>
        <v>5.478596387659409E-4</v>
      </c>
      <c r="Q1661" s="1" cm="1">
        <f t="array" ref="Q1661">SUMPRODUCT(("TFRLFDSLEXT"=[1]OUT_TransportEnergyCons!$A$3:$A$1000)*1,("Var_Fin"=[1]OUT_TransportEnergyCons!$B$3:$B$1000)*1,ISNUMBER(SEARCH("DSL",[1]OUT_TransportEnergyCons!$C$3:$C$1000))*1,[1]OUT_TransportEnergyCons!O$3:O$1000)</f>
        <v>1.5568199388002965E-3</v>
      </c>
      <c r="S1661" s="3"/>
    </row>
    <row r="1662" spans="2:19" x14ac:dyDescent="0.5">
      <c r="B1662" t="str">
        <f t="shared" si="1851"/>
        <v>SPS1</v>
      </c>
      <c r="C1662" t="str">
        <f t="shared" si="1852"/>
        <v>CH</v>
      </c>
      <c r="D1662" t="s">
        <v>1673</v>
      </c>
      <c r="E1662" t="str">
        <f t="shared" si="186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17.38042017956527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15.762711117360395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14.414809691901656</v>
      </c>
      <c r="J1662" s="1" cm="1">
        <f t="array" ref="J1662">SUMPRODUCT(("TPSHPDSLEXT"=[1]OUT_TransportEnergyCons!$A$3:$A$1000)*1,("Var_Fin"=[1]OUT_TransportEnergyCons!$B$3:$B$1000)*1,ISNUMBER(SEARCH("DSL",[1]OUT_TransportEnergyCons!$C$3:$C$1000))*1,[1]OUT_TransportEnergyCons!H$3:H$1000)</f>
        <v>13.875465978465314</v>
      </c>
      <c r="K1662" s="1" cm="1">
        <f t="array" ref="K1662">SUMPRODUCT(("TPSHPDSLEXT"=[1]OUT_TransportEnergyCons!$A$3:$A$1000)*1,("Var_Fin"=[1]OUT_TransportEnergyCons!$B$3:$B$1000)*1,ISNUMBER(SEARCH("DSL",[1]OUT_TransportEnergyCons!$C$3:$C$1000))*1,[1]OUT_TransportEnergyCons!I$3:I$1000)</f>
        <v>13.336121891173827</v>
      </c>
      <c r="L1662" s="1" cm="1">
        <f t="array" ref="L1662">SUMPRODUCT(("TPSHPDSLEXT"=[1]OUT_TransportEnergyCons!$A$3:$A$1000)*1,("Var_Fin"=[1]OUT_TransportEnergyCons!$B$3:$B$1000)*1,ISNUMBER(SEARCH("DSL",[1]OUT_TransportEnergyCons!$C$3:$C$1000))*1,[1]OUT_TransportEnergyCons!J$3:J$1000)</f>
        <v>12.257613166041416</v>
      </c>
      <c r="M1662" s="1" cm="1">
        <f t="array" ref="M1662">SUMPRODUCT(("TPSHPDSLEXT"=[1]OUT_TransportEnergyCons!$A$3:$A$1000)*1,("Var_Fin"=[1]OUT_TransportEnergyCons!$B$3:$B$1000)*1,ISNUMBER(SEARCH("DSL",[1]OUT_TransportEnergyCons!$C$3:$C$1000))*1,[1]OUT_TransportEnergyCons!K$3:K$1000)</f>
        <v>12.257491280803116</v>
      </c>
      <c r="N1662" s="1" cm="1">
        <f t="array" ref="N1662">SUMPRODUCT(("TPSHPDSLEXT"=[1]OUT_TransportEnergyCons!$A$3:$A$1000)*1,("Var_Fin"=[1]OUT_TransportEnergyCons!$B$3:$B$1000)*1,ISNUMBER(SEARCH("DSL",[1]OUT_TransportEnergyCons!$C$3:$C$1000))*1,[1]OUT_TransportEnergyCons!L$3:L$1000)</f>
        <v>12.257217569255346</v>
      </c>
      <c r="O1662" s="1" cm="1">
        <f t="array" ref="O1662">SUMPRODUCT(("TPSHPDSLEXT"=[1]OUT_TransportEnergyCons!$A$3:$A$1000)*1,("Var_Fin"=[1]OUT_TransportEnergyCons!$B$3:$B$1000)*1,ISNUMBER(SEARCH("DSL",[1]OUT_TransportEnergyCons!$C$3:$C$1000))*1,[1]OUT_TransportEnergyCons!M$3:M$1000)</f>
        <v>5.6825560608070722</v>
      </c>
      <c r="P1662" s="1" cm="1">
        <f t="array" ref="P1662">SUMPRODUCT(("TPSHPDSLEXT"=[1]OUT_TransportEnergyCons!$A$3:$A$1000)*1,("Var_Fin"=[1]OUT_TransportEnergyCons!$B$3:$B$1000)*1,ISNUMBER(SEARCH("DSL",[1]OUT_TransportEnergyCons!$C$3:$C$1000))*1,[1]OUT_TransportEnergyCons!N$3:N$1000)</f>
        <v>2.0430235772816854</v>
      </c>
      <c r="Q1662" s="1" cm="1">
        <f t="array" ref="Q1662">SUMPRODUCT(("TPSHPDSLEXT"=[1]OUT_TransportEnergyCons!$A$3:$A$1000)*1,("Var_Fin"=[1]OUT_TransportEnergyCons!$B$3:$B$1000)*1,ISNUMBER(SEARCH("DSL",[1]OUT_TransportEnergyCons!$C$3:$C$1000))*1,[1]OUT_TransportEnergyCons!O$3:O$1000)</f>
        <v>2.0430040396468896</v>
      </c>
      <c r="S1662" s="3"/>
    </row>
    <row r="1663" spans="2:19" x14ac:dyDescent="0.5">
      <c r="B1663" t="str">
        <f t="shared" ref="B1663:C1665" si="1870">B1657</f>
        <v>SPS1</v>
      </c>
      <c r="C1663" t="str">
        <f t="shared" si="187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30.628828661353104</v>
      </c>
      <c r="G1663" s="1">
        <f>IF([1]Transport!C$23+[1]Transport_Aviation_Intl!C$11&lt;0,0,[1]Transport!C$23+[1]Transport_Aviation_Intl!C$11)</f>
        <v>59.879982766087863</v>
      </c>
      <c r="H1663" s="1">
        <f>IF([1]Transport!D$23+[1]Transport_Aviation_Intl!D$11&lt;0,0,[1]Transport!D$23+[1]Transport_Aviation_Intl!D$11)</f>
        <v>86.121507259799571</v>
      </c>
      <c r="I1663" s="1">
        <f>IF([1]Transport!E$23+[1]Transport_Aviation_Intl!E$11&lt;0,0,[1]Transport!E$23+[1]Transport_Aviation_Intl!E$11)</f>
        <v>86.887708658063829</v>
      </c>
      <c r="J1663" s="1">
        <f>IF([1]Transport!F$23+[1]Transport_Aviation_Intl!F$11&lt;0,0,[1]Transport!F$23+[1]Transport_Aviation_Intl!F$11)</f>
        <v>91.10769694712269</v>
      </c>
      <c r="K1663" s="1">
        <f>IF([1]Transport!G$23+[1]Transport_Aviation_Intl!G$11&lt;0,0,[1]Transport!G$23+[1]Transport_Aviation_Intl!G$11)</f>
        <v>94.056852012481784</v>
      </c>
      <c r="L1663" s="1">
        <f>IF([1]Transport!H$23+[1]Transport_Aviation_Intl!H$11&lt;0,0,[1]Transport!H$23+[1]Transport_Aviation_Intl!H$11)</f>
        <v>95.934921340282159</v>
      </c>
      <c r="M1663" s="1">
        <f>IF([1]Transport!I$23+[1]Transport_Aviation_Intl!I$11&lt;0,0,[1]Transport!I$23+[1]Transport_Aviation_Intl!I$11)</f>
        <v>97.573507574888481</v>
      </c>
      <c r="N1663" s="1">
        <f>IF([1]Transport!J$23+[1]Transport_Aviation_Intl!J$11&lt;0,0,[1]Transport!J$23+[1]Transport_Aviation_Intl!J$11)</f>
        <v>95.327078580431518</v>
      </c>
      <c r="O1663" s="1">
        <f>IF([1]Transport!K$23+[1]Transport_Aviation_Intl!K$11&lt;0,0,[1]Transport!K$23+[1]Transport_Aviation_Intl!K$11)</f>
        <v>95.640314744476655</v>
      </c>
      <c r="P1663" s="1">
        <f>IF([1]Transport!L$23+[1]Transport_Aviation_Intl!L$11&lt;0,0,[1]Transport!L$23+[1]Transport_Aviation_Intl!L$11)</f>
        <v>97.191722502854176</v>
      </c>
      <c r="Q1663" s="1">
        <f>IF([1]Transport!M$23+[1]Transport_Aviation_Intl!M$11&lt;0,0,[1]Transport!M$23+[1]Transport_Aviation_Intl!M$11)</f>
        <v>98.865058610223215</v>
      </c>
      <c r="S1663" s="3"/>
    </row>
    <row r="1664" spans="2:19" x14ac:dyDescent="0.5">
      <c r="B1664" t="str">
        <f t="shared" si="1870"/>
        <v>SPS1</v>
      </c>
      <c r="C1664" t="str">
        <f t="shared" si="1870"/>
        <v>CH</v>
      </c>
      <c r="D1664" t="s">
        <v>2480</v>
      </c>
      <c r="E1664" t="str">
        <f>E1658</f>
        <v>PJ/yr.</v>
      </c>
      <c r="F1664" s="1">
        <f t="shared" ref="F1664:K1664" si="1871">F36</f>
        <v>1.1713624688869601E-3</v>
      </c>
      <c r="G1664" s="1">
        <f t="shared" si="1871"/>
        <v>1.72503617219424E-5</v>
      </c>
      <c r="H1664" s="1">
        <f t="shared" si="1871"/>
        <v>2.0974949039434801E-3</v>
      </c>
      <c r="I1664" s="1">
        <f t="shared" si="1871"/>
        <v>6.4075602381162078</v>
      </c>
      <c r="J1664" s="1">
        <f t="shared" si="1871"/>
        <v>6.4075602381162078</v>
      </c>
      <c r="K1664" s="1">
        <f t="shared" si="1871"/>
        <v>6.9320543515274267</v>
      </c>
      <c r="L1664" s="1">
        <f t="shared" ref="L1664:O1664" si="1872">L36</f>
        <v>7.0909069814113312</v>
      </c>
      <c r="M1664" s="1">
        <f t="shared" si="1872"/>
        <v>7.3572495413031831</v>
      </c>
      <c r="N1664" s="1">
        <f t="shared" si="1872"/>
        <v>7.5130994533193842</v>
      </c>
      <c r="O1664" s="1">
        <f t="shared" si="1872"/>
        <v>7.5196035828107002</v>
      </c>
      <c r="P1664" s="1">
        <f>P36</f>
        <v>7.4073994567532839</v>
      </c>
      <c r="Q1664" s="1">
        <f>Q36</f>
        <v>7.3852310910406516</v>
      </c>
      <c r="S1664" s="3"/>
    </row>
    <row r="1665" spans="2:19" x14ac:dyDescent="0.5">
      <c r="B1665" t="str">
        <f t="shared" si="1870"/>
        <v>SPS1</v>
      </c>
      <c r="C1665" t="str">
        <f t="shared" si="1870"/>
        <v>CH</v>
      </c>
      <c r="D1665" t="s">
        <v>2481</v>
      </c>
      <c r="E1665" t="str">
        <f>E1659</f>
        <v>PJ/yr.</v>
      </c>
      <c r="F1665" s="1">
        <f t="shared" ref="F1665:K1665" si="1873">F40</f>
        <v>0</v>
      </c>
      <c r="G1665" s="1">
        <f t="shared" si="1873"/>
        <v>0</v>
      </c>
      <c r="H1665" s="1">
        <f t="shared" si="1873"/>
        <v>0</v>
      </c>
      <c r="I1665" s="1">
        <f t="shared" si="1873"/>
        <v>0</v>
      </c>
      <c r="J1665" s="1">
        <f t="shared" si="1873"/>
        <v>0.52449411341121888</v>
      </c>
      <c r="K1665" s="1">
        <f t="shared" si="1873"/>
        <v>0.15885262988390458</v>
      </c>
      <c r="L1665" s="1">
        <f t="shared" ref="L1665:O1665" si="1874">L40</f>
        <v>0.26634255989185185</v>
      </c>
      <c r="M1665" s="1">
        <f t="shared" si="1874"/>
        <v>0.15584991201620113</v>
      </c>
      <c r="N1665" s="1">
        <f t="shared" si="1874"/>
        <v>6.5041294913159575E-3</v>
      </c>
      <c r="O1665" s="1">
        <f t="shared" si="1874"/>
        <v>3.2119070499339486E-2</v>
      </c>
      <c r="P1665" s="1">
        <f>P40</f>
        <v>0</v>
      </c>
      <c r="Q1665" s="1">
        <f>Q40</f>
        <v>0</v>
      </c>
      <c r="S1665" s="3"/>
    </row>
    <row r="1666" spans="2:19" x14ac:dyDescent="0.5">
      <c r="B1666" s="2" t="str">
        <f>B1662</f>
        <v>SPS1</v>
      </c>
      <c r="C1666" s="2" t="str">
        <f>C1662</f>
        <v>CH</v>
      </c>
      <c r="D1666" s="2" t="s">
        <v>1674</v>
      </c>
      <c r="E1666" s="19" t="s">
        <v>292</v>
      </c>
      <c r="F1666" s="19" t="s">
        <v>292</v>
      </c>
      <c r="G1666" s="19" t="s">
        <v>292</v>
      </c>
      <c r="H1666" s="19" t="s">
        <v>292</v>
      </c>
      <c r="I1666" s="19" t="s">
        <v>292</v>
      </c>
      <c r="J1666" s="19" t="s">
        <v>292</v>
      </c>
      <c r="K1666" s="19" t="s">
        <v>292</v>
      </c>
      <c r="L1666" s="19" t="s">
        <v>292</v>
      </c>
      <c r="M1666" s="19" t="s">
        <v>292</v>
      </c>
      <c r="N1666" s="19" t="s">
        <v>292</v>
      </c>
      <c r="O1666" s="19" t="s">
        <v>292</v>
      </c>
      <c r="P1666" s="19" t="s">
        <v>292</v>
      </c>
      <c r="Q1666" s="19" t="s">
        <v>292</v>
      </c>
      <c r="S1666" s="3"/>
    </row>
    <row r="1667" spans="2:19" x14ac:dyDescent="0.5">
      <c r="B1667" t="str">
        <f t="shared" ref="B1667:B1687" si="1875">B1666</f>
        <v>SPS1</v>
      </c>
      <c r="C1667" t="str">
        <f t="shared" si="185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SUMPRODUCT(("TPRLPELCEXT"=[1]OUT_TransportEnergyCons!$A$3:$A$1000)*1,("var_fout"=[1]OUT_TransportEnergyCons!$B$3:$B$1000)*1,ISNUMBER(SEARCH("TPRLP",[1]OUT_TransportEnergyCons!$C$3:$C$1000))*1,[1]OUT_TransportEnergyCons!H$3:H$1000)</f>
        <v>0.23259804492562927</v>
      </c>
      <c r="K1667" s="1" cm="1">
        <f t="array" ref="K1667">SUMPRODUCT(("TPRLPELCEXT"=[1]OUT_TransportEnergyCons!$A$3:$A$1000)*1,("var_fout"=[1]OUT_TransportEnergyCons!$B$3:$B$1000)*1,ISNUMBER(SEARCH("TPRLP",[1]OUT_TransportEnergyCons!$C$3:$C$1000))*1,[1]OUT_TransportEnergyCons!I$3:I$1000)</f>
        <v>0.24502051137732159</v>
      </c>
      <c r="L1667" s="1" cm="1">
        <f t="array" ref="L1667">SUMPRODUCT(("TPRLPELCEXT"=[1]OUT_TransportEnergyCons!$A$3:$A$1000)*1,("var_fout"=[1]OUT_TransportEnergyCons!$B$3:$B$1000)*1,ISNUMBER(SEARCH("TPRLP",[1]OUT_TransportEnergyCons!$C$3:$C$1000))*1,[1]OUT_TransportEnergyCons!J$3:J$1000)</f>
        <v>0.25420682833729058</v>
      </c>
      <c r="M1667" s="1" cm="1">
        <f t="array" ref="M1667">SUMPRODUCT(("TPRLPELCEXT"=[1]OUT_TransportEnergyCons!$A$3:$A$1000)*1,("var_fout"=[1]OUT_TransportEnergyCons!$B$3:$B$1000)*1,ISNUMBER(SEARCH("TPRLP",[1]OUT_TransportEnergyCons!$C$3:$C$1000))*1,[1]OUT_TransportEnergyCons!K$3:K$1000)</f>
        <v>0.26339340045127269</v>
      </c>
      <c r="N1667" s="1" cm="1">
        <f t="array" ref="N1667">SUMPRODUCT(("TPRLPELCEXT"=[1]OUT_TransportEnergyCons!$A$3:$A$1000)*1,("var_fout"=[1]OUT_TransportEnergyCons!$B$3:$B$1000)*1,ISNUMBER(SEARCH("TPRLP",[1]OUT_TransportEnergyCons!$C$3:$C$1000))*1,[1]OUT_TransportEnergyCons!L$3:L$1000)</f>
        <v>0.27582939137801904</v>
      </c>
      <c r="O1667" s="1" cm="1">
        <f t="array" ref="O1667">SUMPRODUCT(("TPRLPELCEXT"=[1]OUT_TransportEnergyCons!$A$3:$A$1000)*1,("var_fout"=[1]OUT_TransportEnergyCons!$B$3:$B$1000)*1,ISNUMBER(SEARCH("TPRLP",[1]OUT_TransportEnergyCons!$C$3:$C$1000))*1,[1]OUT_TransportEnergyCons!M$3:M$1000)</f>
        <v>0.28823268605345836</v>
      </c>
      <c r="P1667" s="1" cm="1">
        <f t="array" ref="P1667">SUMPRODUCT(("TPRLPELCEXT"=[1]OUT_TransportEnergyCons!$A$3:$A$1000)*1,("var_fout"=[1]OUT_TransportEnergyCons!$B$3:$B$1000)*1,ISNUMBER(SEARCH("TPRLP",[1]OUT_TransportEnergyCons!$C$3:$C$1000))*1,[1]OUT_TransportEnergyCons!N$3:N$1000)</f>
        <v>0.30060921415604086</v>
      </c>
      <c r="Q1667" s="1" cm="1">
        <f t="array" ref="Q1667">SUMPRODUCT(("TPRLPELCEXT"=[1]OUT_TransportEnergyCons!$A$3:$A$1000)*1,("var_fout"=[1]OUT_TransportEnergyCons!$B$3:$B$1000)*1,ISNUMBER(SEARCH("TPRLP",[1]OUT_TransportEnergyCons!$C$3:$C$1000))*1,[1]OUT_TransportEnergyCons!O$3:O$1000)</f>
        <v>0.31294491203961922</v>
      </c>
      <c r="S1667" s="3"/>
    </row>
    <row r="1668" spans="2:19" x14ac:dyDescent="0.5">
      <c r="B1668" t="str">
        <f t="shared" si="1875"/>
        <v>SPS1</v>
      </c>
      <c r="C1668" t="str">
        <f t="shared" si="1852"/>
        <v>CH</v>
      </c>
      <c r="D1668" t="s">
        <v>1676</v>
      </c>
      <c r="E1668" t="str">
        <f t="shared" ref="E1668:E1671" si="187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2.5094614817100697E-2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2.7685576919672335E-2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2.9169063213674341E-2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3.1641673707225502E-2</v>
      </c>
      <c r="J1668" s="1" cm="1">
        <f t="array" ref="J1668">SUMPRODUCT(("TFRLFELCEXT"=[1]OUT_TransportEnergyCons!$A$3:$A$1000)*1,("var_fout"=[1]OUT_TransportEnergyCons!$B$3:$B$1000)*1,ISNUMBER(SEARCH("TfRLf",[1]OUT_TransportEnergyCons!$C$3:$C$1000))*1,[1]OUT_TransportEnergyCons!H$3:H$1000)</f>
        <v>3.3095725599905042E-2</v>
      </c>
      <c r="K1668" s="1" cm="1">
        <f t="array" ref="K1668">SUMPRODUCT(("TFRLFELCEXT"=[1]OUT_TransportEnergyCons!$A$3:$A$1000)*1,("var_fout"=[1]OUT_TransportEnergyCons!$B$3:$B$1000)*1,ISNUMBER(SEARCH("TfRLf",[1]OUT_TransportEnergyCons!$C$3:$C$1000))*1,[1]OUT_TransportEnergyCons!I$3:I$1000)</f>
        <v>3.387588766719294E-2</v>
      </c>
      <c r="L1668" s="1" cm="1">
        <f t="array" ref="L1668">SUMPRODUCT(("TFRLFELCEXT"=[1]OUT_TransportEnergyCons!$A$3:$A$1000)*1,("var_fout"=[1]OUT_TransportEnergyCons!$B$3:$B$1000)*1,ISNUMBER(SEARCH("TfRLf",[1]OUT_TransportEnergyCons!$C$3:$C$1000))*1,[1]OUT_TransportEnergyCons!J$3:J$1000)</f>
        <v>3.5146837823479063E-2</v>
      </c>
      <c r="M1668" s="1" cm="1">
        <f t="array" ref="M1668">SUMPRODUCT(("TFRLFELCEXT"=[1]OUT_TransportEnergyCons!$A$3:$A$1000)*1,("var_fout"=[1]OUT_TransportEnergyCons!$B$3:$B$1000)*1,ISNUMBER(SEARCH("TfRLf",[1]OUT_TransportEnergyCons!$C$3:$C$1000))*1,[1]OUT_TransportEnergyCons!K$3:K$1000)</f>
        <v>3.6417025741594708E-2</v>
      </c>
      <c r="N1668" s="1" cm="1">
        <f t="array" ref="N1668">SUMPRODUCT(("TFRLFELCEXT"=[1]OUT_TransportEnergyCons!$A$3:$A$1000)*1,("var_fout"=[1]OUT_TransportEnergyCons!$B$3:$B$1000)*1,ISNUMBER(SEARCH("TfRLf",[1]OUT_TransportEnergyCons!$C$3:$C$1000))*1,[1]OUT_TransportEnergyCons!L$3:L$1000)</f>
        <v>3.6995458869704095E-2</v>
      </c>
      <c r="O1668" s="1" cm="1">
        <f t="array" ref="O1668">SUMPRODUCT(("TFRLFELCEXT"=[1]OUT_TransportEnergyCons!$A$3:$A$1000)*1,("var_fout"=[1]OUT_TransportEnergyCons!$B$3:$B$1000)*1,ISNUMBER(SEARCH("TfRLf",[1]OUT_TransportEnergyCons!$C$3:$C$1000))*1,[1]OUT_TransportEnergyCons!M$3:M$1000)</f>
        <v>3.7867816937734881E-2</v>
      </c>
      <c r="P1668" s="1" cm="1">
        <f t="array" ref="P1668">SUMPRODUCT(("TFRLFELCEXT"=[1]OUT_TransportEnergyCons!$A$3:$A$1000)*1,("var_fout"=[1]OUT_TransportEnergyCons!$B$3:$B$1000)*1,ISNUMBER(SEARCH("TfRLf",[1]OUT_TransportEnergyCons!$C$3:$C$1000))*1,[1]OUT_TransportEnergyCons!N$3:N$1000)</f>
        <v>3.8117152549943516E-2</v>
      </c>
      <c r="Q1668" s="1" cm="1">
        <f t="array" ref="Q1668">SUMPRODUCT(("TFRLFELCEXT"=[1]OUT_TransportEnergyCons!$A$3:$A$1000)*1,("var_fout"=[1]OUT_TransportEnergyCons!$B$3:$B$1000)*1,ISNUMBER(SEARCH("TfRLf",[1]OUT_TransportEnergyCons!$C$3:$C$1000))*1,[1]OUT_TransportEnergyCons!O$3:O$1000)</f>
        <v>3.8604280419568461E-2</v>
      </c>
      <c r="S1668" s="3"/>
    </row>
    <row r="1669" spans="2:19" x14ac:dyDescent="0.5">
      <c r="B1669" t="str">
        <f t="shared" si="1875"/>
        <v>SPS1</v>
      </c>
      <c r="C1669" t="str">
        <f t="shared" si="185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4.5411217346278097E-6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2.1664374999887301E-5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3.7834472363513E-5</v>
      </c>
      <c r="J1669" s="1" cm="1">
        <f t="array" ref="J1669">SUMPRODUCT(("TPSHPELCEXT"=[1]OUT_TransportEnergyCons!$A$3:$A$1000)*1,("var_fout"=[1]OUT_TransportEnergyCons!$B$3:$B$1000)*1,ISNUMBER(SEARCH("TPSHP",[1]OUT_TransportEnergyCons!$C$3:$C$1000))*1,[1]OUT_TransportEnergyCons!H$3:H$1000)</f>
        <v>1.7428980985110799E-4</v>
      </c>
      <c r="K1669" s="1" cm="1">
        <f t="array" ref="K1669">SUMPRODUCT(("TPSHPELCEXT"=[1]OUT_TransportEnergyCons!$A$3:$A$1000)*1,("var_fout"=[1]OUT_TransportEnergyCons!$B$3:$B$1000)*1,ISNUMBER(SEARCH("TPSHP",[1]OUT_TransportEnergyCons!$C$3:$C$1000))*1,[1]OUT_TransportEnergyCons!I$3:I$1000)</f>
        <v>1.46643113802717</v>
      </c>
      <c r="L1669" s="1" cm="1">
        <f t="array" ref="L1669">SUMPRODUCT(("TPSHPELCEXT"=[1]OUT_TransportEnergyCons!$A$3:$A$1000)*1,("var_fout"=[1]OUT_TransportEnergyCons!$B$3:$B$1000)*1,ISNUMBER(SEARCH("TPSHP",[1]OUT_TransportEnergyCons!$C$3:$C$1000))*1,[1]OUT_TransportEnergyCons!J$3:J$1000)</f>
        <v>3.2925101455066601</v>
      </c>
      <c r="M1669" s="1" cm="1">
        <f t="array" ref="M1669">SUMPRODUCT(("TPSHPELCEXT"=[1]OUT_TransportEnergyCons!$A$3:$A$1000)*1,("var_fout"=[1]OUT_TransportEnergyCons!$B$3:$B$1000)*1,ISNUMBER(SEARCH("TPSHP",[1]OUT_TransportEnergyCons!$C$3:$C$1000))*1,[1]OUT_TransportEnergyCons!K$3:K$1000)</f>
        <v>4.0377980115369603</v>
      </c>
      <c r="N1669" s="1" cm="1">
        <f t="array" ref="N1669">SUMPRODUCT(("TPSHPELCEXT"=[1]OUT_TransportEnergyCons!$A$3:$A$1000)*1,("var_fout"=[1]OUT_TransportEnergyCons!$B$3:$B$1000)*1,ISNUMBER(SEARCH("TPSHP",[1]OUT_TransportEnergyCons!$C$3:$C$1000))*1,[1]OUT_TransportEnergyCons!L$3:L$1000)</f>
        <v>4.0380067031855198</v>
      </c>
      <c r="O1669" s="1" cm="1">
        <f t="array" ref="O1669">SUMPRODUCT(("TPSHPELCEXT"=[1]OUT_TransportEnergyCons!$A$3:$A$1000)*1,("var_fout"=[1]OUT_TransportEnergyCons!$B$3:$B$1000)*1,ISNUMBER(SEARCH("TPSHP",[1]OUT_TransportEnergyCons!$C$3:$C$1000))*1,[1]OUT_TransportEnergyCons!M$3:M$1000)</f>
        <v>10.535508976982801</v>
      </c>
      <c r="P1669" s="1" cm="1">
        <f t="array" ref="P1669">SUMPRODUCT(("TPSHPELCEXT"=[1]OUT_TransportEnergyCons!$A$3:$A$1000)*1,("var_fout"=[1]OUT_TransportEnergyCons!$B$3:$B$1000)*1,ISNUMBER(SEARCH("TPSHP",[1]OUT_TransportEnergyCons!$C$3:$C$1000))*1,[1]OUT_TransportEnergyCons!N$3:N$1000)</f>
        <v>14.132312039673</v>
      </c>
      <c r="Q1669" s="1" cm="1">
        <f t="array" ref="Q1669">SUMPRODUCT(("TPSHPELCEXT"=[1]OUT_TransportEnergyCons!$A$3:$A$1000)*1,("var_fout"=[1]OUT_TransportEnergyCons!$B$3:$B$1000)*1,ISNUMBER(SEARCH("TPSHP",[1]OUT_TransportEnergyCons!$C$3:$C$1000))*1,[1]OUT_TransportEnergyCons!O$3:O$1000)</f>
        <v>14.1322929819981</v>
      </c>
      <c r="S1669" s="3"/>
    </row>
    <row r="1670" spans="2:19" x14ac:dyDescent="0.5">
      <c r="B1670" t="str">
        <f t="shared" si="1875"/>
        <v>SPS1</v>
      </c>
      <c r="C1670" t="str">
        <f t="shared" si="185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SUMPRODUCT(("TPRLPH2OFCL"=[1]OUT_TransportEnergyCons!$A$3:$A$1000)*1,("var_fout"=[1]OUT_TransportEnergyCons!$B$3:$B$1000)*1,ISNUMBER(SEARCH("TPRLP",[1]OUT_TransportEnergyCons!$C$3:$C$1000))*1,[1]OUT_TransportEnergyCons!H$3:H$1000)</f>
        <v>0</v>
      </c>
      <c r="K1670" s="1" cm="1">
        <f t="array" ref="K1670">SUMPRODUCT(("TPRLPH2OFCL"=[1]OUT_TransportEnergyCons!$A$3:$A$1000)*1,("var_fout"=[1]OUT_TransportEnergyCons!$B$3:$B$1000)*1,ISNUMBER(SEARCH("TPRLP",[1]OUT_TransportEnergyCons!$C$3:$C$1000))*1,[1]OUT_TransportEnergyCons!I$3:I$1000)</f>
        <v>4.7977417500222031E-6</v>
      </c>
      <c r="L1670" s="1" cm="1">
        <f t="array" ref="L1670">SUMPRODUCT(("TPRLPH2OFCL"=[1]OUT_TransportEnergyCons!$A$3:$A$1000)*1,("var_fout"=[1]OUT_TransportEnergyCons!$B$3:$B$1000)*1,ISNUMBER(SEARCH("TPRLP",[1]OUT_TransportEnergyCons!$C$3:$C$1000))*1,[1]OUT_TransportEnergyCons!J$3:J$1000)</f>
        <v>6.2856561296323679E-6</v>
      </c>
      <c r="M1670" s="1" cm="1">
        <f t="array" ref="M1670">SUMPRODUCT(("TPRLPH2OFCL"=[1]OUT_TransportEnergyCons!$A$3:$A$1000)*1,("var_fout"=[1]OUT_TransportEnergyCons!$B$3:$B$1000)*1,ISNUMBER(SEARCH("TPRLP",[1]OUT_TransportEnergyCons!$C$3:$C$1000))*1,[1]OUT_TransportEnergyCons!K$3:K$1000)</f>
        <v>7.4736474426681911E-6</v>
      </c>
      <c r="N1670" s="1" cm="1">
        <f t="array" ref="N1670">SUMPRODUCT(("TPRLPH2OFCL"=[1]OUT_TransportEnergyCons!$A$3:$A$1000)*1,("var_fout"=[1]OUT_TransportEnergyCons!$B$3:$B$1000)*1,ISNUMBER(SEARCH("TPRLP",[1]OUT_TransportEnergyCons!$C$3:$C$1000))*1,[1]OUT_TransportEnergyCons!L$3:L$1000)</f>
        <v>7.6756233711170515E-6</v>
      </c>
      <c r="O1670" s="1" cm="1">
        <f t="array" ref="O1670">SUMPRODUCT(("TPRLPH2OFCL"=[1]OUT_TransportEnergyCons!$A$3:$A$1000)*1,("var_fout"=[1]OUT_TransportEnergyCons!$B$3:$B$1000)*1,ISNUMBER(SEARCH("TPRLP",[1]OUT_TransportEnergyCons!$C$3:$C$1000))*1,[1]OUT_TransportEnergyCons!M$3:M$1000)</f>
        <v>1.0401730440364714E-5</v>
      </c>
      <c r="P1670" s="1" cm="1">
        <f t="array" ref="P1670">SUMPRODUCT(("TPRLPH2OFCL"=[1]OUT_TransportEnergyCons!$A$3:$A$1000)*1,("var_fout"=[1]OUT_TransportEnergyCons!$B$3:$B$1000)*1,ISNUMBER(SEARCH("TPRLP",[1]OUT_TransportEnergyCons!$C$3:$C$1000))*1,[1]OUT_TransportEnergyCons!N$3:N$1000)</f>
        <v>9.7826151008857062E-6</v>
      </c>
      <c r="Q1670" s="1" cm="1">
        <f t="array" ref="Q1670">SUMPRODUCT(("TPRLPH2OFCL"=[1]OUT_TransportEnergyCons!$A$3:$A$1000)*1,("var_fout"=[1]OUT_TransportEnergyCons!$B$3:$B$1000)*1,ISNUMBER(SEARCH("TPRLP",[1]OUT_TransportEnergyCons!$C$3:$C$1000))*1,[1]OUT_TransportEnergyCons!O$3:O$1000)</f>
        <v>2.0108420831086387E-5</v>
      </c>
      <c r="S1670" s="3"/>
    </row>
    <row r="1671" spans="2:19" x14ac:dyDescent="0.5">
      <c r="B1671" t="str">
        <f t="shared" si="1875"/>
        <v>SPS1</v>
      </c>
      <c r="C1671" t="str">
        <f t="shared" si="1852"/>
        <v>CH</v>
      </c>
      <c r="D1671" t="s">
        <v>1679</v>
      </c>
      <c r="E1671" t="str">
        <f t="shared" si="187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SUMPRODUCT(("TFRLFH2OFCL"=[1]OUT_TransportEnergyCons!$A$3:$A$1000)*1,("var_fout"=[1]OUT_TransportEnergyCons!$B$3:$B$1000)*1,ISNUMBER(SEARCH("TfRLf",[1]OUT_TransportEnergyCons!$C$3:$C$1000))*1,[1]OUT_TransportEnergyCons!H$3:H$1000)</f>
        <v>0</v>
      </c>
      <c r="K1671" s="1" cm="1">
        <f t="array" ref="K1671">SUMPRODUCT(("TFRLFH2OFCL"=[1]OUT_TransportEnergyCons!$A$3:$A$1000)*1,("var_fout"=[1]OUT_TransportEnergyCons!$B$3:$B$1000)*1,ISNUMBER(SEARCH("TfRLf",[1]OUT_TransportEnergyCons!$C$3:$C$1000))*1,[1]OUT_TransportEnergyCons!I$3:I$1000)</f>
        <v>1.3924239881828992E-6</v>
      </c>
      <c r="L1671" s="1" cm="1">
        <f t="array" ref="L1671">SUMPRODUCT(("TFRLFH2OFCL"=[1]OUT_TransportEnergyCons!$A$3:$A$1000)*1,("var_fout"=[1]OUT_TransportEnergyCons!$B$3:$B$1000)*1,ISNUMBER(SEARCH("TfRLf",[1]OUT_TransportEnergyCons!$C$3:$C$1000))*1,[1]OUT_TransportEnergyCons!J$3:J$1000)</f>
        <v>1.5343182533879567E-6</v>
      </c>
      <c r="M1671" s="1" cm="1">
        <f t="array" ref="M1671">SUMPRODUCT(("TFRLFH2OFCL"=[1]OUT_TransportEnergyCons!$A$3:$A$1000)*1,("var_fout"=[1]OUT_TransportEnergyCons!$B$3:$B$1000)*1,ISNUMBER(SEARCH("TfRLf",[1]OUT_TransportEnergyCons!$C$3:$C$1000))*1,[1]OUT_TransportEnergyCons!K$3:K$1000)</f>
        <v>2.5695051948092978E-6</v>
      </c>
      <c r="N1671" s="1" cm="1">
        <f t="array" ref="N1671">SUMPRODUCT(("TFRLFH2OFCL"=[1]OUT_TransportEnergyCons!$A$3:$A$1000)*1,("var_fout"=[1]OUT_TransportEnergyCons!$B$3:$B$1000)*1,ISNUMBER(SEARCH("TfRLf",[1]OUT_TransportEnergyCons!$C$3:$C$1000))*1,[1]OUT_TransportEnergyCons!L$3:L$1000)</f>
        <v>2.642946846010856E-6</v>
      </c>
      <c r="O1671" s="1" cm="1">
        <f t="array" ref="O1671">SUMPRODUCT(("TFRLFH2OFCL"=[1]OUT_TransportEnergyCons!$A$3:$A$1000)*1,("var_fout"=[1]OUT_TransportEnergyCons!$B$3:$B$1000)*1,ISNUMBER(SEARCH("TfRLf",[1]OUT_TransportEnergyCons!$C$3:$C$1000))*1,[1]OUT_TransportEnergyCons!M$3:M$1000)</f>
        <v>3.530472109534578E-6</v>
      </c>
      <c r="P1671" s="1" cm="1">
        <f t="array" ref="P1671">SUMPRODUCT(("TFRLFH2OFCL"=[1]OUT_TransportEnergyCons!$A$3:$A$1000)*1,("var_fout"=[1]OUT_TransportEnergyCons!$B$3:$B$1000)*1,ISNUMBER(SEARCH("TfRLf",[1]OUT_TransportEnergyCons!$C$3:$C$1000))*1,[1]OUT_TransportEnergyCons!N$3:N$1000)</f>
        <v>3.4062276606116057E-6</v>
      </c>
      <c r="Q1671" s="1" cm="1">
        <f t="array" ref="Q1671">SUMPRODUCT(("TFRLFH2OFCL"=[1]OUT_TransportEnergyCons!$A$3:$A$1000)*1,("var_fout"=[1]OUT_TransportEnergyCons!$B$3:$B$1000)*1,ISNUMBER(SEARCH("TfRLf",[1]OUT_TransportEnergyCons!$C$3:$C$1000))*1,[1]OUT_TransportEnergyCons!O$3:O$1000)</f>
        <v>9.734940130101269E-6</v>
      </c>
      <c r="S1671" s="3"/>
    </row>
    <row r="1672" spans="2:19" x14ac:dyDescent="0.5">
      <c r="B1672" t="str">
        <f t="shared" si="1875"/>
        <v>SPS1</v>
      </c>
      <c r="C1672" t="str">
        <f t="shared" si="185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SUMPRODUCT(("TPSHPH2OEXT"=[1]OUT_TransportEnergyCons!$A$3:$A$1000)*1,("var_fout"=[1]OUT_TransportEnergyCons!$B$3:$B$1000)*1,ISNUMBER(SEARCH("TPSHP",[1]OUT_TransportEnergyCons!$C$3:$C$1000))*1,[1]OUT_TransportEnergyCons!H$3:H$1000)</f>
        <v>5.75637904236608E-5</v>
      </c>
      <c r="K1672" s="1" cm="1">
        <f t="array" ref="K1672">SUMPRODUCT(("TPSHPH2OEXT"=[1]OUT_TransportEnergyCons!$A$3:$A$1000)*1,("var_fout"=[1]OUT_TransportEnergyCons!$B$3:$B$1000)*1,ISNUMBER(SEARCH("TPSHP",[1]OUT_TransportEnergyCons!$C$3:$C$1000))*1,[1]OUT_TransportEnergyCons!I$3:I$1000)</f>
        <v>6.3752986114266302E-5</v>
      </c>
      <c r="L1672" s="1" cm="1">
        <f t="array" ref="L1672">SUMPRODUCT(("TPSHPH2OEXT"=[1]OUT_TransportEnergyCons!$A$3:$A$1000)*1,("var_fout"=[1]OUT_TransportEnergyCons!$B$3:$B$1000)*1,ISNUMBER(SEARCH("TPSHP",[1]OUT_TransportEnergyCons!$C$3:$C$1000))*1,[1]OUT_TransportEnergyCons!J$3:J$1000)</f>
        <v>8.8048926185580901E-5</v>
      </c>
      <c r="M1672" s="1" cm="1">
        <f t="array" ref="M1672">SUMPRODUCT(("TPSHPH2OEXT"=[1]OUT_TransportEnergyCons!$A$3:$A$1000)*1,("var_fout"=[1]OUT_TransportEnergyCons!$B$3:$B$1000)*1,ISNUMBER(SEARCH("TPSHP",[1]OUT_TransportEnergyCons!$C$3:$C$1000))*1,[1]OUT_TransportEnergyCons!K$3:K$1000)</f>
        <v>1.2656238113809901E-4</v>
      </c>
      <c r="N1672" s="1" cm="1">
        <f t="array" ref="N1672">SUMPRODUCT(("TPSHPH2OEXT"=[1]OUT_TransportEnergyCons!$A$3:$A$1000)*1,("var_fout"=[1]OUT_TransportEnergyCons!$B$3:$B$1000)*1,ISNUMBER(SEARCH("TPSHP",[1]OUT_TransportEnergyCons!$C$3:$C$1000))*1,[1]OUT_TransportEnergyCons!L$3:L$1000)</f>
        <v>1.32923349948916E-4</v>
      </c>
      <c r="O1672" s="1" cm="1">
        <f t="array" ref="O1672">SUMPRODUCT(("TPSHPH2OEXT"=[1]OUT_TransportEnergyCons!$A$3:$A$1000)*1,("var_fout"=[1]OUT_TransportEnergyCons!$B$3:$B$1000)*1,ISNUMBER(SEARCH("TPSHP",[1]OUT_TransportEnergyCons!$C$3:$C$1000))*1,[1]OUT_TransportEnergyCons!M$3:M$1000)</f>
        <v>1.59240969922028E-4</v>
      </c>
      <c r="P1672" s="1" cm="1">
        <f t="array" ref="P1672">SUMPRODUCT(("TPSHPH2OEXT"=[1]OUT_TransportEnergyCons!$A$3:$A$1000)*1,("var_fout"=[1]OUT_TransportEnergyCons!$B$3:$B$1000)*1,ISNUMBER(SEARCH("TPSHP",[1]OUT_TransportEnergyCons!$C$3:$C$1000))*1,[1]OUT_TransportEnergyCons!N$3:N$1000)</f>
        <v>1.6820005295812001E-4</v>
      </c>
      <c r="Q1672" s="1" cm="1">
        <f t="array" ref="Q1672">SUMPRODUCT(("TPSHPH2OEXT"=[1]OUT_TransportEnergyCons!$A$3:$A$1000)*1,("var_fout"=[1]OUT_TransportEnergyCons!$B$3:$B$1000)*1,ISNUMBER(SEARCH("TPSHP",[1]OUT_TransportEnergyCons!$C$3:$C$1000))*1,[1]OUT_TransportEnergyCons!O$3:O$1000)</f>
        <v>1.8498178947703799E-4</v>
      </c>
      <c r="S1672" s="3"/>
    </row>
    <row r="1673" spans="2:19" x14ac:dyDescent="0.5">
      <c r="B1673" t="str">
        <f t="shared" si="1875"/>
        <v>SPS1</v>
      </c>
      <c r="C1673" t="str">
        <f t="shared" si="185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0.72172101509612996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1.44712135744773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1.9058665751025401</v>
      </c>
      <c r="J1673" s="1" cm="1">
        <f t="array" ref="J1673">SUMPRODUCT(("TPSHPGSLEXT"=[1]OUT_TransportEnergyCons!$A$3:$A$1000)*1,("var_fout"=[1]OUT_TransportEnergyCons!$B$3:$B$1000)*1,ISNUMBER(SEARCH("TPSHP",[1]OUT_TransportEnergyCons!$C$3:$C$1000))*1,[1]OUT_TransportEnergyCons!H$3:H$1000)</f>
        <v>2.4386737971161199</v>
      </c>
      <c r="K1673" s="1" cm="1">
        <f t="array" ref="K1673">SUMPRODUCT(("TPSHPGSLEXT"=[1]OUT_TransportEnergyCons!$A$3:$A$1000)*1,("var_fout"=[1]OUT_TransportEnergyCons!$B$3:$B$1000)*1,ISNUMBER(SEARCH("TPSHP",[1]OUT_TransportEnergyCons!$C$3:$C$1000))*1,[1]OUT_TransportEnergyCons!I$3:I$1000)</f>
        <v>1.5054031371040599</v>
      </c>
      <c r="L1673" s="1" cm="1">
        <f t="array" ref="L1673">SUMPRODUCT(("TPSHPGSLEXT"=[1]OUT_TransportEnergyCons!$A$3:$A$1000)*1,("var_fout"=[1]OUT_TransportEnergyCons!$B$3:$B$1000)*1,ISNUMBER(SEARCH("TPSHP",[1]OUT_TransportEnergyCons!$C$3:$C$1000))*1,[1]OUT_TransportEnergyCons!J$3:J$1000)</f>
        <v>0.74513158913794098</v>
      </c>
      <c r="M1673" s="1" cm="1">
        <f t="array" ref="M1673">SUMPRODUCT(("TPSHPGSLEXT"=[1]OUT_TransportEnergyCons!$A$3:$A$1000)*1,("var_fout"=[1]OUT_TransportEnergyCons!$B$3:$B$1000)*1,ISNUMBER(SEARCH("TPSHP",[1]OUT_TransportEnergyCons!$C$3:$C$1000))*1,[1]OUT_TransportEnergyCons!K$3:K$1000)</f>
        <v>0</v>
      </c>
      <c r="N1673" s="1" cm="1">
        <f t="array" ref="N1673">SUMPRODUCT(("TPSHPGSLEXT"=[1]OUT_TransportEnergyCons!$A$3:$A$1000)*1,("var_fout"=[1]OUT_TransportEnergyCons!$B$3:$B$1000)*1,ISNUMBER(SEARCH("TPSHP",[1]OUT_TransportEnergyCons!$C$3:$C$1000))*1,[1]OUT_TransportEnergyCons!L$3:L$1000)</f>
        <v>0</v>
      </c>
      <c r="O1673" s="1" cm="1">
        <f t="array" ref="O1673">SUMPRODUCT(("TPSHPGSLEXT"=[1]OUT_TransportEnergyCons!$A$3:$A$1000)*1,("var_fout"=[1]OUT_TransportEnergyCons!$B$3:$B$1000)*1,ISNUMBER(SEARCH("TPSHP",[1]OUT_TransportEnergyCons!$C$3:$C$1000))*1,[1]OUT_TransportEnergyCons!M$3:M$1000)</f>
        <v>0</v>
      </c>
      <c r="P1673" s="1" cm="1">
        <f t="array" ref="P1673">SUMPRODUCT(("TPSHPGSLEXT"=[1]OUT_TransportEnergyCons!$A$3:$A$1000)*1,("var_fout"=[1]OUT_TransportEnergyCons!$B$3:$B$1000)*1,ISNUMBER(SEARCH("TPSHP",[1]OUT_TransportEnergyCons!$C$3:$C$1000))*1,[1]OUT_TransportEnergyCons!N$3:N$1000)</f>
        <v>0</v>
      </c>
      <c r="Q1673" s="1" cm="1">
        <f t="array" ref="Q1673">SUMPRODUCT(("TPSHPGSLEXT"=[1]OUT_TransportEnergyCons!$A$3:$A$1000)*1,("var_fout"=[1]OUT_TransportEnergyCons!$B$3:$B$1000)*1,ISNUMBER(SEARCH("TPSHP",[1]OUT_TransportEnergyCons!$C$3:$C$1000))*1,[1]OUT_TransportEnergyCons!O$3:O$1000)</f>
        <v>0</v>
      </c>
      <c r="S1673" s="3"/>
    </row>
    <row r="1674" spans="2:19" x14ac:dyDescent="0.5">
      <c r="B1674" t="str">
        <f t="shared" si="1875"/>
        <v>SPS1</v>
      </c>
      <c r="C1674" t="str">
        <f t="shared" si="185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SUMPRODUCT(("TPRLPDSLEXT"=[1]OUT_TransportEnergyCons!$A$3:$A$1000)*1,("var_fout"=[1]OUT_TransportEnergyCons!$B$3:$B$1000)*1,ISNUMBER(SEARCH("TPRLP",[1]OUT_TransportEnergyCons!$C$3:$C$1000))*1,[1]OUT_TransportEnergyCons!H$3:H$1000)</f>
        <v>0</v>
      </c>
      <c r="K1674" s="1" cm="1">
        <f t="array" ref="K1674">SUMPRODUCT(("TPRLPDSLEXT"=[1]OUT_TransportEnergyCons!$A$3:$A$1000)*1,("var_fout"=[1]OUT_TransportEnergyCons!$B$3:$B$1000)*1,ISNUMBER(SEARCH("TPRLP",[1]OUT_TransportEnergyCons!$C$3:$C$1000))*1,[1]OUT_TransportEnergyCons!I$3:I$1000)</f>
        <v>0</v>
      </c>
      <c r="L1674" s="1" cm="1">
        <f t="array" ref="L1674">SUMPRODUCT(("TPRLPDSLEXT"=[1]OUT_TransportEnergyCons!$A$3:$A$1000)*1,("var_fout"=[1]OUT_TransportEnergyCons!$B$3:$B$1000)*1,ISNUMBER(SEARCH("TPRLP",[1]OUT_TransportEnergyCons!$C$3:$C$1000))*1,[1]OUT_TransportEnergyCons!J$3:J$1000)</f>
        <v>0</v>
      </c>
      <c r="M1674" s="1" cm="1">
        <f t="array" ref="M1674">SUMPRODUCT(("TPRLPDSLEXT"=[1]OUT_TransportEnergyCons!$A$3:$A$1000)*1,("var_fout"=[1]OUT_TransportEnergyCons!$B$3:$B$1000)*1,ISNUMBER(SEARCH("TPRLP",[1]OUT_TransportEnergyCons!$C$3:$C$1000))*1,[1]OUT_TransportEnergyCons!K$3:K$1000)</f>
        <v>0</v>
      </c>
      <c r="N1674" s="1" cm="1">
        <f t="array" ref="N1674">SUMPRODUCT(("TPRLPDSLEXT"=[1]OUT_TransportEnergyCons!$A$3:$A$1000)*1,("var_fout"=[1]OUT_TransportEnergyCons!$B$3:$B$1000)*1,ISNUMBER(SEARCH("TPRLP",[1]OUT_TransportEnergyCons!$C$3:$C$1000))*1,[1]OUT_TransportEnergyCons!L$3:L$1000)</f>
        <v>0</v>
      </c>
      <c r="O1674" s="1" cm="1">
        <f t="array" ref="O1674">SUMPRODUCT(("TPRLPDSLEXT"=[1]OUT_TransportEnergyCons!$A$3:$A$1000)*1,("var_fout"=[1]OUT_TransportEnergyCons!$B$3:$B$1000)*1,ISNUMBER(SEARCH("TPRLP",[1]OUT_TransportEnergyCons!$C$3:$C$1000))*1,[1]OUT_TransportEnergyCons!M$3:M$1000)</f>
        <v>0</v>
      </c>
      <c r="P1674" s="1" cm="1">
        <f t="array" ref="P1674">SUMPRODUCT(("TPRLPDSLEXT"=[1]OUT_TransportEnergyCons!$A$3:$A$1000)*1,("var_fout"=[1]OUT_TransportEnergyCons!$B$3:$B$1000)*1,ISNUMBER(SEARCH("TPRLP",[1]OUT_TransportEnergyCons!$C$3:$C$1000))*1,[1]OUT_TransportEnergyCons!N$3:N$1000)</f>
        <v>0</v>
      </c>
      <c r="Q1674" s="1" cm="1">
        <f t="array" ref="Q1674">SUMPRODUCT(("TPRLPDSLEXT"=[1]OUT_TransportEnergyCons!$A$3:$A$1000)*1,("var_fout"=[1]OUT_TransportEnergyCons!$B$3:$B$1000)*1,ISNUMBER(SEARCH("TPRLP",[1]OUT_TransportEnergyCons!$C$3:$C$1000))*1,[1]OUT_TransportEnergyCons!O$3:O$1000)</f>
        <v>0</v>
      </c>
      <c r="S1674" s="3"/>
    </row>
    <row r="1675" spans="2:19" x14ac:dyDescent="0.5">
      <c r="B1675" t="str">
        <f t="shared" si="1875"/>
        <v>SPS1</v>
      </c>
      <c r="C1675" t="str">
        <f t="shared" si="1852"/>
        <v>CH</v>
      </c>
      <c r="D1675" t="s">
        <v>1683</v>
      </c>
      <c r="E1675" t="str">
        <f t="shared" ref="E1675" si="187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1.6053851828993144E-3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2.3208239982831986E-6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2.4731394795321059E-6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2.5888398025274964E-6</v>
      </c>
      <c r="J1675" s="1" cm="1">
        <f t="array" ref="J1675">SUMPRODUCT(("TFRLFDSLEXT"=[1]OUT_TransportEnergyCons!$A$3:$A$1000)*1,("var_fout"=[1]OUT_TransportEnergyCons!$B$3:$B$1000)*1,ISNUMBER(SEARCH("TfRLf",[1]OUT_TransportEnergyCons!$C$3:$C$1000))*1,[1]OUT_TransportEnergyCons!H$3:H$1000)</f>
        <v>2.5190179165464279E-6</v>
      </c>
      <c r="K1675" s="1" cm="1">
        <f t="array" ref="K1675">SUMPRODUCT(("TFRLFDSLEXT"=[1]OUT_TransportEnergyCons!$A$3:$A$1000)*1,("var_fout"=[1]OUT_TransportEnergyCons!$B$3:$B$1000)*1,ISNUMBER(SEARCH("TfRLf",[1]OUT_TransportEnergyCons!$C$3:$C$1000))*1,[1]OUT_TransportEnergyCons!I$3:I$1000)</f>
        <v>2.5227227458151039E-6</v>
      </c>
      <c r="L1675" s="1" cm="1">
        <f t="array" ref="L1675">SUMPRODUCT(("TFRLFDSLEXT"=[1]OUT_TransportEnergyCons!$A$3:$A$1000)*1,("var_fout"=[1]OUT_TransportEnergyCons!$B$3:$B$1000)*1,ISNUMBER(SEARCH("TfRLf",[1]OUT_TransportEnergyCons!$C$3:$C$1000))*1,[1]OUT_TransportEnergyCons!J$3:J$1000)</f>
        <v>2.53630046634985E-6</v>
      </c>
      <c r="M1675" s="1" cm="1">
        <f t="array" ref="M1675">SUMPRODUCT(("TFRLFDSLEXT"=[1]OUT_TransportEnergyCons!$A$3:$A$1000)*1,("var_fout"=[1]OUT_TransportEnergyCons!$B$3:$B$1000)*1,ISNUMBER(SEARCH("TfRLf",[1]OUT_TransportEnergyCons!$C$3:$C$1000))*1,[1]OUT_TransportEnergyCons!K$3:K$1000)</f>
        <v>2.1637852737162089E-6</v>
      </c>
      <c r="N1675" s="1" cm="1">
        <f t="array" ref="N1675">SUMPRODUCT(("TFRLFDSLEXT"=[1]OUT_TransportEnergyCons!$A$3:$A$1000)*1,("var_fout"=[1]OUT_TransportEnergyCons!$B$3:$B$1000)*1,ISNUMBER(SEARCH("TfRLf",[1]OUT_TransportEnergyCons!$C$3:$C$1000))*1,[1]OUT_TransportEnergyCons!L$3:L$1000)</f>
        <v>1.4056361292586417E-6</v>
      </c>
      <c r="O1675" s="1" cm="1">
        <f t="array" ref="O1675">SUMPRODUCT(("TFRLFDSLEXT"=[1]OUT_TransportEnergyCons!$A$3:$A$1000)*1,("var_fout"=[1]OUT_TransportEnergyCons!$B$3:$B$1000)*1,ISNUMBER(SEARCH("TfRLf",[1]OUT_TransportEnergyCons!$C$3:$C$1000))*1,[1]OUT_TransportEnergyCons!M$3:M$1000)</f>
        <v>2.1806897580963903E-6</v>
      </c>
      <c r="P1675" s="1" cm="1">
        <f t="array" ref="P1675">SUMPRODUCT(("TFRLFDSLEXT"=[1]OUT_TransportEnergyCons!$A$3:$A$1000)*1,("var_fout"=[1]OUT_TransportEnergyCons!$B$3:$B$1000)*1,ISNUMBER(SEARCH("TfRLf",[1]OUT_TransportEnergyCons!$C$3:$C$1000))*1,[1]OUT_TransportEnergyCons!N$3:N$1000)</f>
        <v>2.2205155955059773E-6</v>
      </c>
      <c r="Q1675" s="1" cm="1">
        <f t="array" ref="Q1675">SUMPRODUCT(("TFRLFDSLEXT"=[1]OUT_TransportEnergyCons!$A$3:$A$1000)*1,("var_fout"=[1]OUT_TransportEnergyCons!$B$3:$B$1000)*1,ISNUMBER(SEARCH("TfRLf",[1]OUT_TransportEnergyCons!$C$3:$C$1000))*1,[1]OUT_TransportEnergyCons!O$3:O$1000)</f>
        <v>6.3099062403785002E-6</v>
      </c>
      <c r="S1675" s="3"/>
    </row>
    <row r="1676" spans="2:19" x14ac:dyDescent="0.5">
      <c r="B1676" t="str">
        <f t="shared" si="1875"/>
        <v>SPS1</v>
      </c>
      <c r="C1676" t="str">
        <f t="shared" si="185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17.176544029795298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15.577811050541399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14.245720805137699</v>
      </c>
      <c r="J1676" s="1" cm="1">
        <f t="array" ref="J1676">SUMPRODUCT(("TPSHPDSLEXT"=[1]OUT_TransportEnergyCons!$A$3:$A$1000)*1,("var_fout"=[1]OUT_TransportEnergyCons!$B$3:$B$1000)*1,ISNUMBER(SEARCH("TPSHP",[1]OUT_TransportEnergyCons!$C$3:$C$1000))*1,[1]OUT_TransportEnergyCons!H$3:H$1000)</f>
        <v>13.7127037120341</v>
      </c>
      <c r="K1676" s="1" cm="1">
        <f t="array" ref="K1676">SUMPRODUCT(("TPSHPDSLEXT"=[1]OUT_TransportEnergyCons!$A$3:$A$1000)*1,("var_fout"=[1]OUT_TransportEnergyCons!$B$3:$B$1000)*1,ISNUMBER(SEARCH("TPSHP",[1]OUT_TransportEnergyCons!$C$3:$C$1000))*1,[1]OUT_TransportEnergyCons!I$3:I$1000)</f>
        <v>13.1796862494606</v>
      </c>
      <c r="L1676" s="1" cm="1">
        <f t="array" ref="L1676">SUMPRODUCT(("TPSHPDSLEXT"=[1]OUT_TransportEnergyCons!$A$3:$A$1000)*1,("var_fout"=[1]OUT_TransportEnergyCons!$B$3:$B$1000)*1,ISNUMBER(SEARCH("TPSHP",[1]OUT_TransportEnergyCons!$C$3:$C$1000))*1,[1]OUT_TransportEnergyCons!J$3:J$1000)</f>
        <v>12.1138286687828</v>
      </c>
      <c r="M1676" s="1" cm="1">
        <f t="array" ref="M1676">SUMPRODUCT(("TPSHPDSLEXT"=[1]OUT_TransportEnergyCons!$A$3:$A$1000)*1,("var_fout"=[1]OUT_TransportEnergyCons!$B$3:$B$1000)*1,ISNUMBER(SEARCH("TPSHP",[1]OUT_TransportEnergyCons!$C$3:$C$1000))*1,[1]OUT_TransportEnergyCons!K$3:K$1000)</f>
        <v>12.113708213285101</v>
      </c>
      <c r="N1676" s="1" cm="1">
        <f t="array" ref="N1676">SUMPRODUCT(("TPSHPDSLEXT"=[1]OUT_TransportEnergyCons!$A$3:$A$1000)*1,("var_fout"=[1]OUT_TransportEnergyCons!$B$3:$B$1000)*1,ISNUMBER(SEARCH("TPSHP",[1]OUT_TransportEnergyCons!$C$3:$C$1000))*1,[1]OUT_TransportEnergyCons!L$3:L$1000)</f>
        <v>12.113437712433999</v>
      </c>
      <c r="O1676" s="1" cm="1">
        <f t="array" ref="O1676">SUMPRODUCT(("TPSHPDSLEXT"=[1]OUT_TransportEnergyCons!$A$3:$A$1000)*1,("var_fout"=[1]OUT_TransportEnergyCons!$B$3:$B$1000)*1,ISNUMBER(SEARCH("TPSHP",[1]OUT_TransportEnergyCons!$C$3:$C$1000))*1,[1]OUT_TransportEnergyCons!M$3:M$1000)</f>
        <v>5.6158984289109304</v>
      </c>
      <c r="P1676" s="1" cm="1">
        <f t="array" ref="P1676">SUMPRODUCT(("TPSHPDSLEXT"=[1]OUT_TransportEnergyCons!$A$3:$A$1000)*1,("var_fout"=[1]OUT_TransportEnergyCons!$B$3:$B$1000)*1,ISNUMBER(SEARCH("TPSHP",[1]OUT_TransportEnergyCons!$C$3:$C$1000))*1,[1]OUT_TransportEnergyCons!N$3:N$1000)</f>
        <v>2.0190584615639899</v>
      </c>
      <c r="Q1676" s="1" cm="1">
        <f t="array" ref="Q1676">SUMPRODUCT(("TPSHPDSLEXT"=[1]OUT_TransportEnergyCons!$A$3:$A$1000)*1,("var_fout"=[1]OUT_TransportEnergyCons!$B$3:$B$1000)*1,ISNUMBER(SEARCH("TPSHP",[1]OUT_TransportEnergyCons!$C$3:$C$1000))*1,[1]OUT_TransportEnergyCons!O$3:O$1000)</f>
        <v>2.0190391531099401</v>
      </c>
      <c r="S1676" s="3"/>
    </row>
    <row r="1677" spans="2:19" x14ac:dyDescent="0.5">
      <c r="B1677" s="2" t="str">
        <f t="shared" si="1875"/>
        <v>SPS1</v>
      </c>
      <c r="C1677" s="2" t="str">
        <f t="shared" si="1852"/>
        <v>CH</v>
      </c>
      <c r="D1677" s="2" t="s">
        <v>1685</v>
      </c>
      <c r="E1677" s="19" t="s">
        <v>292</v>
      </c>
      <c r="F1677" s="19" t="s">
        <v>292</v>
      </c>
      <c r="G1677" s="19" t="s">
        <v>292</v>
      </c>
      <c r="H1677" s="19" t="s">
        <v>292</v>
      </c>
      <c r="I1677" s="19" t="s">
        <v>292</v>
      </c>
      <c r="J1677" s="19" t="s">
        <v>292</v>
      </c>
      <c r="K1677" s="19" t="s">
        <v>292</v>
      </c>
      <c r="L1677" s="19" t="s">
        <v>292</v>
      </c>
      <c r="M1677" s="19" t="s">
        <v>292</v>
      </c>
      <c r="N1677" s="19" t="s">
        <v>292</v>
      </c>
      <c r="O1677" s="19" t="s">
        <v>292</v>
      </c>
      <c r="P1677" s="19" t="s">
        <v>292</v>
      </c>
      <c r="Q1677" s="19" t="s">
        <v>292</v>
      </c>
      <c r="S1677" s="3"/>
    </row>
    <row r="1678" spans="2:19" x14ac:dyDescent="0.5">
      <c r="B1678" t="str">
        <f t="shared" si="1875"/>
        <v>SPS1</v>
      </c>
      <c r="C1678" t="str">
        <f t="shared" si="1852"/>
        <v>CH</v>
      </c>
      <c r="D1678" t="s">
        <v>1686</v>
      </c>
      <c r="E1678" t="s">
        <v>1229</v>
      </c>
      <c r="F1678" s="7">
        <f t="shared" ref="F1678:K1680" si="1878">IFERROR(F1667/F1642,"-")</f>
        <v>2.5309161094553195E-2</v>
      </c>
      <c r="G1678" s="7">
        <f t="shared" si="1878"/>
        <v>2.5301857215832019E-2</v>
      </c>
      <c r="H1678" s="7">
        <f t="shared" si="1878"/>
        <v>2.5290901397750198E-2</v>
      </c>
      <c r="I1678" s="7">
        <f t="shared" si="1878"/>
        <v>2.5272641700947188E-2</v>
      </c>
      <c r="J1678" s="7">
        <f t="shared" si="1878"/>
        <v>2.5254382004144305E-2</v>
      </c>
      <c r="K1678" s="7">
        <f t="shared" si="1878"/>
        <v>2.523612230734126E-2</v>
      </c>
      <c r="L1678" s="7">
        <f t="shared" ref="L1678:O1678" si="1879">IFERROR(L1667/L1642,"-")</f>
        <v>2.5217862610538308E-2</v>
      </c>
      <c r="M1678" s="7">
        <f t="shared" si="1879"/>
        <v>2.5199602913735322E-2</v>
      </c>
      <c r="N1678" s="7">
        <f t="shared" si="1879"/>
        <v>2.5199602913735276E-2</v>
      </c>
      <c r="O1678" s="7">
        <f t="shared" si="1879"/>
        <v>2.5199602913735297E-2</v>
      </c>
      <c r="P1678" s="7">
        <f t="shared" ref="P1678:Q1680" si="1880">IFERROR(P1667/P1642,"-")</f>
        <v>2.5199602913735287E-2</v>
      </c>
      <c r="Q1678" s="7">
        <f t="shared" si="1880"/>
        <v>2.5199602913735332E-2</v>
      </c>
      <c r="S1678" s="3"/>
    </row>
    <row r="1679" spans="2:19" x14ac:dyDescent="0.5">
      <c r="B1679" t="str">
        <f t="shared" si="1875"/>
        <v>SPS1</v>
      </c>
      <c r="C1679" t="str">
        <f t="shared" si="1852"/>
        <v>CH</v>
      </c>
      <c r="D1679" t="s">
        <v>1687</v>
      </c>
      <c r="E1679" t="s">
        <v>1229</v>
      </c>
      <c r="F1679" s="7">
        <f t="shared" si="1878"/>
        <v>1.6704032219401317E-2</v>
      </c>
      <c r="G1679" s="7">
        <f t="shared" si="1878"/>
        <v>1.6704032219401276E-2</v>
      </c>
      <c r="H1679" s="7">
        <f t="shared" si="1878"/>
        <v>1.6704032219401307E-2</v>
      </c>
      <c r="I1679" s="7">
        <f t="shared" si="1878"/>
        <v>1.6704032219401296E-2</v>
      </c>
      <c r="J1679" s="7">
        <f t="shared" si="1878"/>
        <v>1.6704032219401296E-2</v>
      </c>
      <c r="K1679" s="7">
        <f t="shared" si="1878"/>
        <v>1.6704032219401286E-2</v>
      </c>
      <c r="L1679" s="7">
        <f t="shared" ref="L1679:O1679" si="1881">IFERROR(L1668/L1643,"-")</f>
        <v>1.67040322194013E-2</v>
      </c>
      <c r="M1679" s="7">
        <f t="shared" si="1881"/>
        <v>1.6704032219401286E-2</v>
      </c>
      <c r="N1679" s="7">
        <f t="shared" si="1881"/>
        <v>1.6704032219401321E-2</v>
      </c>
      <c r="O1679" s="7">
        <f t="shared" si="1881"/>
        <v>1.6704032219401276E-2</v>
      </c>
      <c r="P1679" s="7">
        <f t="shared" si="1880"/>
        <v>1.6704032219401303E-2</v>
      </c>
      <c r="Q1679" s="7">
        <f t="shared" si="1880"/>
        <v>1.6704032219401293E-2</v>
      </c>
      <c r="S1679" s="3"/>
    </row>
    <row r="1680" spans="2:19" x14ac:dyDescent="0.5">
      <c r="B1680" t="str">
        <f t="shared" si="1875"/>
        <v>SPS1</v>
      </c>
      <c r="C1680" t="str">
        <f t="shared" si="1852"/>
        <v>CH</v>
      </c>
      <c r="D1680" t="s">
        <v>1688</v>
      </c>
      <c r="E1680" t="s">
        <v>240</v>
      </c>
      <c r="F1680" t="str">
        <f t="shared" si="1878"/>
        <v>-</v>
      </c>
      <c r="G1680">
        <f t="shared" si="1878"/>
        <v>2.4673913043478435</v>
      </c>
      <c r="H1680">
        <f t="shared" si="1878"/>
        <v>2.4673913043478306</v>
      </c>
      <c r="I1680">
        <f t="shared" si="1878"/>
        <v>2.4673913043478284</v>
      </c>
      <c r="J1680">
        <f t="shared" si="1878"/>
        <v>1.0359687331968593E-3</v>
      </c>
      <c r="K1680">
        <f t="shared" si="1878"/>
        <v>1.580148149777624</v>
      </c>
      <c r="L1680">
        <f t="shared" ref="L1680:O1680" si="1882">IFERROR(L1669/L1644,"-")</f>
        <v>1.6824801760582129</v>
      </c>
      <c r="M1680">
        <f t="shared" si="1882"/>
        <v>1.7137380022416673</v>
      </c>
      <c r="N1680">
        <f t="shared" si="1882"/>
        <v>1.6596825934686132</v>
      </c>
      <c r="O1680">
        <f t="shared" si="1882"/>
        <v>2.0287993966419355</v>
      </c>
      <c r="P1680">
        <f t="shared" si="1880"/>
        <v>2.1187943766053783</v>
      </c>
      <c r="Q1680">
        <f t="shared" si="1880"/>
        <v>2.1148623048310449</v>
      </c>
      <c r="S1680" s="3"/>
    </row>
    <row r="1681" spans="2:19" x14ac:dyDescent="0.5">
      <c r="B1681" t="str">
        <f t="shared" si="1875"/>
        <v>SPS1</v>
      </c>
      <c r="C1681" t="str">
        <f t="shared" si="1852"/>
        <v>CH</v>
      </c>
      <c r="D1681" t="s">
        <v>1689</v>
      </c>
      <c r="E1681" t="s">
        <v>1229</v>
      </c>
      <c r="F1681" t="str">
        <f t="shared" ref="F1681:K1683" si="1883">IFERROR(F1670/F1646,"-")</f>
        <v>-</v>
      </c>
      <c r="G1681" t="str">
        <f t="shared" si="1883"/>
        <v>-</v>
      </c>
      <c r="H1681" t="str">
        <f t="shared" si="1883"/>
        <v>-</v>
      </c>
      <c r="I1681" t="str">
        <f t="shared" si="1883"/>
        <v>-</v>
      </c>
      <c r="J1681" t="str">
        <f t="shared" si="1883"/>
        <v>-</v>
      </c>
      <c r="K1681">
        <f t="shared" si="1883"/>
        <v>1.7941883805152211E-2</v>
      </c>
      <c r="L1681">
        <f t="shared" ref="L1681:O1681" si="1884">IFERROR(L1670/L1646,"-")</f>
        <v>1.8630980592257325E-2</v>
      </c>
      <c r="M1681">
        <f t="shared" si="1884"/>
        <v>1.9320077379362411E-2</v>
      </c>
      <c r="N1681">
        <f t="shared" si="1884"/>
        <v>1.9320077379362411E-2</v>
      </c>
      <c r="O1681">
        <f t="shared" si="1884"/>
        <v>1.9320077379362397E-2</v>
      </c>
      <c r="P1681">
        <f t="shared" ref="P1681:Q1683" si="1885">IFERROR(P1670/P1646,"-")</f>
        <v>1.9320077379362401E-2</v>
      </c>
      <c r="Q1681">
        <f t="shared" si="1885"/>
        <v>1.9320077379362401E-2</v>
      </c>
      <c r="S1681" s="3"/>
    </row>
    <row r="1682" spans="2:19" x14ac:dyDescent="0.5">
      <c r="B1682" t="str">
        <f t="shared" si="1875"/>
        <v>SPS1</v>
      </c>
      <c r="C1682" t="str">
        <f t="shared" si="1852"/>
        <v>CH</v>
      </c>
      <c r="D1682" t="s">
        <v>1690</v>
      </c>
      <c r="E1682" t="s">
        <v>1229</v>
      </c>
      <c r="F1682" t="str">
        <f t="shared" si="1883"/>
        <v>-</v>
      </c>
      <c r="G1682" t="str">
        <f t="shared" si="1883"/>
        <v>-</v>
      </c>
      <c r="H1682" t="str">
        <f t="shared" si="1883"/>
        <v>-</v>
      </c>
      <c r="I1682" t="str">
        <f t="shared" si="1883"/>
        <v>-</v>
      </c>
      <c r="J1682" t="str">
        <f t="shared" si="1883"/>
        <v>-</v>
      </c>
      <c r="K1682">
        <f t="shared" si="1883"/>
        <v>7.2968729943651703E-3</v>
      </c>
      <c r="L1682">
        <f t="shared" ref="L1682:O1682" si="1886">IFERROR(L1671/L1647,"-")</f>
        <v>6.6154864100462655E-3</v>
      </c>
      <c r="M1682">
        <f t="shared" si="1886"/>
        <v>5.9340998257273649E-3</v>
      </c>
      <c r="N1682">
        <f t="shared" si="1886"/>
        <v>5.934099825727358E-3</v>
      </c>
      <c r="O1682">
        <f t="shared" si="1886"/>
        <v>5.9340998257273545E-3</v>
      </c>
      <c r="P1682">
        <f t="shared" si="1885"/>
        <v>5.9340998257273571E-3</v>
      </c>
      <c r="Q1682">
        <f t="shared" si="1885"/>
        <v>5.9340998257273606E-3</v>
      </c>
      <c r="S1682" s="3"/>
    </row>
    <row r="1683" spans="2:19" x14ac:dyDescent="0.5">
      <c r="B1683" t="str">
        <f t="shared" si="1875"/>
        <v>SPS1</v>
      </c>
      <c r="C1683" t="str">
        <f t="shared" si="1852"/>
        <v>CH</v>
      </c>
      <c r="D1683" t="s">
        <v>1691</v>
      </c>
      <c r="E1683" t="s">
        <v>240</v>
      </c>
      <c r="F1683" t="str">
        <f t="shared" si="1883"/>
        <v>-</v>
      </c>
      <c r="G1683" t="str">
        <f t="shared" si="1883"/>
        <v>-</v>
      </c>
      <c r="H1683" t="str">
        <f t="shared" si="1883"/>
        <v>-</v>
      </c>
      <c r="I1683" t="str">
        <f t="shared" si="1883"/>
        <v>-</v>
      </c>
      <c r="J1683">
        <f t="shared" si="1883"/>
        <v>1.7934782608695772</v>
      </c>
      <c r="K1683">
        <f t="shared" si="1883"/>
        <v>1.7934782608695763</v>
      </c>
      <c r="L1683">
        <f t="shared" ref="L1683:O1683" si="1887">IFERROR(L1672/L1648,"-")</f>
        <v>1.7934782608695814</v>
      </c>
      <c r="M1683">
        <f t="shared" si="1887"/>
        <v>1.793478260869569</v>
      </c>
      <c r="N1683">
        <f t="shared" si="1887"/>
        <v>1.7934782608695674</v>
      </c>
      <c r="O1683">
        <f t="shared" si="1887"/>
        <v>1.793478260869577</v>
      </c>
      <c r="P1683">
        <f t="shared" si="1885"/>
        <v>1.7934782608695619</v>
      </c>
      <c r="Q1683">
        <f t="shared" si="1885"/>
        <v>1.7934782608695707</v>
      </c>
      <c r="S1683" s="3"/>
    </row>
    <row r="1684" spans="2:19" x14ac:dyDescent="0.5">
      <c r="B1684" t="str">
        <f t="shared" si="1875"/>
        <v>SPS1</v>
      </c>
      <c r="C1684" t="str">
        <f t="shared" si="1852"/>
        <v>CH</v>
      </c>
      <c r="D1684" t="s">
        <v>1692</v>
      </c>
      <c r="E1684" t="s">
        <v>240</v>
      </c>
      <c r="F1684" s="4">
        <f t="shared" ref="F1684:K1684" si="1888">IFERROR(F1673/F1654,"-")</f>
        <v>0.90641226905247907</v>
      </c>
      <c r="G1684" s="4">
        <f t="shared" si="1888"/>
        <v>0.90641226905247396</v>
      </c>
      <c r="H1684" s="4">
        <f t="shared" si="1888"/>
        <v>0.90641226905247962</v>
      </c>
      <c r="I1684" s="4">
        <f t="shared" si="1888"/>
        <v>0.9064122690524824</v>
      </c>
      <c r="J1684" s="4">
        <f t="shared" si="1888"/>
        <v>0.90641226905247485</v>
      </c>
      <c r="K1684" s="4">
        <f t="shared" si="1888"/>
        <v>0.90641226905247774</v>
      </c>
      <c r="L1684" s="4">
        <f t="shared" ref="L1684:O1684" si="1889">IFERROR(L1673/L1654,"-")</f>
        <v>0.90641226905247863</v>
      </c>
      <c r="M1684" s="4" t="str">
        <f t="shared" si="1889"/>
        <v>-</v>
      </c>
      <c r="N1684" s="4" t="str">
        <f t="shared" si="1889"/>
        <v>-</v>
      </c>
      <c r="O1684" s="4" t="str">
        <f t="shared" si="1889"/>
        <v>-</v>
      </c>
      <c r="P1684" s="4" t="str">
        <f>IFERROR(P1673/P1654,"-")</f>
        <v>-</v>
      </c>
      <c r="Q1684" s="4" t="str">
        <f>IFERROR(Q1673/Q1654,"-")</f>
        <v>-</v>
      </c>
      <c r="S1684" s="3"/>
    </row>
    <row r="1685" spans="2:19" x14ac:dyDescent="0.5">
      <c r="B1685" t="str">
        <f t="shared" si="1875"/>
        <v>SPS1</v>
      </c>
      <c r="C1685" t="str">
        <f t="shared" si="1852"/>
        <v>CH</v>
      </c>
      <c r="D1685" t="s">
        <v>1693</v>
      </c>
      <c r="E1685" t="s">
        <v>1229</v>
      </c>
      <c r="F1685" t="str">
        <f t="shared" ref="F1685:K1687" si="1890">IFERROR(F1674/F1660,"-")</f>
        <v>-</v>
      </c>
      <c r="G1685" t="str">
        <f t="shared" si="1890"/>
        <v>-</v>
      </c>
      <c r="H1685" t="str">
        <f t="shared" si="1890"/>
        <v>-</v>
      </c>
      <c r="I1685" t="str">
        <f t="shared" si="1890"/>
        <v>-</v>
      </c>
      <c r="J1685" t="str">
        <f t="shared" si="1890"/>
        <v>-</v>
      </c>
      <c r="K1685" t="str">
        <f t="shared" si="1890"/>
        <v>-</v>
      </c>
      <c r="L1685" t="str">
        <f t="shared" ref="L1685:O1685" si="1891">IFERROR(L1674/L1660,"-")</f>
        <v>-</v>
      </c>
      <c r="M1685" t="str">
        <f t="shared" si="1891"/>
        <v>-</v>
      </c>
      <c r="N1685" t="str">
        <f t="shared" si="1891"/>
        <v>-</v>
      </c>
      <c r="O1685" t="str">
        <f t="shared" si="1891"/>
        <v>-</v>
      </c>
      <c r="P1685" t="str">
        <f t="shared" ref="P1685:Q1687" si="1892">IFERROR(P1674/P1660,"-")</f>
        <v>-</v>
      </c>
      <c r="Q1685" t="str">
        <f t="shared" si="1892"/>
        <v>-</v>
      </c>
      <c r="S1685" s="3"/>
    </row>
    <row r="1686" spans="2:19" x14ac:dyDescent="0.5">
      <c r="B1686" t="str">
        <f t="shared" si="1875"/>
        <v>SPS1</v>
      </c>
      <c r="C1686" t="str">
        <f t="shared" si="1852"/>
        <v>CH</v>
      </c>
      <c r="D1686" t="s">
        <v>1694</v>
      </c>
      <c r="E1686" t="s">
        <v>1229</v>
      </c>
      <c r="F1686" s="1">
        <f t="shared" si="1890"/>
        <v>4.0530738867855069E-3</v>
      </c>
      <c r="G1686" s="1">
        <f t="shared" si="1890"/>
        <v>4.0530738867855087E-3</v>
      </c>
      <c r="H1686">
        <f t="shared" si="1890"/>
        <v>4.0530738867855104E-3</v>
      </c>
      <c r="I1686">
        <f t="shared" si="1890"/>
        <v>4.0530738867855104E-3</v>
      </c>
      <c r="J1686">
        <f t="shared" si="1890"/>
        <v>4.0530738867855078E-3</v>
      </c>
      <c r="K1686">
        <f t="shared" si="1890"/>
        <v>4.0530738867855104E-3</v>
      </c>
      <c r="L1686">
        <f t="shared" ref="L1686:O1686" si="1893">IFERROR(L1675/L1661,"-")</f>
        <v>4.053073886785513E-3</v>
      </c>
      <c r="M1686">
        <f t="shared" si="1893"/>
        <v>4.0530738867855104E-3</v>
      </c>
      <c r="N1686">
        <f t="shared" si="1893"/>
        <v>4.0530738867855121E-3</v>
      </c>
      <c r="O1686">
        <f t="shared" si="1893"/>
        <v>4.0530738867855113E-3</v>
      </c>
      <c r="P1686">
        <f t="shared" si="1892"/>
        <v>4.0530738867855095E-3</v>
      </c>
      <c r="Q1686">
        <f t="shared" si="1892"/>
        <v>4.0530738867855121E-3</v>
      </c>
      <c r="S1686" s="3"/>
    </row>
    <row r="1687" spans="2:19" x14ac:dyDescent="0.5">
      <c r="B1687" t="str">
        <f t="shared" si="1875"/>
        <v>SPS1</v>
      </c>
      <c r="C1687" t="str">
        <f t="shared" si="1852"/>
        <v>CH</v>
      </c>
      <c r="D1687" t="s">
        <v>1695</v>
      </c>
      <c r="E1687" t="s">
        <v>240</v>
      </c>
      <c r="F1687" s="4">
        <f t="shared" si="1890"/>
        <v>0.98826978015125178</v>
      </c>
      <c r="G1687" s="4">
        <f t="shared" si="1890"/>
        <v>0.98826978015124889</v>
      </c>
      <c r="H1687" s="4">
        <f t="shared" si="1890"/>
        <v>0.98826978015124856</v>
      </c>
      <c r="I1687" s="4">
        <f t="shared" si="1890"/>
        <v>0.988269780151246</v>
      </c>
      <c r="J1687" s="4">
        <f t="shared" si="1890"/>
        <v>0.98826978015125255</v>
      </c>
      <c r="K1687" s="4">
        <f t="shared" si="1890"/>
        <v>0.98826978015124778</v>
      </c>
      <c r="L1687" s="4">
        <f t="shared" ref="L1687:O1687" si="1894">IFERROR(L1676/L1662,"-")</f>
        <v>0.98826978015124856</v>
      </c>
      <c r="M1687" s="4">
        <f t="shared" si="1894"/>
        <v>0.98826978015124523</v>
      </c>
      <c r="N1687" s="4">
        <f t="shared" si="1894"/>
        <v>0.98826978015124833</v>
      </c>
      <c r="O1687" s="4">
        <f t="shared" si="1894"/>
        <v>0.988269780151245</v>
      </c>
      <c r="P1687" s="4">
        <f t="shared" si="1892"/>
        <v>0.98826978015124922</v>
      </c>
      <c r="Q1687" s="4">
        <f t="shared" si="1892"/>
        <v>0.98826978015124656</v>
      </c>
      <c r="S1687" s="3"/>
    </row>
    <row r="1688" spans="2:19" x14ac:dyDescent="0.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34.607812640577905</v>
      </c>
      <c r="G1688" s="3">
        <f t="shared" ref="G1688:K1688" si="1895">SUM(G1689:G1691,G1694:G1696,-G1701)</f>
        <v>32.377511493070976</v>
      </c>
      <c r="H1688" s="3">
        <f t="shared" si="1895"/>
        <v>30.853481510789337</v>
      </c>
      <c r="I1688" s="3">
        <f t="shared" si="1895"/>
        <v>27.345999277673961</v>
      </c>
      <c r="J1688" s="3">
        <f t="shared" si="1895"/>
        <v>23.736074123094262</v>
      </c>
      <c r="K1688" s="3">
        <f t="shared" si="1895"/>
        <v>22.359711373933703</v>
      </c>
      <c r="L1688" s="3">
        <f t="shared" ref="L1688:O1688" si="1896">SUM(L1689:L1691,L1694:L1696,-L1701)</f>
        <v>21.432081063335353</v>
      </c>
      <c r="M1688" s="3">
        <f>SUM(M1689:M1691,M1694:M1696,-M1701)</f>
        <v>20.191407314956152</v>
      </c>
      <c r="N1688" s="3">
        <f t="shared" si="1896"/>
        <v>19.513701681733753</v>
      </c>
      <c r="O1688" s="3">
        <f t="shared" si="1896"/>
        <v>18.205081615950206</v>
      </c>
      <c r="P1688" s="3">
        <f>SUM(P1689:P1691,P1694:P1696,-P1701)</f>
        <v>17.129958743111388</v>
      </c>
      <c r="Q1688" s="3">
        <f>SUM(Q1689:Q1691,Q1694:Q1696,-Q1701)</f>
        <v>15.48278782592916</v>
      </c>
      <c r="S1688" s="3"/>
    </row>
    <row r="1689" spans="2:19" x14ac:dyDescent="0.5">
      <c r="B1689" t="str">
        <f>B1688</f>
        <v>SPS1</v>
      </c>
      <c r="C1689" t="str">
        <f t="shared" ref="C1689" si="1897">C1688</f>
        <v>CH</v>
      </c>
      <c r="D1689" t="s">
        <v>1702</v>
      </c>
      <c r="E1689" t="str">
        <f>E1688</f>
        <v>Mt/yr.</v>
      </c>
      <c r="F1689" s="1">
        <f>[1]Summary!B53+[1]Summary!B59</f>
        <v>2.5966482969812117</v>
      </c>
      <c r="G1689" s="1">
        <f>[1]Summary!C53+[1]Summary!C59</f>
        <v>2.384654902300877</v>
      </c>
      <c r="H1689" s="1">
        <f>[1]Summary!D53+[1]Summary!D59</f>
        <v>2.3852113642937955</v>
      </c>
      <c r="I1689" s="1">
        <f>[1]Summary!E53+[1]Summary!E59</f>
        <v>2.4257969746342538</v>
      </c>
      <c r="J1689" s="1">
        <f>[1]Summary!F53+[1]Summary!F59</f>
        <v>2.3689071648831774</v>
      </c>
      <c r="K1689" s="1">
        <f>[1]Summary!G53+[1]Summary!G59</f>
        <v>2.5798492291252364</v>
      </c>
      <c r="L1689" s="1">
        <f>[1]Summary!H53+[1]Summary!H59</f>
        <v>2.966891617469253</v>
      </c>
      <c r="M1689" s="1">
        <f>[1]Summary!I53+[1]Summary!I59</f>
        <v>3.2844141101689499</v>
      </c>
      <c r="N1689" s="1">
        <f>[1]Summary!J53+[1]Summary!J59</f>
        <v>3.3871224295993287</v>
      </c>
      <c r="O1689" s="1">
        <f>[1]Summary!K53+[1]Summary!K59</f>
        <v>3.4684308241562785</v>
      </c>
      <c r="P1689" s="1">
        <f>[1]Summary!L53+[1]Summary!L59</f>
        <v>3.4381985758744507</v>
      </c>
      <c r="Q1689" s="1">
        <f>[1]Summary!M53+[1]Summary!M59</f>
        <v>3.3602541382732674</v>
      </c>
      <c r="S1689" s="3"/>
    </row>
    <row r="1690" spans="2:19" x14ac:dyDescent="0.5">
      <c r="B1690" t="str">
        <f t="shared" ref="B1690:B1701" si="1898">B1689</f>
        <v>SPS1</v>
      </c>
      <c r="C1690" t="str">
        <f t="shared" ref="C1690:C1701" si="1899">C1689</f>
        <v>CH</v>
      </c>
      <c r="D1690" t="s">
        <v>1703</v>
      </c>
      <c r="E1690" t="str">
        <f t="shared" ref="E1690:E1701" si="1900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[1]Summary!F54+[1]Summary!F61</f>
        <v>0</v>
      </c>
      <c r="K1690" s="1">
        <f>[1]Summary!G54+[1]Summary!G61+[1]Summary!G62</f>
        <v>0</v>
      </c>
      <c r="L1690" s="1">
        <f>[1]Summary!H54+[1]Summary!H61+[1]Summary!H62</f>
        <v>0</v>
      </c>
      <c r="M1690" s="1">
        <f>[1]Summary!I54+[1]Summary!I61+[1]Summary!I62</f>
        <v>0</v>
      </c>
      <c r="N1690" s="1">
        <f>[1]Summary!J54+[1]Summary!J61+[1]Summary!J62</f>
        <v>0</v>
      </c>
      <c r="O1690" s="1">
        <f>[1]Summary!K54+[1]Summary!K61+[1]Summary!K62</f>
        <v>0</v>
      </c>
      <c r="P1690" s="1">
        <f>[1]Summary!L54+[1]Summary!L61+[1]Summary!L62</f>
        <v>0</v>
      </c>
      <c r="Q1690" s="1">
        <f>[1]Summary!M54+[1]Summary!M61+[1]Summary!M62</f>
        <v>0</v>
      </c>
      <c r="S1690" s="3"/>
    </row>
    <row r="1691" spans="2:19" x14ac:dyDescent="0.5">
      <c r="B1691" t="str">
        <f t="shared" si="1898"/>
        <v>SPS1</v>
      </c>
      <c r="C1691" t="str">
        <f t="shared" si="1899"/>
        <v>CH</v>
      </c>
      <c r="D1691" t="s">
        <v>1704</v>
      </c>
      <c r="E1691" t="str">
        <f t="shared" si="1900"/>
        <v>Mt/yr.</v>
      </c>
      <c r="F1691" s="1">
        <f>[1]Summary!B55+[1]Summary!B60</f>
        <v>6.4921218392201645</v>
      </c>
      <c r="G1691" s="1">
        <f>[1]Summary!C55+[1]Summary!C60</f>
        <v>6.0794289102936228</v>
      </c>
      <c r="H1691" s="1">
        <f>[1]Summary!D55+[1]Summary!D60</f>
        <v>5.7673838500802157</v>
      </c>
      <c r="I1691" s="1">
        <f>[1]Summary!E55+[1]Summary!E60</f>
        <v>5.232910584443057</v>
      </c>
      <c r="J1691" s="1">
        <f>[1]Summary!F55+[1]Summary!F60</f>
        <v>4.9437840571177274</v>
      </c>
      <c r="K1691" s="1">
        <f>[1]Summary!G55+[1]Summary!G60</f>
        <v>4.6124939967180616</v>
      </c>
      <c r="L1691" s="1">
        <f>[1]Summary!H55+[1]Summary!H60</f>
        <v>4.3186015979226777</v>
      </c>
      <c r="M1691" s="1">
        <f>[1]Summary!I55+[1]Summary!I60</f>
        <v>4.0481377889225945</v>
      </c>
      <c r="N1691" s="1">
        <f>[1]Summary!J55+[1]Summary!J60</f>
        <v>3.9454285276470973</v>
      </c>
      <c r="O1691" s="1">
        <f>[1]Summary!K55+[1]Summary!K60</f>
        <v>3.8092905338516569</v>
      </c>
      <c r="P1691" s="1">
        <f>[1]Summary!L55+[1]Summary!L60</f>
        <v>3.7310098152319746</v>
      </c>
      <c r="Q1691" s="1">
        <f>[1]Summary!M55+[1]Summary!M60</f>
        <v>3.6490972883751738</v>
      </c>
      <c r="S1691" s="3"/>
    </row>
    <row r="1692" spans="2:19" x14ac:dyDescent="0.5">
      <c r="B1692" t="str">
        <f t="shared" si="1898"/>
        <v>SPS1</v>
      </c>
      <c r="C1692" t="str">
        <f t="shared" si="1899"/>
        <v>CH</v>
      </c>
      <c r="D1692" t="s">
        <v>1714</v>
      </c>
      <c r="E1692" t="str">
        <f t="shared" si="1900"/>
        <v>Mt/yr.</v>
      </c>
      <c r="F1692" s="1">
        <f>F1691-F1693</f>
        <v>4.4027750387355251</v>
      </c>
      <c r="G1692" s="1">
        <f t="shared" ref="G1692:K1692" si="1901">G1691-G1693</f>
        <v>3.9684157404195424</v>
      </c>
      <c r="H1692" s="1">
        <f t="shared" si="1901"/>
        <v>3.6651143790189558</v>
      </c>
      <c r="I1692" s="1">
        <f t="shared" si="1901"/>
        <v>3.1392535220304172</v>
      </c>
      <c r="J1692" s="1">
        <f t="shared" si="1901"/>
        <v>2.8582491023482475</v>
      </c>
      <c r="K1692" s="1">
        <f t="shared" si="1901"/>
        <v>2.5350811495917513</v>
      </c>
      <c r="L1692" s="1">
        <f t="shared" ref="L1692:O1692" si="1902">L1691-L1693</f>
        <v>2.2480208962320276</v>
      </c>
      <c r="M1692" s="1">
        <f t="shared" si="1902"/>
        <v>1.9843892326676045</v>
      </c>
      <c r="N1692" s="1">
        <f t="shared" si="1902"/>
        <v>1.8816799713921073</v>
      </c>
      <c r="O1692" s="1">
        <f t="shared" si="1902"/>
        <v>1.745541977596667</v>
      </c>
      <c r="P1692" s="1">
        <f>P1691-P1693</f>
        <v>1.6672612589769846</v>
      </c>
      <c r="Q1692" s="1">
        <f>Q1691-Q1693</f>
        <v>1.5853487321201838</v>
      </c>
      <c r="S1692" s="3"/>
    </row>
    <row r="1693" spans="2:19" x14ac:dyDescent="0.5">
      <c r="B1693" t="str">
        <f t="shared" si="1898"/>
        <v>SPS1</v>
      </c>
      <c r="C1693" t="str">
        <f t="shared" si="1899"/>
        <v>CH</v>
      </c>
      <c r="D1693" t="s">
        <v>1713</v>
      </c>
      <c r="E1693" t="str">
        <f t="shared" si="1900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2.0936570624126398</v>
      </c>
      <c r="J1693" s="1" cm="1">
        <f t="array" ref="J1693">SUMPRODUCT(ISNUMBER(SEARCH("processco2",[1]OUT_CO2_emissions!$D$3:$D$1000))*1,("var_fout"=[1]OUT_CO2_emissions!$C$3:$C$1000)*1,("CO2"=[1]OUT_CO2_emissions!$B$3:$B$1000)*1,[1]OUT_CO2_emissions!I$3:I$1000)/1000</f>
        <v>2.0855349547694799</v>
      </c>
      <c r="K1693" s="1" cm="1">
        <f t="array" ref="K1693">SUMPRODUCT(ISNUMBER(SEARCH("processco2",[1]OUT_CO2_emissions!$D$3:$D$1000))*1,("var_fout"=[1]OUT_CO2_emissions!$C$3:$C$1000)*1,("CO2"=[1]OUT_CO2_emissions!$B$3:$B$1000)*1,[1]OUT_CO2_emissions!J$3:J$1000)/1000</f>
        <v>2.0774128471263102</v>
      </c>
      <c r="L1693" s="1" cm="1">
        <f t="array" ref="L1693">SUMPRODUCT(ISNUMBER(SEARCH("processco2",[1]OUT_CO2_emissions!$D$3:$D$1000))*1,("var_fout"=[1]OUT_CO2_emissions!$C$3:$C$1000)*1,("CO2"=[1]OUT_CO2_emissions!$B$3:$B$1000)*1,[1]OUT_CO2_emissions!K$3:K$1000)/1000</f>
        <v>2.0705807016906501</v>
      </c>
      <c r="M1693" s="1" cm="1">
        <f t="array" ref="M1693">SUMPRODUCT(ISNUMBER(SEARCH("processco2",[1]OUT_CO2_emissions!$D$3:$D$1000))*1,("var_fout"=[1]OUT_CO2_emissions!$C$3:$C$1000)*1,("CO2"=[1]OUT_CO2_emissions!$B$3:$B$1000)*1,[1]OUT_CO2_emissions!L$3:L$1000)/1000</f>
        <v>2.06374855625499</v>
      </c>
      <c r="N1693" s="1" cm="1">
        <f t="array" ref="N1693">SUMPRODUCT(ISNUMBER(SEARCH("processco2",[1]OUT_CO2_emissions!$D$3:$D$1000))*1,("var_fout"=[1]OUT_CO2_emissions!$C$3:$C$1000)*1,("CO2"=[1]OUT_CO2_emissions!$B$3:$B$1000)*1,[1]OUT_CO2_emissions!M$3:M$1000)/1000</f>
        <v>2.06374855625499</v>
      </c>
      <c r="O1693" s="1" cm="1">
        <f t="array" ref="O1693">SUMPRODUCT(ISNUMBER(SEARCH("processco2",[1]OUT_CO2_emissions!$D$3:$D$1000))*1,("var_fout"=[1]OUT_CO2_emissions!$C$3:$C$1000)*1,("CO2"=[1]OUT_CO2_emissions!$B$3:$B$1000)*1,[1]OUT_CO2_emissions!N$3:N$1000)/1000</f>
        <v>2.06374855625499</v>
      </c>
      <c r="P1693" s="1" cm="1">
        <f t="array" ref="P1693">SUMPRODUCT(ISNUMBER(SEARCH("processco2",[1]OUT_CO2_emissions!$D$3:$D$1000))*1,("var_fout"=[1]OUT_CO2_emissions!$C$3:$C$1000)*1,("CO2"=[1]OUT_CO2_emissions!$B$3:$B$1000)*1,[1]OUT_CO2_emissions!O$3:O$1000)/1000</f>
        <v>2.06374855625499</v>
      </c>
      <c r="Q1693" s="1" cm="1">
        <f t="array" ref="Q1693">SUMPRODUCT(ISNUMBER(SEARCH("processco2",[1]OUT_CO2_emissions!$D$3:$D$1000))*1,("var_fout"=[1]OUT_CO2_emissions!$C$3:$C$1000)*1,("CO2"=[1]OUT_CO2_emissions!$B$3:$B$1000)*1,[1]OUT_CO2_emissions!P$3:P$1000)/1000</f>
        <v>2.06374855625499</v>
      </c>
      <c r="S1693" s="3"/>
    </row>
    <row r="1694" spans="2:19" x14ac:dyDescent="0.5">
      <c r="B1694" t="str">
        <f t="shared" si="1898"/>
        <v>SPS1</v>
      </c>
      <c r="C1694" t="str">
        <f t="shared" si="1899"/>
        <v>CH</v>
      </c>
      <c r="D1694" t="s">
        <v>1705</v>
      </c>
      <c r="E1694" t="str">
        <f t="shared" si="1900"/>
        <v>Mt/yr.</v>
      </c>
      <c r="F1694" s="1">
        <f>[1]Summary!B56</f>
        <v>3.79026994116807</v>
      </c>
      <c r="G1694" s="1">
        <f>[1]Summary!C56</f>
        <v>3.4452541024147298</v>
      </c>
      <c r="H1694" s="1">
        <f>[1]Summary!D56</f>
        <v>3.41787718600879</v>
      </c>
      <c r="I1694" s="1">
        <f>[1]Summary!E56</f>
        <v>3.4746185002466001</v>
      </c>
      <c r="J1694" s="1">
        <f>[1]Summary!F56</f>
        <v>3.4134150296722199</v>
      </c>
      <c r="K1694" s="1">
        <f>[1]Summary!G56</f>
        <v>3.2001265627723798</v>
      </c>
      <c r="L1694" s="1">
        <f>[1]Summary!H56</f>
        <v>3.0186111906336799</v>
      </c>
      <c r="M1694" s="1">
        <f>[1]Summary!I56</f>
        <v>2.515572016159815</v>
      </c>
      <c r="N1694" s="1">
        <f>[1]Summary!J56</f>
        <v>2.3566767991252098</v>
      </c>
      <c r="O1694" s="1">
        <f>[1]Summary!K56</f>
        <v>2.2146824329627313</v>
      </c>
      <c r="P1694" s="1">
        <f>[1]Summary!L56</f>
        <v>2.0010574059094379</v>
      </c>
      <c r="Q1694" s="1">
        <f>[1]Summary!M56</f>
        <v>1.7686816047448242</v>
      </c>
      <c r="S1694" s="3"/>
    </row>
    <row r="1695" spans="2:19" x14ac:dyDescent="0.5">
      <c r="B1695" t="str">
        <f t="shared" si="1898"/>
        <v>SPS1</v>
      </c>
      <c r="C1695" t="str">
        <f t="shared" si="1899"/>
        <v>CH</v>
      </c>
      <c r="D1695" t="s">
        <v>1706</v>
      </c>
      <c r="E1695" t="str">
        <f t="shared" si="1900"/>
        <v>Mt/yr.</v>
      </c>
      <c r="F1695" s="1">
        <f>[1]Summary!B57</f>
        <v>7.1755811092541331</v>
      </c>
      <c r="G1695" s="1">
        <f>[1]Summary!C57</f>
        <v>6.5875841737433083</v>
      </c>
      <c r="H1695" s="1">
        <f>[1]Summary!D57</f>
        <v>6.2609472611079671</v>
      </c>
      <c r="I1695" s="1">
        <f>[1]Summary!E57</f>
        <v>6.5388438339624093</v>
      </c>
      <c r="J1695" s="1">
        <f>[1]Summary!F57</f>
        <v>5.9874943113129628</v>
      </c>
      <c r="K1695" s="1">
        <f>[1]Summary!G57</f>
        <v>5.7135027778984897</v>
      </c>
      <c r="L1695" s="1">
        <f>[1]Summary!H57</f>
        <v>5.5577445593462702</v>
      </c>
      <c r="M1695" s="1">
        <f>[1]Summary!I57</f>
        <v>5.2301315402297099</v>
      </c>
      <c r="N1695" s="1">
        <f>[1]Summary!J57</f>
        <v>4.9515804720582697</v>
      </c>
      <c r="O1695" s="1">
        <f>[1]Summary!K57</f>
        <v>4.5140826548610402</v>
      </c>
      <c r="P1695" s="1">
        <f>[1]Summary!L57</f>
        <v>4.1687098730956107</v>
      </c>
      <c r="Q1695" s="1">
        <f>[1]Summary!M57</f>
        <v>2.9614385780331842</v>
      </c>
      <c r="S1695" s="3"/>
    </row>
    <row r="1696" spans="2:19" x14ac:dyDescent="0.5">
      <c r="B1696" t="str">
        <f t="shared" si="1898"/>
        <v>SPS1</v>
      </c>
      <c r="C1696" t="str">
        <f t="shared" si="1899"/>
        <v>CH</v>
      </c>
      <c r="D1696" t="s">
        <v>1707</v>
      </c>
      <c r="E1696" t="str">
        <f t="shared" si="1900"/>
        <v>Mt/yr.</v>
      </c>
      <c r="F1696" s="1">
        <f>[1]Summary!B58</f>
        <v>14.553191453954327</v>
      </c>
      <c r="G1696" s="1">
        <f>[1]Summary!C58</f>
        <v>13.880589404318437</v>
      </c>
      <c r="H1696" s="1">
        <f>[1]Summary!D58</f>
        <v>13.022061849298565</v>
      </c>
      <c r="I1696" s="1">
        <f>[1]Summary!E58</f>
        <v>9.6738293843876413</v>
      </c>
      <c r="J1696" s="1">
        <f>[1]Summary!F58</f>
        <v>7.0224735601081747</v>
      </c>
      <c r="K1696" s="1">
        <f>[1]Summary!G58</f>
        <v>6.253738807419535</v>
      </c>
      <c r="L1696" s="1">
        <f>[1]Summary!H58</f>
        <v>5.5702320979634719</v>
      </c>
      <c r="M1696" s="1">
        <f>[1]Summary!I58</f>
        <v>5.1131518594750798</v>
      </c>
      <c r="N1696" s="1">
        <f>[1]Summary!J58</f>
        <v>4.8728934533038464</v>
      </c>
      <c r="O1696" s="1">
        <f>[1]Summary!K58</f>
        <v>4.1985951701184998</v>
      </c>
      <c r="P1696" s="1">
        <f>[1]Summary!L58</f>
        <v>3.7909830729999152</v>
      </c>
      <c r="Q1696" s="1">
        <f>[1]Summary!M58</f>
        <v>3.7433162165027105</v>
      </c>
      <c r="S1696" s="3"/>
    </row>
    <row r="1697" spans="2:19" x14ac:dyDescent="0.5">
      <c r="B1697" t="str">
        <f t="shared" si="1898"/>
        <v>SPS1</v>
      </c>
      <c r="C1697" t="str">
        <f t="shared" si="1899"/>
        <v>CH</v>
      </c>
      <c r="D1697" t="s">
        <v>1708</v>
      </c>
      <c r="E1697" t="str">
        <f t="shared" si="1900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-[1]Summary!F59</f>
        <v>0</v>
      </c>
      <c r="K1697" s="1">
        <f>-[1]Summary!G59</f>
        <v>0</v>
      </c>
      <c r="L1697" s="1">
        <f>-[1]Summary!H59</f>
        <v>0</v>
      </c>
      <c r="M1697" s="1">
        <f>-[1]Summary!I59</f>
        <v>0</v>
      </c>
      <c r="N1697" s="1">
        <f>-[1]Summary!J59</f>
        <v>0</v>
      </c>
      <c r="O1697" s="1">
        <f>-[1]Summary!K59</f>
        <v>0</v>
      </c>
      <c r="P1697" s="1">
        <f>-[1]Summary!L59</f>
        <v>0</v>
      </c>
      <c r="Q1697" s="1">
        <f>-[1]Summary!M59</f>
        <v>0</v>
      </c>
      <c r="S1697" s="3"/>
    </row>
    <row r="1698" spans="2:19" x14ac:dyDescent="0.5">
      <c r="B1698" t="str">
        <f t="shared" si="1898"/>
        <v>SPS1</v>
      </c>
      <c r="C1698" t="str">
        <f t="shared" si="1899"/>
        <v>CH</v>
      </c>
      <c r="D1698" t="s">
        <v>1709</v>
      </c>
      <c r="E1698" t="str">
        <f t="shared" si="1900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-[1]Summary!F60</f>
        <v>0</v>
      </c>
      <c r="K1698" s="1">
        <f>-[1]Summary!G60</f>
        <v>0</v>
      </c>
      <c r="L1698" s="1">
        <f>-[1]Summary!H60</f>
        <v>0</v>
      </c>
      <c r="M1698" s="1">
        <f>-[1]Summary!I60</f>
        <v>0</v>
      </c>
      <c r="N1698" s="1">
        <f>-[1]Summary!J60</f>
        <v>0</v>
      </c>
      <c r="O1698" s="1">
        <f>-[1]Summary!K60</f>
        <v>0</v>
      </c>
      <c r="P1698" s="1">
        <f>-[1]Summary!L60</f>
        <v>0</v>
      </c>
      <c r="Q1698" s="1">
        <f>-[1]Summary!M60</f>
        <v>0</v>
      </c>
      <c r="S1698" s="3"/>
    </row>
    <row r="1699" spans="2:19" x14ac:dyDescent="0.5">
      <c r="B1699" t="str">
        <f t="shared" si="1898"/>
        <v>SPS1</v>
      </c>
      <c r="C1699" t="str">
        <f t="shared" si="1899"/>
        <v>CH</v>
      </c>
      <c r="D1699" t="s">
        <v>1710</v>
      </c>
      <c r="E1699" t="str">
        <f t="shared" si="1900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-[1]Summary!F61</f>
        <v>0</v>
      </c>
      <c r="K1699" s="1">
        <f>-[1]Summary!G61</f>
        <v>0</v>
      </c>
      <c r="L1699" s="1">
        <f>-[1]Summary!H61</f>
        <v>0</v>
      </c>
      <c r="M1699" s="1">
        <f>-[1]Summary!I61</f>
        <v>0</v>
      </c>
      <c r="N1699" s="1">
        <f>-[1]Summary!J61</f>
        <v>0</v>
      </c>
      <c r="O1699" s="1">
        <f>-[1]Summary!K61</f>
        <v>0</v>
      </c>
      <c r="P1699" s="1">
        <f>-[1]Summary!L61</f>
        <v>0</v>
      </c>
      <c r="Q1699" s="1">
        <f>-[1]Summary!M61</f>
        <v>0</v>
      </c>
      <c r="S1699" s="3"/>
    </row>
    <row r="1700" spans="2:19" x14ac:dyDescent="0.5">
      <c r="B1700" t="str">
        <f t="shared" si="1898"/>
        <v>SPS1</v>
      </c>
      <c r="C1700" t="str">
        <f t="shared" si="1899"/>
        <v>CH</v>
      </c>
      <c r="D1700" t="s">
        <v>1711</v>
      </c>
      <c r="E1700" t="str">
        <f t="shared" si="1900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-[1]Summary!F62</f>
        <v>0</v>
      </c>
      <c r="K1700" s="1">
        <f>-[1]Summary!G62</f>
        <v>0</v>
      </c>
      <c r="L1700" s="1">
        <f>-[1]Summary!H62</f>
        <v>0</v>
      </c>
      <c r="M1700" s="1">
        <f>-[1]Summary!I62</f>
        <v>0</v>
      </c>
      <c r="N1700" s="1">
        <f>-[1]Summary!J62</f>
        <v>0</v>
      </c>
      <c r="O1700" s="1">
        <f>-[1]Summary!K62</f>
        <v>0</v>
      </c>
      <c r="P1700" s="1">
        <f>-[1]Summary!L62</f>
        <v>0</v>
      </c>
      <c r="Q1700" s="1">
        <f>-[1]Summary!M62</f>
        <v>0</v>
      </c>
      <c r="S1700" s="3"/>
    </row>
    <row r="1701" spans="2:19" x14ac:dyDescent="0.5">
      <c r="B1701" t="str">
        <f t="shared" si="1898"/>
        <v>SPS1</v>
      </c>
      <c r="C1701" t="str">
        <f t="shared" si="1899"/>
        <v>CH</v>
      </c>
      <c r="D1701" t="s">
        <v>1712</v>
      </c>
      <c r="E1701" t="str">
        <f t="shared" si="1900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-[1]Summary!F63</f>
        <v>0</v>
      </c>
      <c r="K1701" s="1">
        <f>-[1]Summary!G63</f>
        <v>0</v>
      </c>
      <c r="L1701" s="1">
        <f>-[1]Summary!H63</f>
        <v>0</v>
      </c>
      <c r="M1701" s="1">
        <f>-[1]Summary!I63</f>
        <v>0</v>
      </c>
      <c r="N1701" s="1">
        <f>-[1]Summary!J63</f>
        <v>0</v>
      </c>
      <c r="O1701" s="1">
        <f>-[1]Summary!K63</f>
        <v>0</v>
      </c>
      <c r="P1701" s="1">
        <f>-[1]Summary!L63</f>
        <v>0</v>
      </c>
      <c r="Q1701" s="1">
        <f>-[1]Summary!M63</f>
        <v>0</v>
      </c>
      <c r="S1701" s="3"/>
    </row>
    <row r="1702" spans="2:19" x14ac:dyDescent="0.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903">SUM(G1703:G1705)</f>
        <v>0</v>
      </c>
      <c r="H1702" s="3">
        <f t="shared" si="1903"/>
        <v>0</v>
      </c>
      <c r="I1702" s="3">
        <f t="shared" si="1903"/>
        <v>0</v>
      </c>
      <c r="J1702" s="3">
        <f t="shared" si="1903"/>
        <v>0</v>
      </c>
      <c r="K1702" s="3">
        <f t="shared" si="1903"/>
        <v>0</v>
      </c>
      <c r="L1702" s="3">
        <f t="shared" ref="L1702:O1702" si="1904">SUM(L1703:L1705)</f>
        <v>0</v>
      </c>
      <c r="M1702" s="3">
        <f t="shared" si="1904"/>
        <v>0</v>
      </c>
      <c r="N1702" s="3">
        <f t="shared" si="1904"/>
        <v>0</v>
      </c>
      <c r="O1702" s="3">
        <f t="shared" si="1904"/>
        <v>0</v>
      </c>
      <c r="P1702" s="3">
        <f>SUM(P1703:P1705)</f>
        <v>0</v>
      </c>
      <c r="Q1702" s="3">
        <f>SUM(Q1703:Q1705)</f>
        <v>0</v>
      </c>
      <c r="S1702" s="3"/>
    </row>
    <row r="1703" spans="2:19" x14ac:dyDescent="0.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[1]Summary!B$77</f>
        <v>0</v>
      </c>
      <c r="K1703" s="1">
        <f>[1]Summary!B$77</f>
        <v>0</v>
      </c>
      <c r="L1703" s="1">
        <f>[1]Summary!C$77</f>
        <v>0</v>
      </c>
      <c r="M1703" s="1">
        <f>[1]Summary!D$77</f>
        <v>0</v>
      </c>
      <c r="N1703" s="1">
        <f>[1]Summary!E$77</f>
        <v>0</v>
      </c>
      <c r="O1703" s="1">
        <f>[1]Summary!F$77</f>
        <v>0</v>
      </c>
      <c r="P1703" s="1">
        <f>[1]Summary!G$77</f>
        <v>0</v>
      </c>
      <c r="Q1703" s="1">
        <f>[1]Summary!H$77</f>
        <v>0</v>
      </c>
      <c r="S1703" s="3"/>
    </row>
    <row r="1704" spans="2:19" x14ac:dyDescent="0.5">
      <c r="B1704" t="str">
        <f t="shared" ref="B1704:B1705" si="1905">B1703</f>
        <v>SPS1</v>
      </c>
      <c r="C1704" t="str">
        <f t="shared" ref="C1704:C1705" si="1906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[1]Summary!B$78</f>
        <v>0</v>
      </c>
      <c r="K1704" s="1">
        <f>[1]Summary!B$78</f>
        <v>0</v>
      </c>
      <c r="L1704" s="1">
        <f>[1]Summary!C$78</f>
        <v>0</v>
      </c>
      <c r="M1704" s="1">
        <f>[1]Summary!D$78</f>
        <v>0</v>
      </c>
      <c r="N1704" s="1">
        <f>[1]Summary!E$78</f>
        <v>0</v>
      </c>
      <c r="O1704" s="1">
        <f>[1]Summary!F$78</f>
        <v>0</v>
      </c>
      <c r="P1704" s="1">
        <f>[1]Summary!G$78</f>
        <v>0</v>
      </c>
      <c r="Q1704" s="1">
        <f>[1]Summary!H$78</f>
        <v>0</v>
      </c>
      <c r="S1704" s="3"/>
    </row>
    <row r="1705" spans="2:19" x14ac:dyDescent="0.5">
      <c r="B1705" t="str">
        <f t="shared" si="1905"/>
        <v>SPS1</v>
      </c>
      <c r="C1705" t="str">
        <f t="shared" si="1906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[1]Summary!B$79</f>
        <v>0</v>
      </c>
      <c r="K1705" s="1">
        <f>[1]Summary!B$79</f>
        <v>0</v>
      </c>
      <c r="L1705" s="1">
        <f>[1]Summary!C$79</f>
        <v>0</v>
      </c>
      <c r="M1705" s="1">
        <f>[1]Summary!D$79</f>
        <v>0</v>
      </c>
      <c r="N1705" s="1">
        <f>[1]Summary!E$79</f>
        <v>0</v>
      </c>
      <c r="O1705" s="1">
        <f>[1]Summary!F$79</f>
        <v>0</v>
      </c>
      <c r="P1705" s="1">
        <f>[1]Summary!G$79</f>
        <v>0</v>
      </c>
      <c r="Q1705" s="1">
        <f>[1]Summary!H$79</f>
        <v>0</v>
      </c>
      <c r="S1705" s="3"/>
    </row>
    <row r="1706" spans="2:19" x14ac:dyDescent="0.5">
      <c r="B1706" s="2" t="str">
        <f t="shared" ref="B1706:C1711" si="1907">B1705</f>
        <v>SPS1</v>
      </c>
      <c r="C1706" s="2" t="str">
        <f t="shared" si="1907"/>
        <v>CH</v>
      </c>
      <c r="D1706" s="2" t="s">
        <v>1720</v>
      </c>
      <c r="E1706" s="19" t="s">
        <v>292</v>
      </c>
      <c r="F1706" s="19" t="s">
        <v>292</v>
      </c>
      <c r="G1706" s="19" t="s">
        <v>292</v>
      </c>
      <c r="H1706" s="19" t="s">
        <v>292</v>
      </c>
      <c r="I1706" s="19" t="s">
        <v>292</v>
      </c>
      <c r="J1706" s="19" t="s">
        <v>292</v>
      </c>
      <c r="K1706" s="19" t="s">
        <v>292</v>
      </c>
      <c r="L1706" s="19" t="s">
        <v>292</v>
      </c>
      <c r="M1706" s="19" t="s">
        <v>292</v>
      </c>
      <c r="N1706" s="19" t="s">
        <v>292</v>
      </c>
      <c r="O1706" s="19" t="s">
        <v>292</v>
      </c>
      <c r="P1706" s="19" t="s">
        <v>292</v>
      </c>
      <c r="Q1706" s="19" t="s">
        <v>292</v>
      </c>
      <c r="S1706" s="3"/>
    </row>
    <row r="1707" spans="2:19" x14ac:dyDescent="0.5">
      <c r="B1707" t="str">
        <f t="shared" si="1907"/>
        <v>SPS1</v>
      </c>
      <c r="C1707" t="str">
        <f t="shared" si="1907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908">SUM(G1708:G1709)</f>
        <v>0</v>
      </c>
      <c r="H1707" s="1">
        <f t="shared" si="1908"/>
        <v>0</v>
      </c>
      <c r="I1707" s="1">
        <f t="shared" si="1908"/>
        <v>0</v>
      </c>
      <c r="J1707" s="1">
        <f t="shared" si="1908"/>
        <v>0</v>
      </c>
      <c r="K1707" s="1">
        <f t="shared" si="1908"/>
        <v>0</v>
      </c>
      <c r="L1707" s="1">
        <f t="shared" ref="L1707:O1707" si="1909">SUM(L1708:L1709)</f>
        <v>0</v>
      </c>
      <c r="M1707" s="1">
        <f t="shared" si="1909"/>
        <v>0</v>
      </c>
      <c r="N1707" s="1">
        <f t="shared" si="1909"/>
        <v>0</v>
      </c>
      <c r="O1707" s="1">
        <f t="shared" si="1909"/>
        <v>0</v>
      </c>
      <c r="P1707" s="1">
        <f>SUM(P1708:P1709)</f>
        <v>0</v>
      </c>
      <c r="Q1707" s="1">
        <f>SUM(Q1708:Q1709)</f>
        <v>0</v>
      </c>
      <c r="S1707" s="3"/>
    </row>
    <row r="1708" spans="2:19" x14ac:dyDescent="0.5">
      <c r="B1708" t="str">
        <f t="shared" si="1907"/>
        <v>SPS1</v>
      </c>
      <c r="C1708" t="str">
        <f t="shared" si="1907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SUMPRODUCT(("SUP_DAC"=[1]OUT_SyntheticFuels!$C$1:$C$1000)*1,("Var_Fin"=[1]OUT_SyntheticFuels!$B$1:$B$1000)*1,ISNUMBER(SEARCH("ELC",[1]OUT_SyntheticFuels!$A$1:$A$1000))*1,[1]OUT_SyntheticFuels!I$1:I$1000)</f>
        <v>0</v>
      </c>
      <c r="K1708" s="1" cm="1">
        <f t="array" ref="K1708">SUMPRODUCT(("SUP_DAC"=[1]OUT_SyntheticFuels!$C$1:$C$1000)*1,("Var_Fin"=[1]OUT_SyntheticFuels!$B$1:$B$1000)*1,ISNUMBER(SEARCH("ELC",[1]OUT_SyntheticFuels!$A$1:$A$1000))*1,[1]OUT_SyntheticFuels!J$1:J$1000)</f>
        <v>0</v>
      </c>
      <c r="L1708" s="1" cm="1">
        <f t="array" ref="L1708">SUMPRODUCT(("SUP_DAC"=[1]OUT_SyntheticFuels!$C$1:$C$1000)*1,("Var_Fin"=[1]OUT_SyntheticFuels!$B$1:$B$1000)*1,ISNUMBER(SEARCH("ELC",[1]OUT_SyntheticFuels!$A$1:$A$1000))*1,[1]OUT_SyntheticFuels!K$1:K$1000)</f>
        <v>0</v>
      </c>
      <c r="M1708" s="1" cm="1">
        <f t="array" ref="M1708">SUMPRODUCT(("SUP_DAC"=[1]OUT_SyntheticFuels!$C$1:$C$1000)*1,("Var_Fin"=[1]OUT_SyntheticFuels!$B$1:$B$1000)*1,ISNUMBER(SEARCH("ELC",[1]OUT_SyntheticFuels!$A$1:$A$1000))*1,[1]OUT_SyntheticFuels!L$1:L$1000)</f>
        <v>0</v>
      </c>
      <c r="N1708" s="1" cm="1">
        <f t="array" ref="N1708">SUMPRODUCT(("SUP_DAC"=[1]OUT_SyntheticFuels!$C$1:$C$1000)*1,("Var_Fin"=[1]OUT_SyntheticFuels!$B$1:$B$1000)*1,ISNUMBER(SEARCH("ELC",[1]OUT_SyntheticFuels!$A$1:$A$1000))*1,[1]OUT_SyntheticFuels!M$1:M$1000)</f>
        <v>0</v>
      </c>
      <c r="O1708" s="1" cm="1">
        <f t="array" ref="O1708">SUMPRODUCT(("SUP_DAC"=[1]OUT_SyntheticFuels!$C$1:$C$1000)*1,("Var_Fin"=[1]OUT_SyntheticFuels!$B$1:$B$1000)*1,ISNUMBER(SEARCH("ELC",[1]OUT_SyntheticFuels!$A$1:$A$1000))*1,[1]OUT_SyntheticFuels!N$1:N$1000)</f>
        <v>0</v>
      </c>
      <c r="P1708" s="1" cm="1">
        <f t="array" ref="P1708">SUMPRODUCT(("SUP_DAC"=[1]OUT_SyntheticFuels!$C$1:$C$1000)*1,("Var_Fin"=[1]OUT_SyntheticFuels!$B$1:$B$1000)*1,ISNUMBER(SEARCH("ELC",[1]OUT_SyntheticFuels!$A$1:$A$1000))*1,[1]OUT_SyntheticFuels!O$1:O$1000)</f>
        <v>0</v>
      </c>
      <c r="Q1708" s="1" cm="1">
        <f t="array" ref="Q1708">SUMPRODUCT(("SUP_DAC"=[1]OUT_SyntheticFuels!$C$1:$C$1000)*1,("Var_Fin"=[1]OUT_SyntheticFuels!$B$1:$B$1000)*1,ISNUMBER(SEARCH("ELC",[1]OUT_SyntheticFuels!$A$1:$A$1000))*1,[1]OUT_SyntheticFuels!P$1:P$1000)</f>
        <v>0</v>
      </c>
      <c r="S1708" s="3"/>
    </row>
    <row r="1709" spans="2:19" x14ac:dyDescent="0.5">
      <c r="B1709" t="str">
        <f t="shared" si="1907"/>
        <v>SPS1</v>
      </c>
      <c r="C1709" t="str">
        <f t="shared" si="1907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SUMPRODUCT(("SUP_DAC"=[1]OUT_SyntheticFuels!$C$1:$C$1000)*1,("Var_Fin"=[1]OUT_SyntheticFuels!$B$1:$B$1000)*1,ISNUMBER(SEARCH("HEAT",[1]OUT_SyntheticFuels!$A$1:$A$1000))*1,[1]OUT_SyntheticFuels!I$1:I$1000)</f>
        <v>0</v>
      </c>
      <c r="K1709" s="1" cm="1">
        <f t="array" ref="K1709">SUMPRODUCT(("SUP_DAC"=[1]OUT_SyntheticFuels!$C$1:$C$1000)*1,("Var_Fin"=[1]OUT_SyntheticFuels!$B$1:$B$1000)*1,ISNUMBER(SEARCH("HEAT",[1]OUT_SyntheticFuels!$A$1:$A$1000))*1,[1]OUT_SyntheticFuels!J$1:J$1000)</f>
        <v>0</v>
      </c>
      <c r="L1709" s="1" cm="1">
        <f t="array" ref="L1709">SUMPRODUCT(("SUP_DAC"=[1]OUT_SyntheticFuels!$C$1:$C$1000)*1,("Var_Fin"=[1]OUT_SyntheticFuels!$B$1:$B$1000)*1,ISNUMBER(SEARCH("HEAT",[1]OUT_SyntheticFuels!$A$1:$A$1000))*1,[1]OUT_SyntheticFuels!K$1:K$1000)</f>
        <v>0</v>
      </c>
      <c r="M1709" s="1" cm="1">
        <f t="array" ref="M1709">SUMPRODUCT(("SUP_DAC"=[1]OUT_SyntheticFuels!$C$1:$C$1000)*1,("Var_Fin"=[1]OUT_SyntheticFuels!$B$1:$B$1000)*1,ISNUMBER(SEARCH("HEAT",[1]OUT_SyntheticFuels!$A$1:$A$1000))*1,[1]OUT_SyntheticFuels!L$1:L$1000)</f>
        <v>0</v>
      </c>
      <c r="N1709" s="1" cm="1">
        <f t="array" ref="N1709">SUMPRODUCT(("SUP_DAC"=[1]OUT_SyntheticFuels!$C$1:$C$1000)*1,("Var_Fin"=[1]OUT_SyntheticFuels!$B$1:$B$1000)*1,ISNUMBER(SEARCH("HEAT",[1]OUT_SyntheticFuels!$A$1:$A$1000))*1,[1]OUT_SyntheticFuels!M$1:M$1000)</f>
        <v>0</v>
      </c>
      <c r="O1709" s="1" cm="1">
        <f t="array" ref="O1709">SUMPRODUCT(("SUP_DAC"=[1]OUT_SyntheticFuels!$C$1:$C$1000)*1,("Var_Fin"=[1]OUT_SyntheticFuels!$B$1:$B$1000)*1,ISNUMBER(SEARCH("HEAT",[1]OUT_SyntheticFuels!$A$1:$A$1000))*1,[1]OUT_SyntheticFuels!N$1:N$1000)</f>
        <v>0</v>
      </c>
      <c r="P1709" s="1" cm="1">
        <f t="array" ref="P1709">SUMPRODUCT(("SUP_DAC"=[1]OUT_SyntheticFuels!$C$1:$C$1000)*1,("Var_Fin"=[1]OUT_SyntheticFuels!$B$1:$B$1000)*1,ISNUMBER(SEARCH("HEAT",[1]OUT_SyntheticFuels!$A$1:$A$1000))*1,[1]OUT_SyntheticFuels!O$1:O$1000)</f>
        <v>0</v>
      </c>
      <c r="Q1709" s="1" cm="1">
        <f t="array" ref="Q1709">SUMPRODUCT(("SUP_DAC"=[1]OUT_SyntheticFuels!$C$1:$C$1000)*1,("Var_Fin"=[1]OUT_SyntheticFuels!$B$1:$B$1000)*1,ISNUMBER(SEARCH("HEAT",[1]OUT_SyntheticFuels!$A$1:$A$1000))*1,[1]OUT_SyntheticFuels!P$1:P$1000)</f>
        <v>0</v>
      </c>
      <c r="S1709" s="3"/>
    </row>
    <row r="1710" spans="2:19" x14ac:dyDescent="0.5">
      <c r="B1710" t="str">
        <f t="shared" si="1907"/>
        <v>SPS1</v>
      </c>
      <c r="C1710" t="str">
        <f t="shared" si="1907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910">G1701</f>
        <v>0</v>
      </c>
      <c r="H1710" s="1">
        <f t="shared" si="1910"/>
        <v>0</v>
      </c>
      <c r="I1710" s="1">
        <f t="shared" si="1910"/>
        <v>0</v>
      </c>
      <c r="J1710" s="1">
        <f t="shared" si="1910"/>
        <v>0</v>
      </c>
      <c r="K1710" s="1">
        <f t="shared" si="1910"/>
        <v>0</v>
      </c>
      <c r="L1710" s="1">
        <f t="shared" ref="L1710:O1710" si="1911">L1701</f>
        <v>0</v>
      </c>
      <c r="M1710" s="1">
        <f t="shared" si="1911"/>
        <v>0</v>
      </c>
      <c r="N1710" s="1">
        <f t="shared" si="1911"/>
        <v>0</v>
      </c>
      <c r="O1710" s="1">
        <f t="shared" si="1911"/>
        <v>0</v>
      </c>
      <c r="P1710" s="1">
        <f>P1701</f>
        <v>0</v>
      </c>
      <c r="Q1710" s="1">
        <f>Q1701</f>
        <v>0</v>
      </c>
      <c r="S1710" s="3"/>
    </row>
    <row r="1711" spans="2:19" x14ac:dyDescent="0.5">
      <c r="B1711" s="2" t="str">
        <f t="shared" si="1907"/>
        <v>SPS1</v>
      </c>
      <c r="C1711" s="2" t="str">
        <f t="shared" si="1907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962.42385481139377</v>
      </c>
      <c r="G1711" s="3">
        <f t="shared" ref="G1711:K1711" si="1912">SUM(G1712:G1713,G1730,G1739:G1740,G1741,G1742,G1747,G1750,,G1755:G1758,G1751)</f>
        <v>962.37527449596632</v>
      </c>
      <c r="H1711" s="3">
        <f t="shared" si="1912"/>
        <v>923.58890907502314</v>
      </c>
      <c r="I1711" s="3">
        <f t="shared" si="1912"/>
        <v>897.95041424609042</v>
      </c>
      <c r="J1711" s="3">
        <f t="shared" si="1912"/>
        <v>835.30966881318238</v>
      </c>
      <c r="K1711" s="3">
        <f t="shared" si="1912"/>
        <v>775.5922179731898</v>
      </c>
      <c r="L1711" s="3">
        <f t="shared" ref="L1711:O1711" si="1913">SUM(L1712:L1713,L1730,L1739:L1740,L1741,L1742,L1747,L1750,,L1755:L1758,L1751)</f>
        <v>693.41060656413447</v>
      </c>
      <c r="M1711" s="3">
        <f t="shared" si="1913"/>
        <v>687.52869953031404</v>
      </c>
      <c r="N1711" s="3">
        <f t="shared" si="1913"/>
        <v>679.7824044972665</v>
      </c>
      <c r="O1711" s="3">
        <f t="shared" si="1913"/>
        <v>673.26455828583198</v>
      </c>
      <c r="P1711" s="3">
        <f>SUM(P1712:P1713,P1730,P1739:P1740,P1741,P1742,P1747,P1750,,P1755:P1758,P1751)</f>
        <v>664.84374885713942</v>
      </c>
      <c r="Q1711" s="3">
        <f>SUM(Q1712:Q1713,Q1730,Q1739:Q1740,Q1741,Q1742,Q1747,Q1750,,Q1755:Q1758,Q1751)</f>
        <v>652.72583404832335</v>
      </c>
      <c r="S1711" s="3"/>
    </row>
    <row r="1712" spans="2:19" x14ac:dyDescent="0.5">
      <c r="B1712" t="str">
        <f>B1711</f>
        <v>SPS1</v>
      </c>
      <c r="C1712" t="str">
        <f t="shared" ref="C1712" si="1914">C1711</f>
        <v>CH</v>
      </c>
      <c r="D1712" t="s">
        <v>1738</v>
      </c>
      <c r="E1712" t="str">
        <f>E1711</f>
        <v>PJ/yr.</v>
      </c>
      <c r="F1712" s="1">
        <f t="shared" ref="F1712:K1722" si="1915">F21</f>
        <v>3.660005798694931</v>
      </c>
      <c r="G1712" s="1">
        <f t="shared" si="1915"/>
        <v>3.564717920772833</v>
      </c>
      <c r="H1712" s="1">
        <f t="shared" si="1915"/>
        <v>2.9101793072424531</v>
      </c>
      <c r="I1712" s="1">
        <f t="shared" si="1915"/>
        <v>3.0962455558206279E-3</v>
      </c>
      <c r="J1712" s="1">
        <f t="shared" si="1915"/>
        <v>2.2281574129933445E-3</v>
      </c>
      <c r="K1712" s="1">
        <f t="shared" si="1915"/>
        <v>1.356355616750455E-3</v>
      </c>
      <c r="L1712" s="1">
        <f t="shared" ref="L1712:O1712" si="1916">L21</f>
        <v>1.7821310339615763E-3</v>
      </c>
      <c r="M1712" s="1">
        <f t="shared" si="1916"/>
        <v>4.4958159540471462E-3</v>
      </c>
      <c r="N1712" s="1">
        <f t="shared" si="1916"/>
        <v>2.6600949992475072E-3</v>
      </c>
      <c r="O1712" s="1">
        <f t="shared" si="1916"/>
        <v>4.0053278377095072E-3</v>
      </c>
      <c r="P1712" s="1">
        <f t="shared" ref="P1712:Q1722" si="1917">P21</f>
        <v>2.206658400013735E-3</v>
      </c>
      <c r="Q1712" s="1">
        <f t="shared" si="1917"/>
        <v>3.8655899619369095E-3</v>
      </c>
      <c r="S1712" s="3"/>
    </row>
    <row r="1713" spans="2:19" x14ac:dyDescent="0.5">
      <c r="B1713" t="str">
        <f t="shared" ref="B1713:B1765" si="1918">B1712</f>
        <v>SPS1</v>
      </c>
      <c r="C1713" t="str">
        <f t="shared" ref="C1713:C1765" si="1919">C1712</f>
        <v>CH</v>
      </c>
      <c r="D1713" t="s">
        <v>1739</v>
      </c>
      <c r="E1713" t="str">
        <f t="shared" ref="E1713:E1741" si="1920">E1712</f>
        <v>PJ/yr.</v>
      </c>
      <c r="F1713" s="1">
        <f t="shared" si="1915"/>
        <v>310.77839931089204</v>
      </c>
      <c r="G1713" s="1">
        <f t="shared" si="1915"/>
        <v>287.25679821918175</v>
      </c>
      <c r="H1713" s="1">
        <f t="shared" si="1915"/>
        <v>266.23211376888565</v>
      </c>
      <c r="I1713" s="1">
        <f t="shared" si="1915"/>
        <v>220.49369298037516</v>
      </c>
      <c r="J1713" s="1">
        <f t="shared" si="1915"/>
        <v>167.55938654165689</v>
      </c>
      <c r="K1713" s="1">
        <f t="shared" si="1915"/>
        <v>148.6667185177165</v>
      </c>
      <c r="L1713" s="1">
        <f t="shared" ref="L1713:O1713" si="1921">L22</f>
        <v>135.4214455205848</v>
      </c>
      <c r="M1713" s="1">
        <f t="shared" si="1921"/>
        <v>119.55423237671982</v>
      </c>
      <c r="N1713" s="1">
        <f t="shared" si="1921"/>
        <v>112.39659697216629</v>
      </c>
      <c r="O1713" s="1">
        <f t="shared" si="1921"/>
        <v>97.561558319752905</v>
      </c>
      <c r="P1713" s="1">
        <f t="shared" si="1917"/>
        <v>82.391764840175938</v>
      </c>
      <c r="Q1713" s="1">
        <f t="shared" si="1917"/>
        <v>68.354276063757581</v>
      </c>
      <c r="S1713" s="3"/>
    </row>
    <row r="1714" spans="2:19" x14ac:dyDescent="0.5">
      <c r="B1714" t="str">
        <f t="shared" si="1918"/>
        <v>SPS1</v>
      </c>
      <c r="C1714" t="str">
        <f t="shared" si="1919"/>
        <v>CH</v>
      </c>
      <c r="D1714" t="s">
        <v>1740</v>
      </c>
      <c r="E1714" t="str">
        <f t="shared" si="1920"/>
        <v>PJ/yr.</v>
      </c>
      <c r="F1714" s="1">
        <f t="shared" si="1915"/>
        <v>303.95467549290373</v>
      </c>
      <c r="G1714" s="1">
        <f t="shared" si="1915"/>
        <v>280.4801691920639</v>
      </c>
      <c r="H1714" s="1">
        <f t="shared" si="1915"/>
        <v>257.6940950413711</v>
      </c>
      <c r="I1714" s="1">
        <f t="shared" si="1915"/>
        <v>207.57526822768406</v>
      </c>
      <c r="J1714" s="1">
        <f t="shared" si="1915"/>
        <v>155.90714738621011</v>
      </c>
      <c r="K1714" s="1">
        <f t="shared" si="1915"/>
        <v>137.47552175975085</v>
      </c>
      <c r="L1714" s="1">
        <f t="shared" ref="L1714:O1714" si="1922">L23</f>
        <v>124.39908004340855</v>
      </c>
      <c r="M1714" s="1">
        <f t="shared" si="1922"/>
        <v>108.87501714173631</v>
      </c>
      <c r="N1714" s="1">
        <f t="shared" si="1922"/>
        <v>101.9390561003095</v>
      </c>
      <c r="O1714" s="1">
        <f t="shared" si="1922"/>
        <v>87.420300466609916</v>
      </c>
      <c r="P1714" s="1">
        <f t="shared" si="1917"/>
        <v>73.206458128771587</v>
      </c>
      <c r="Q1714" s="1">
        <f t="shared" si="1917"/>
        <v>59.377758105615037</v>
      </c>
      <c r="S1714" s="3"/>
    </row>
    <row r="1715" spans="2:19" x14ac:dyDescent="0.5">
      <c r="B1715" t="str">
        <f t="shared" si="1918"/>
        <v>SPS1</v>
      </c>
      <c r="C1715" t="str">
        <f t="shared" si="1919"/>
        <v>CH</v>
      </c>
      <c r="D1715" t="s">
        <v>1741</v>
      </c>
      <c r="E1715" t="str">
        <f t="shared" si="1920"/>
        <v>PJ/yr.</v>
      </c>
      <c r="F1715" s="1">
        <f t="shared" si="1915"/>
        <v>101.74110665674951</v>
      </c>
      <c r="G1715" s="1">
        <f t="shared" si="1915"/>
        <v>88.671108068053954</v>
      </c>
      <c r="H1715" s="1">
        <f t="shared" si="1915"/>
        <v>79.255544805656328</v>
      </c>
      <c r="I1715" s="1">
        <f t="shared" si="1915"/>
        <v>75.988057299717497</v>
      </c>
      <c r="J1715" s="1">
        <f t="shared" si="1915"/>
        <v>60.400542330658645</v>
      </c>
      <c r="K1715" s="1">
        <f t="shared" si="1915"/>
        <v>52.415912356983192</v>
      </c>
      <c r="L1715" s="1">
        <f t="shared" ref="L1715:O1715" si="1923">L24</f>
        <v>48.629784400637931</v>
      </c>
      <c r="M1715" s="1">
        <f t="shared" si="1923"/>
        <v>39.314087036100844</v>
      </c>
      <c r="N1715" s="1">
        <f t="shared" si="1923"/>
        <v>35.640262552510876</v>
      </c>
      <c r="O1715" s="1">
        <f t="shared" si="1923"/>
        <v>30.305656509851204</v>
      </c>
      <c r="P1715" s="1">
        <f t="shared" si="1917"/>
        <v>21.640347642793952</v>
      </c>
      <c r="Q1715" s="1">
        <f t="shared" si="1917"/>
        <v>8.4552609324629131</v>
      </c>
      <c r="S1715" s="3"/>
    </row>
    <row r="1716" spans="2:19" x14ac:dyDescent="0.5">
      <c r="B1716" t="str">
        <f t="shared" si="1918"/>
        <v>SPS1</v>
      </c>
      <c r="C1716" t="str">
        <f t="shared" si="1919"/>
        <v>CH</v>
      </c>
      <c r="D1716" t="s">
        <v>1742</v>
      </c>
      <c r="E1716" t="str">
        <f t="shared" si="1920"/>
        <v>PJ/yr.</v>
      </c>
      <c r="F1716" s="1">
        <f t="shared" si="1915"/>
        <v>2.7763728796908738</v>
      </c>
      <c r="G1716" s="1">
        <f t="shared" si="1915"/>
        <v>2.3070306354183776</v>
      </c>
      <c r="H1716" s="1">
        <f t="shared" si="1915"/>
        <v>3.2363941301427105E-3</v>
      </c>
      <c r="I1716" s="1">
        <f t="shared" si="1915"/>
        <v>9.1582087505070846E-4</v>
      </c>
      <c r="J1716" s="1">
        <f t="shared" si="1915"/>
        <v>1.4333012973887045E-3</v>
      </c>
      <c r="K1716" s="1">
        <f t="shared" si="1915"/>
        <v>1.2935185701310884E-3</v>
      </c>
      <c r="L1716" s="1">
        <f t="shared" ref="L1716:O1716" si="1924">L25</f>
        <v>1.4666104341367115E-3</v>
      </c>
      <c r="M1716" s="1">
        <f t="shared" si="1924"/>
        <v>0</v>
      </c>
      <c r="N1716" s="1">
        <f t="shared" si="1924"/>
        <v>0</v>
      </c>
      <c r="O1716" s="1">
        <f t="shared" si="1924"/>
        <v>0</v>
      </c>
      <c r="P1716" s="1">
        <f t="shared" si="1917"/>
        <v>0</v>
      </c>
      <c r="Q1716" s="1">
        <f t="shared" si="1917"/>
        <v>0</v>
      </c>
      <c r="S1716" s="3"/>
    </row>
    <row r="1717" spans="2:19" x14ac:dyDescent="0.5">
      <c r="B1717" t="str">
        <f t="shared" si="1918"/>
        <v>SPS1</v>
      </c>
      <c r="C1717" t="str">
        <f t="shared" si="1919"/>
        <v>CH</v>
      </c>
      <c r="D1717" t="s">
        <v>1743</v>
      </c>
      <c r="E1717" t="str">
        <f t="shared" si="1920"/>
        <v>PJ/yr.</v>
      </c>
      <c r="F1717" s="1">
        <f t="shared" si="1915"/>
        <v>118.5288809529289</v>
      </c>
      <c r="G1717" s="1">
        <f t="shared" si="1915"/>
        <v>112.14100115341488</v>
      </c>
      <c r="H1717" s="1">
        <f t="shared" si="1915"/>
        <v>96.825151174308772</v>
      </c>
      <c r="I1717" s="1">
        <f t="shared" si="1915"/>
        <v>71.54646920948494</v>
      </c>
      <c r="J1717" s="1">
        <f t="shared" si="1915"/>
        <v>49.533865935213193</v>
      </c>
      <c r="K1717" s="1">
        <f t="shared" si="1915"/>
        <v>45.512087491287112</v>
      </c>
      <c r="L1717" s="1">
        <f t="shared" ref="L1717:O1717" si="1925">L26</f>
        <v>41.921489439685004</v>
      </c>
      <c r="M1717" s="1">
        <f t="shared" si="1925"/>
        <v>40.41625265672387</v>
      </c>
      <c r="N1717" s="1">
        <f t="shared" si="1925"/>
        <v>39.822796350348717</v>
      </c>
      <c r="O1717" s="1">
        <f t="shared" si="1925"/>
        <v>33.216348005739462</v>
      </c>
      <c r="P1717" s="1">
        <f t="shared" si="1917"/>
        <v>29.481552163467459</v>
      </c>
      <c r="Q1717" s="1">
        <f t="shared" si="1917"/>
        <v>29.794647562903716</v>
      </c>
      <c r="S1717" s="3"/>
    </row>
    <row r="1718" spans="2:19" x14ac:dyDescent="0.5">
      <c r="B1718" t="str">
        <f t="shared" si="1918"/>
        <v>SPS1</v>
      </c>
      <c r="C1718" t="str">
        <f t="shared" si="1919"/>
        <v>CH</v>
      </c>
      <c r="D1718" t="s">
        <v>1744</v>
      </c>
      <c r="E1718" t="str">
        <f t="shared" si="1920"/>
        <v>PJ/yr.</v>
      </c>
      <c r="F1718" s="1">
        <f t="shared" si="1915"/>
        <v>79.800116501283014</v>
      </c>
      <c r="G1718" s="1">
        <f t="shared" si="1915"/>
        <v>75.955831102009526</v>
      </c>
      <c r="H1718" s="1">
        <f t="shared" si="1915"/>
        <v>79.763331139614763</v>
      </c>
      <c r="I1718" s="1">
        <f t="shared" si="1915"/>
        <v>58.428498520784693</v>
      </c>
      <c r="J1718" s="1">
        <f t="shared" si="1915"/>
        <v>44.808438265412477</v>
      </c>
      <c r="K1718" s="1">
        <f t="shared" si="1915"/>
        <v>38.560366241640835</v>
      </c>
      <c r="L1718" s="1">
        <f t="shared" ref="L1718:O1718" si="1926">L27</f>
        <v>33.205257240926265</v>
      </c>
      <c r="M1718" s="1">
        <f t="shared" si="1926"/>
        <v>28.757538875166794</v>
      </c>
      <c r="N1718" s="1">
        <f t="shared" si="1926"/>
        <v>26.279222318002475</v>
      </c>
      <c r="O1718" s="1">
        <f t="shared" si="1926"/>
        <v>23.898186030248745</v>
      </c>
      <c r="P1718" s="1">
        <f t="shared" si="1917"/>
        <v>22.084489880320223</v>
      </c>
      <c r="Q1718" s="1">
        <f t="shared" si="1917"/>
        <v>21.127724721248338</v>
      </c>
      <c r="S1718" s="3"/>
    </row>
    <row r="1719" spans="2:19" x14ac:dyDescent="0.5">
      <c r="B1719" t="str">
        <f t="shared" si="1918"/>
        <v>SPS1</v>
      </c>
      <c r="C1719" t="str">
        <f t="shared" si="1919"/>
        <v>CH</v>
      </c>
      <c r="D1719" t="s">
        <v>1745</v>
      </c>
      <c r="E1719" t="str">
        <f t="shared" si="1920"/>
        <v>PJ/yr.</v>
      </c>
      <c r="F1719" s="1">
        <f t="shared" si="1915"/>
        <v>1.1081985022514804</v>
      </c>
      <c r="G1719" s="1">
        <f t="shared" si="1915"/>
        <v>1.4051982331671331</v>
      </c>
      <c r="H1719" s="1">
        <f t="shared" si="1915"/>
        <v>1.8468315276611209</v>
      </c>
      <c r="I1719" s="1">
        <f t="shared" si="1915"/>
        <v>1.6113273768218674</v>
      </c>
      <c r="J1719" s="1">
        <f t="shared" si="1915"/>
        <v>1.1628675536284052</v>
      </c>
      <c r="K1719" s="1">
        <f t="shared" si="1915"/>
        <v>0.98586215126959842</v>
      </c>
      <c r="L1719" s="1">
        <f t="shared" ref="L1719:O1719" si="1927">L28</f>
        <v>0.64108235172521733</v>
      </c>
      <c r="M1719" s="1">
        <f t="shared" si="1927"/>
        <v>0.38713857374479593</v>
      </c>
      <c r="N1719" s="1">
        <f t="shared" si="1927"/>
        <v>0.19677487944744107</v>
      </c>
      <c r="O1719" s="1">
        <f t="shared" si="1927"/>
        <v>1.099207705099201E-4</v>
      </c>
      <c r="P1719" s="1">
        <f t="shared" si="1917"/>
        <v>6.8442189954515557E-5</v>
      </c>
      <c r="Q1719" s="1">
        <f t="shared" si="1917"/>
        <v>1.2488900007089188E-4</v>
      </c>
      <c r="S1719" s="3"/>
    </row>
    <row r="1720" spans="2:19" x14ac:dyDescent="0.5">
      <c r="B1720" t="str">
        <f t="shared" si="1918"/>
        <v>SPS1</v>
      </c>
      <c r="C1720" t="str">
        <f t="shared" si="1919"/>
        <v>CH</v>
      </c>
      <c r="D1720" t="s">
        <v>1746</v>
      </c>
      <c r="E1720" t="str">
        <f t="shared" si="1920"/>
        <v>PJ/yr.</v>
      </c>
      <c r="F1720" s="1">
        <f t="shared" si="1915"/>
        <v>6.8237238179883164</v>
      </c>
      <c r="G1720" s="1">
        <f t="shared" si="1915"/>
        <v>6.7766290271178544</v>
      </c>
      <c r="H1720" s="1">
        <f t="shared" si="1915"/>
        <v>8.5380187275145598</v>
      </c>
      <c r="I1720" s="1">
        <f t="shared" si="1915"/>
        <v>12.918424752691099</v>
      </c>
      <c r="J1720" s="1">
        <f t="shared" si="1915"/>
        <v>11.652239155446773</v>
      </c>
      <c r="K1720" s="1">
        <f t="shared" si="1915"/>
        <v>11.191196757965669</v>
      </c>
      <c r="L1720" s="1">
        <f t="shared" ref="L1720:O1720" si="1928">L29</f>
        <v>11.022365477176248</v>
      </c>
      <c r="M1720" s="1">
        <f t="shared" si="1928"/>
        <v>10.679215234983509</v>
      </c>
      <c r="N1720" s="1">
        <f t="shared" si="1928"/>
        <v>10.457540871856798</v>
      </c>
      <c r="O1720" s="1">
        <f t="shared" si="1928"/>
        <v>10.141257853142992</v>
      </c>
      <c r="P1720" s="1">
        <f t="shared" si="1917"/>
        <v>9.1853067114043583</v>
      </c>
      <c r="Q1720" s="1">
        <f t="shared" si="1917"/>
        <v>8.9765179581425407</v>
      </c>
      <c r="S1720" s="3"/>
    </row>
    <row r="1721" spans="2:19" x14ac:dyDescent="0.5">
      <c r="B1721" t="str">
        <f t="shared" si="1918"/>
        <v>SPS1</v>
      </c>
      <c r="C1721" t="str">
        <f t="shared" si="1919"/>
        <v>CH</v>
      </c>
      <c r="D1721" t="s">
        <v>1747</v>
      </c>
      <c r="E1721" t="str">
        <f t="shared" si="1920"/>
        <v>PJ/yr.</v>
      </c>
      <c r="F1721" s="1">
        <f t="shared" si="1915"/>
        <v>2.388400529941757</v>
      </c>
      <c r="G1721" s="1">
        <f t="shared" si="1915"/>
        <v>2.3779953835266165</v>
      </c>
      <c r="H1721" s="1">
        <f t="shared" si="1915"/>
        <v>3.9173085517904389</v>
      </c>
      <c r="I1721" s="1">
        <f t="shared" si="1915"/>
        <v>2.3998874969914752</v>
      </c>
      <c r="J1721" s="1">
        <f t="shared" si="1915"/>
        <v>1.8283397532424814</v>
      </c>
      <c r="K1721" s="1">
        <f t="shared" si="1915"/>
        <v>1.8668664124470293</v>
      </c>
      <c r="L1721" s="1">
        <f t="shared" ref="L1721:O1721" si="1929">L30</f>
        <v>1.7418483729144931</v>
      </c>
      <c r="M1721" s="1">
        <f t="shared" si="1929"/>
        <v>1.500095716589362</v>
      </c>
      <c r="N1721" s="1">
        <f t="shared" si="1929"/>
        <v>1.4158742608349995</v>
      </c>
      <c r="O1721" s="1">
        <f t="shared" si="1929"/>
        <v>1.2050676270174145</v>
      </c>
      <c r="P1721" s="1">
        <f t="shared" si="1917"/>
        <v>0.49872252979397214</v>
      </c>
      <c r="Q1721" s="1">
        <f t="shared" si="1917"/>
        <v>0.36694109805456687</v>
      </c>
      <c r="S1721" s="3"/>
    </row>
    <row r="1722" spans="2:19" x14ac:dyDescent="0.5">
      <c r="B1722" t="str">
        <f t="shared" si="1918"/>
        <v>SPS1</v>
      </c>
      <c r="C1722" t="str">
        <f t="shared" si="1919"/>
        <v>CH</v>
      </c>
      <c r="D1722" t="s">
        <v>1748</v>
      </c>
      <c r="E1722" t="str">
        <f t="shared" si="1920"/>
        <v>PJ/yr.</v>
      </c>
      <c r="F1722" s="1">
        <f t="shared" si="1915"/>
        <v>4.4341519255776722</v>
      </c>
      <c r="G1722" s="1">
        <f t="shared" si="1915"/>
        <v>4.3986163932295153</v>
      </c>
      <c r="H1722" s="1">
        <f t="shared" si="1915"/>
        <v>4.6186126808201786</v>
      </c>
      <c r="I1722" s="1">
        <f t="shared" si="1915"/>
        <v>4.1109770175834157</v>
      </c>
      <c r="J1722" s="1">
        <f t="shared" si="1915"/>
        <v>2.8918450506768658</v>
      </c>
      <c r="K1722" s="1">
        <f t="shared" si="1915"/>
        <v>2.2334233641073076</v>
      </c>
      <c r="L1722" s="1">
        <f t="shared" ref="L1722:O1722" si="1930">L31</f>
        <v>1.923267562958572</v>
      </c>
      <c r="M1722" s="1">
        <f t="shared" si="1930"/>
        <v>1.6660200650747619</v>
      </c>
      <c r="N1722" s="1">
        <f t="shared" si="1930"/>
        <v>1.5220630282110983</v>
      </c>
      <c r="O1722" s="1">
        <f t="shared" si="1930"/>
        <v>1.3844675728155382</v>
      </c>
      <c r="P1722" s="1">
        <f t="shared" si="1917"/>
        <v>1.279184724857102</v>
      </c>
      <c r="Q1722" s="1">
        <f t="shared" si="1917"/>
        <v>1.2243457690473214</v>
      </c>
      <c r="S1722" s="3"/>
    </row>
    <row r="1723" spans="2:19" x14ac:dyDescent="0.5">
      <c r="B1723" t="str">
        <f t="shared" si="1918"/>
        <v>SPS1</v>
      </c>
      <c r="C1723" t="str">
        <f t="shared" si="1919"/>
        <v>CH</v>
      </c>
      <c r="D1723" t="s">
        <v>1749</v>
      </c>
      <c r="E1723" t="str">
        <f t="shared" si="1920"/>
        <v>PJ/yr.</v>
      </c>
      <c r="F1723" s="1">
        <f t="shared" ref="F1723:K1725" si="1931">F33</f>
        <v>6.8237238179883164</v>
      </c>
      <c r="G1723" s="1">
        <f t="shared" si="1931"/>
        <v>6.7766290271178544</v>
      </c>
      <c r="H1723" s="1">
        <f t="shared" si="1931"/>
        <v>8.5380187275145598</v>
      </c>
      <c r="I1723" s="1">
        <f t="shared" si="1931"/>
        <v>12.918424752691099</v>
      </c>
      <c r="J1723" s="1">
        <f t="shared" si="1931"/>
        <v>11.127745042035555</v>
      </c>
      <c r="K1723" s="1">
        <f t="shared" si="1931"/>
        <v>11.032344128081764</v>
      </c>
      <c r="L1723" s="1">
        <f t="shared" ref="L1723:O1723" si="1932">L33</f>
        <v>10.756022917284398</v>
      </c>
      <c r="M1723" s="1">
        <f t="shared" si="1932"/>
        <v>10.523365322967308</v>
      </c>
      <c r="N1723" s="1">
        <f t="shared" si="1932"/>
        <v>10.451036742365481</v>
      </c>
      <c r="O1723" s="1">
        <f t="shared" si="1932"/>
        <v>10.109138782643653</v>
      </c>
      <c r="P1723" s="1">
        <f t="shared" ref="P1723:Q1725" si="1933">P33</f>
        <v>9.1853067114043583</v>
      </c>
      <c r="Q1723" s="1">
        <f t="shared" si="1933"/>
        <v>8.9765179581425407</v>
      </c>
      <c r="S1723" s="3"/>
    </row>
    <row r="1724" spans="2:19" x14ac:dyDescent="0.5">
      <c r="B1724" t="str">
        <f t="shared" si="1918"/>
        <v>SPS1</v>
      </c>
      <c r="C1724" t="str">
        <f t="shared" si="1919"/>
        <v>CH</v>
      </c>
      <c r="D1724" t="s">
        <v>1750</v>
      </c>
      <c r="E1724" t="str">
        <f t="shared" si="1920"/>
        <v>PJ/yr.</v>
      </c>
      <c r="F1724" s="1">
        <f t="shared" si="1931"/>
        <v>2.388400529941757</v>
      </c>
      <c r="G1724" s="1">
        <f t="shared" si="1931"/>
        <v>2.3779953835266165</v>
      </c>
      <c r="H1724" s="1">
        <f t="shared" si="1931"/>
        <v>3.9173085517904389</v>
      </c>
      <c r="I1724" s="1">
        <f t="shared" si="1931"/>
        <v>2.3998874969914752</v>
      </c>
      <c r="J1724" s="1">
        <f t="shared" si="1931"/>
        <v>1.8283397532424814</v>
      </c>
      <c r="K1724" s="1">
        <f t="shared" si="1931"/>
        <v>1.8668664124470293</v>
      </c>
      <c r="L1724" s="1">
        <f t="shared" ref="L1724:O1724" si="1934">L34</f>
        <v>1.7418483729144931</v>
      </c>
      <c r="M1724" s="1">
        <f t="shared" si="1934"/>
        <v>1.500095716589362</v>
      </c>
      <c r="N1724" s="1">
        <f t="shared" si="1934"/>
        <v>1.4158742608349995</v>
      </c>
      <c r="O1724" s="1">
        <f t="shared" si="1934"/>
        <v>1.2050676270174145</v>
      </c>
      <c r="P1724" s="1">
        <f t="shared" si="1933"/>
        <v>0.49872252979397214</v>
      </c>
      <c r="Q1724" s="1">
        <f t="shared" si="1933"/>
        <v>0.36694109805456687</v>
      </c>
      <c r="S1724" s="3"/>
    </row>
    <row r="1725" spans="2:19" x14ac:dyDescent="0.5">
      <c r="B1725" t="str">
        <f t="shared" si="1918"/>
        <v>SPS1</v>
      </c>
      <c r="C1725" t="str">
        <f t="shared" si="1919"/>
        <v>CH</v>
      </c>
      <c r="D1725" t="s">
        <v>1751</v>
      </c>
      <c r="E1725" t="str">
        <f t="shared" si="1920"/>
        <v>PJ/yr.</v>
      </c>
      <c r="F1725" s="1">
        <f t="shared" si="1931"/>
        <v>4.4341519255776722</v>
      </c>
      <c r="G1725" s="1">
        <f t="shared" si="1931"/>
        <v>4.3986163932295153</v>
      </c>
      <c r="H1725" s="1">
        <f t="shared" si="1931"/>
        <v>4.6186126808201786</v>
      </c>
      <c r="I1725" s="1">
        <f t="shared" si="1931"/>
        <v>4.1109770175834157</v>
      </c>
      <c r="J1725" s="1">
        <f t="shared" si="1931"/>
        <v>2.8918450506768658</v>
      </c>
      <c r="K1725" s="1">
        <f t="shared" si="1931"/>
        <v>2.2334233641073076</v>
      </c>
      <c r="L1725" s="1">
        <f t="shared" ref="L1725:O1725" si="1935">L35</f>
        <v>1.923267562958572</v>
      </c>
      <c r="M1725" s="1">
        <f t="shared" si="1935"/>
        <v>1.6660200650747619</v>
      </c>
      <c r="N1725" s="1">
        <f t="shared" si="1935"/>
        <v>1.5220630282110983</v>
      </c>
      <c r="O1725" s="1">
        <f t="shared" si="1935"/>
        <v>1.3844675728155382</v>
      </c>
      <c r="P1725" s="1">
        <f t="shared" si="1933"/>
        <v>1.279184724857102</v>
      </c>
      <c r="Q1725" s="1">
        <f t="shared" si="1933"/>
        <v>1.2243457690473214</v>
      </c>
      <c r="S1725" s="3"/>
    </row>
    <row r="1726" spans="2:19" x14ac:dyDescent="0.5">
      <c r="B1726" t="str">
        <f t="shared" si="1918"/>
        <v>SPS1</v>
      </c>
      <c r="C1726" t="str">
        <f t="shared" si="1919"/>
        <v>CH</v>
      </c>
      <c r="D1726" t="s">
        <v>1752</v>
      </c>
      <c r="E1726" t="str">
        <f t="shared" si="1920"/>
        <v>PJ/yr.</v>
      </c>
      <c r="F1726" s="1">
        <f t="shared" ref="F1726:K1739" si="1936">F37</f>
        <v>0</v>
      </c>
      <c r="G1726" s="1">
        <f t="shared" si="1936"/>
        <v>0</v>
      </c>
      <c r="H1726" s="1">
        <f t="shared" si="1936"/>
        <v>0</v>
      </c>
      <c r="I1726" s="1">
        <f t="shared" si="1936"/>
        <v>0</v>
      </c>
      <c r="J1726" s="1">
        <f t="shared" si="1936"/>
        <v>0.52449411341121888</v>
      </c>
      <c r="K1726" s="1">
        <f t="shared" si="1936"/>
        <v>0.15885262988390458</v>
      </c>
      <c r="L1726" s="1">
        <f t="shared" ref="L1726:O1726" si="1937">L37</f>
        <v>0.26634255989185185</v>
      </c>
      <c r="M1726" s="1">
        <f t="shared" si="1937"/>
        <v>0.15584991201620113</v>
      </c>
      <c r="N1726" s="1">
        <f t="shared" si="1937"/>
        <v>6.5041294913159575E-3</v>
      </c>
      <c r="O1726" s="1">
        <f t="shared" si="1937"/>
        <v>3.2119070499339486E-2</v>
      </c>
      <c r="P1726" s="1">
        <f t="shared" ref="P1726:Q1739" si="1938">P37</f>
        <v>0</v>
      </c>
      <c r="Q1726" s="1">
        <f t="shared" si="1938"/>
        <v>0</v>
      </c>
      <c r="S1726" s="3"/>
    </row>
    <row r="1727" spans="2:19" x14ac:dyDescent="0.5">
      <c r="B1727" t="str">
        <f t="shared" si="1918"/>
        <v>SPS1</v>
      </c>
      <c r="C1727" t="str">
        <f t="shared" si="1919"/>
        <v>CH</v>
      </c>
      <c r="D1727" t="s">
        <v>1753</v>
      </c>
      <c r="E1727" t="str">
        <f t="shared" si="1920"/>
        <v>PJ/yr.</v>
      </c>
      <c r="F1727" s="1">
        <f t="shared" si="1936"/>
        <v>0</v>
      </c>
      <c r="G1727" s="1">
        <f t="shared" si="1936"/>
        <v>0</v>
      </c>
      <c r="H1727" s="1">
        <f t="shared" si="1936"/>
        <v>0</v>
      </c>
      <c r="I1727" s="1">
        <f t="shared" si="1936"/>
        <v>0</v>
      </c>
      <c r="J1727" s="1">
        <f t="shared" si="1936"/>
        <v>0</v>
      </c>
      <c r="K1727" s="1">
        <f t="shared" si="1936"/>
        <v>0</v>
      </c>
      <c r="L1727" s="1">
        <f t="shared" ref="L1727:O1727" si="1939">L38</f>
        <v>0</v>
      </c>
      <c r="M1727" s="1">
        <f t="shared" si="1939"/>
        <v>0</v>
      </c>
      <c r="N1727" s="1">
        <f t="shared" si="1939"/>
        <v>0</v>
      </c>
      <c r="O1727" s="1">
        <f t="shared" si="1939"/>
        <v>0</v>
      </c>
      <c r="P1727" s="1">
        <f t="shared" si="1938"/>
        <v>0</v>
      </c>
      <c r="Q1727" s="1">
        <f t="shared" si="1938"/>
        <v>0</v>
      </c>
      <c r="S1727" s="3"/>
    </row>
    <row r="1728" spans="2:19" x14ac:dyDescent="0.5">
      <c r="B1728" t="str">
        <f t="shared" si="1918"/>
        <v>SPS1</v>
      </c>
      <c r="C1728" t="str">
        <f t="shared" si="1919"/>
        <v>CH</v>
      </c>
      <c r="D1728" t="s">
        <v>1754</v>
      </c>
      <c r="E1728" t="str">
        <f t="shared" si="1920"/>
        <v>PJ/yr.</v>
      </c>
      <c r="F1728" s="1">
        <f t="shared" si="1936"/>
        <v>0</v>
      </c>
      <c r="G1728" s="1">
        <f t="shared" si="1936"/>
        <v>0</v>
      </c>
      <c r="H1728" s="1">
        <f t="shared" si="1936"/>
        <v>0</v>
      </c>
      <c r="I1728" s="1">
        <f t="shared" si="1936"/>
        <v>0</v>
      </c>
      <c r="J1728" s="1">
        <f t="shared" si="1936"/>
        <v>0</v>
      </c>
      <c r="K1728" s="1">
        <f t="shared" si="1936"/>
        <v>0</v>
      </c>
      <c r="L1728" s="1">
        <f t="shared" ref="L1728:O1728" si="1940">L39</f>
        <v>0</v>
      </c>
      <c r="M1728" s="1">
        <f t="shared" si="1940"/>
        <v>0</v>
      </c>
      <c r="N1728" s="1">
        <f t="shared" si="1940"/>
        <v>0</v>
      </c>
      <c r="O1728" s="1">
        <f t="shared" si="1940"/>
        <v>0</v>
      </c>
      <c r="P1728" s="1">
        <f t="shared" si="1938"/>
        <v>0</v>
      </c>
      <c r="Q1728" s="1">
        <f t="shared" si="1938"/>
        <v>0</v>
      </c>
      <c r="S1728" s="3"/>
    </row>
    <row r="1729" spans="2:19" x14ac:dyDescent="0.5">
      <c r="B1729" t="str">
        <f t="shared" si="1918"/>
        <v>SPS1</v>
      </c>
      <c r="C1729" t="str">
        <f t="shared" si="1919"/>
        <v>CH</v>
      </c>
      <c r="D1729" t="s">
        <v>1755</v>
      </c>
      <c r="E1729" t="str">
        <f t="shared" si="1920"/>
        <v>PJ/yr.</v>
      </c>
      <c r="F1729" s="1">
        <f t="shared" si="1936"/>
        <v>0</v>
      </c>
      <c r="G1729" s="1">
        <f t="shared" si="1936"/>
        <v>0</v>
      </c>
      <c r="H1729" s="1">
        <f t="shared" si="1936"/>
        <v>0</v>
      </c>
      <c r="I1729" s="1">
        <f t="shared" si="1936"/>
        <v>0</v>
      </c>
      <c r="J1729" s="1">
        <f t="shared" si="1936"/>
        <v>0.52449411341121888</v>
      </c>
      <c r="K1729" s="1">
        <f t="shared" si="1936"/>
        <v>0.15885262988390458</v>
      </c>
      <c r="L1729" s="1">
        <f t="shared" ref="L1729:O1729" si="1941">L40</f>
        <v>0.26634255989185185</v>
      </c>
      <c r="M1729" s="1">
        <f t="shared" si="1941"/>
        <v>0.15584991201620113</v>
      </c>
      <c r="N1729" s="1">
        <f t="shared" si="1941"/>
        <v>6.5041294913159575E-3</v>
      </c>
      <c r="O1729" s="1">
        <f t="shared" si="1941"/>
        <v>3.2119070499339486E-2</v>
      </c>
      <c r="P1729" s="1">
        <f t="shared" si="1938"/>
        <v>0</v>
      </c>
      <c r="Q1729" s="1">
        <f t="shared" si="1938"/>
        <v>0</v>
      </c>
      <c r="S1729" s="3"/>
    </row>
    <row r="1730" spans="2:19" x14ac:dyDescent="0.5">
      <c r="B1730" t="str">
        <f t="shared" si="1918"/>
        <v>SPS1</v>
      </c>
      <c r="C1730" t="str">
        <f t="shared" si="1919"/>
        <v>CH</v>
      </c>
      <c r="D1730" t="s">
        <v>1756</v>
      </c>
      <c r="E1730" t="str">
        <f t="shared" si="1920"/>
        <v>PJ/yr.</v>
      </c>
      <c r="F1730" s="1">
        <f t="shared" si="1936"/>
        <v>117.02060415422058</v>
      </c>
      <c r="G1730" s="1">
        <f t="shared" si="1936"/>
        <v>107.23650075885602</v>
      </c>
      <c r="H1730" s="1">
        <f t="shared" si="1936"/>
        <v>113.4945058442764</v>
      </c>
      <c r="I1730" s="1">
        <f t="shared" si="1936"/>
        <v>121.52775060583122</v>
      </c>
      <c r="J1730" s="1">
        <f t="shared" si="1936"/>
        <v>126.76831989625612</v>
      </c>
      <c r="K1730" s="1">
        <f t="shared" si="1936"/>
        <v>128.51535276397769</v>
      </c>
      <c r="L1730" s="1">
        <f t="shared" ref="L1730:O1730" si="1942">L41</f>
        <v>129.18766767904128</v>
      </c>
      <c r="M1730" s="1">
        <f t="shared" si="1942"/>
        <v>127.69496368315016</v>
      </c>
      <c r="N1730" s="1">
        <f t="shared" si="1942"/>
        <v>124.96054038736153</v>
      </c>
      <c r="O1730" s="1">
        <f t="shared" si="1942"/>
        <v>121.00325152126557</v>
      </c>
      <c r="P1730" s="1">
        <f t="shared" si="1938"/>
        <v>121.45101187540052</v>
      </c>
      <c r="Q1730" s="1">
        <f t="shared" si="1938"/>
        <v>110.64601861926062</v>
      </c>
      <c r="S1730" s="3"/>
    </row>
    <row r="1731" spans="2:19" x14ac:dyDescent="0.5">
      <c r="B1731" t="str">
        <f t="shared" si="1918"/>
        <v>SPS1</v>
      </c>
      <c r="C1731" t="str">
        <f t="shared" si="1919"/>
        <v>CH</v>
      </c>
      <c r="D1731" t="s">
        <v>1757</v>
      </c>
      <c r="E1731" t="str">
        <f t="shared" si="1920"/>
        <v>PJ/yr.</v>
      </c>
      <c r="F1731" s="1">
        <f t="shared" si="1936"/>
        <v>117.02060415422058</v>
      </c>
      <c r="G1731" s="1">
        <f t="shared" si="1936"/>
        <v>106.71999989703531</v>
      </c>
      <c r="H1731" s="1">
        <f t="shared" si="1936"/>
        <v>112.32736443706395</v>
      </c>
      <c r="I1731" s="1">
        <f t="shared" si="1936"/>
        <v>119.2948044386044</v>
      </c>
      <c r="J1731" s="1">
        <f t="shared" si="1936"/>
        <v>122.95857746889256</v>
      </c>
      <c r="K1731" s="1">
        <f t="shared" si="1936"/>
        <v>122.40631140647685</v>
      </c>
      <c r="L1731" s="1">
        <f t="shared" ref="L1731:O1731" si="1943">L42</f>
        <v>122.78122508869221</v>
      </c>
      <c r="M1731" s="1">
        <f t="shared" si="1943"/>
        <v>120.82212898287223</v>
      </c>
      <c r="N1731" s="1">
        <f t="shared" si="1943"/>
        <v>117.86797958498677</v>
      </c>
      <c r="O1731" s="1">
        <f t="shared" si="1943"/>
        <v>113.5927539937622</v>
      </c>
      <c r="P1731" s="1">
        <f t="shared" si="1938"/>
        <v>113.08531081495155</v>
      </c>
      <c r="Q1731" s="1">
        <f t="shared" si="1938"/>
        <v>101.96120154570445</v>
      </c>
      <c r="S1731" s="3"/>
    </row>
    <row r="1732" spans="2:19" x14ac:dyDescent="0.5">
      <c r="B1732" t="str">
        <f t="shared" si="1918"/>
        <v>SPS1</v>
      </c>
      <c r="C1732" t="str">
        <f t="shared" si="1919"/>
        <v>CH</v>
      </c>
      <c r="D1732" t="s">
        <v>1758</v>
      </c>
      <c r="E1732" t="str">
        <f t="shared" si="1920"/>
        <v>PJ/yr.</v>
      </c>
      <c r="F1732" s="1">
        <f t="shared" si="1936"/>
        <v>117.02060415422058</v>
      </c>
      <c r="G1732" s="1">
        <f t="shared" si="1936"/>
        <v>106.71999989703531</v>
      </c>
      <c r="H1732" s="1">
        <f t="shared" si="1936"/>
        <v>112.32736443706395</v>
      </c>
      <c r="I1732" s="1">
        <f t="shared" si="1936"/>
        <v>119.29382626193762</v>
      </c>
      <c r="J1732" s="1">
        <f t="shared" si="1936"/>
        <v>122.95686017998561</v>
      </c>
      <c r="K1732" s="1">
        <f t="shared" si="1936"/>
        <v>122.40471799680431</v>
      </c>
      <c r="L1732" s="1">
        <f t="shared" ref="L1732:O1732" si="1944">L43</f>
        <v>122.77954252500017</v>
      </c>
      <c r="M1732" s="1">
        <f t="shared" si="1944"/>
        <v>120.81855123616619</v>
      </c>
      <c r="N1732" s="1">
        <f t="shared" si="1944"/>
        <v>117.86614501800922</v>
      </c>
      <c r="O1732" s="1">
        <f t="shared" si="1944"/>
        <v>113.58921411020063</v>
      </c>
      <c r="P1732" s="1">
        <f t="shared" si="1938"/>
        <v>113.08251608387286</v>
      </c>
      <c r="Q1732" s="1">
        <f t="shared" si="1938"/>
        <v>101.95519412387092</v>
      </c>
      <c r="S1732" s="3"/>
    </row>
    <row r="1733" spans="2:19" x14ac:dyDescent="0.5">
      <c r="B1733" t="str">
        <f t="shared" si="1918"/>
        <v>SPS1</v>
      </c>
      <c r="C1733" t="str">
        <f t="shared" si="1919"/>
        <v>CH</v>
      </c>
      <c r="D1733" t="s">
        <v>1759</v>
      </c>
      <c r="E1733" t="str">
        <f t="shared" si="1920"/>
        <v>PJ/yr.</v>
      </c>
      <c r="F1733" s="1">
        <f t="shared" si="1936"/>
        <v>0</v>
      </c>
      <c r="G1733" s="1">
        <f t="shared" si="1936"/>
        <v>0</v>
      </c>
      <c r="H1733" s="1">
        <f t="shared" si="1936"/>
        <v>0</v>
      </c>
      <c r="I1733" s="1">
        <f t="shared" si="1936"/>
        <v>9.78176666779181E-4</v>
      </c>
      <c r="J1733" s="1">
        <f t="shared" si="1936"/>
        <v>1.7172889069452873E-3</v>
      </c>
      <c r="K1733" s="1">
        <f t="shared" si="1936"/>
        <v>1.593409672538451E-3</v>
      </c>
      <c r="L1733" s="1">
        <f t="shared" ref="L1733:O1733" si="1945">L44</f>
        <v>1.6825636920448869E-3</v>
      </c>
      <c r="M1733" s="1">
        <f t="shared" si="1945"/>
        <v>3.5777467060372687E-3</v>
      </c>
      <c r="N1733" s="1">
        <f t="shared" si="1945"/>
        <v>1.8345669775439262E-3</v>
      </c>
      <c r="O1733" s="1">
        <f t="shared" si="1945"/>
        <v>3.5398835615711327E-3</v>
      </c>
      <c r="P1733" s="1">
        <f t="shared" si="1938"/>
        <v>2.7947310786923113E-3</v>
      </c>
      <c r="Q1733" s="1">
        <f t="shared" si="1938"/>
        <v>6.0074218335366024E-3</v>
      </c>
      <c r="S1733" s="3"/>
    </row>
    <row r="1734" spans="2:19" x14ac:dyDescent="0.5">
      <c r="B1734" t="str">
        <f t="shared" si="1918"/>
        <v>SPS1</v>
      </c>
      <c r="C1734" t="str">
        <f t="shared" si="1919"/>
        <v>CH</v>
      </c>
      <c r="D1734" t="s">
        <v>1760</v>
      </c>
      <c r="E1734" t="str">
        <f t="shared" si="1920"/>
        <v>PJ/yr.</v>
      </c>
      <c r="F1734" s="1">
        <f t="shared" si="1936"/>
        <v>0</v>
      </c>
      <c r="G1734" s="1">
        <f t="shared" si="1936"/>
        <v>0.51650086182072252</v>
      </c>
      <c r="H1734" s="1">
        <f t="shared" si="1936"/>
        <v>1.16714140721246</v>
      </c>
      <c r="I1734" s="1">
        <f t="shared" si="1936"/>
        <v>2.2329461672268165</v>
      </c>
      <c r="J1734" s="1">
        <f t="shared" si="1936"/>
        <v>3.8097424273635574</v>
      </c>
      <c r="K1734" s="1">
        <f t="shared" si="1936"/>
        <v>6.109041357500856</v>
      </c>
      <c r="L1734" s="1">
        <f t="shared" ref="L1734:O1734" si="1946">L45</f>
        <v>6.4064425903490863</v>
      </c>
      <c r="M1734" s="1">
        <f t="shared" si="1946"/>
        <v>6.8728347002779389</v>
      </c>
      <c r="N1734" s="1">
        <f t="shared" si="1946"/>
        <v>7.0925608023747628</v>
      </c>
      <c r="O1734" s="1">
        <f t="shared" si="1946"/>
        <v>7.4104975275033711</v>
      </c>
      <c r="P1734" s="1">
        <f t="shared" si="1938"/>
        <v>8.3657010604489734</v>
      </c>
      <c r="Q1734" s="1">
        <f t="shared" si="1938"/>
        <v>8.6848170735561627</v>
      </c>
      <c r="S1734" s="3"/>
    </row>
    <row r="1735" spans="2:19" x14ac:dyDescent="0.5">
      <c r="B1735" t="str">
        <f t="shared" si="1918"/>
        <v>SPS1</v>
      </c>
      <c r="C1735" t="str">
        <f t="shared" si="1919"/>
        <v>CH</v>
      </c>
      <c r="D1735" t="s">
        <v>1761</v>
      </c>
      <c r="E1735" t="str">
        <f t="shared" si="1920"/>
        <v>PJ/yr.</v>
      </c>
      <c r="F1735" s="1">
        <f t="shared" si="1936"/>
        <v>0</v>
      </c>
      <c r="G1735" s="1">
        <f t="shared" si="1936"/>
        <v>0.51650086182072252</v>
      </c>
      <c r="H1735" s="1">
        <f t="shared" si="1936"/>
        <v>1.16714140721246</v>
      </c>
      <c r="I1735" s="1">
        <f t="shared" si="1936"/>
        <v>2.2329461672268165</v>
      </c>
      <c r="J1735" s="1">
        <f t="shared" si="1936"/>
        <v>2.2329461672268165</v>
      </c>
      <c r="K1735" s="1">
        <f t="shared" si="1936"/>
        <v>3.8097424273635574</v>
      </c>
      <c r="L1735" s="1">
        <f t="shared" ref="L1735:O1735" si="1947">L46</f>
        <v>6.109041357500856</v>
      </c>
      <c r="M1735" s="1">
        <f t="shared" si="1947"/>
        <v>6.4064425903490863</v>
      </c>
      <c r="N1735" s="1">
        <f t="shared" si="1947"/>
        <v>6.8728347002779389</v>
      </c>
      <c r="O1735" s="1">
        <f t="shared" si="1947"/>
        <v>7.0925608023747628</v>
      </c>
      <c r="P1735" s="1">
        <f t="shared" si="1938"/>
        <v>7.4104975275033711</v>
      </c>
      <c r="Q1735" s="1">
        <f t="shared" si="1938"/>
        <v>8.3657010604489734</v>
      </c>
      <c r="S1735" s="3"/>
    </row>
    <row r="1736" spans="2:19" x14ac:dyDescent="0.5">
      <c r="B1736" t="str">
        <f t="shared" si="1918"/>
        <v>SPS1</v>
      </c>
      <c r="C1736" t="str">
        <f t="shared" si="1919"/>
        <v>CH</v>
      </c>
      <c r="D1736" t="s">
        <v>1762</v>
      </c>
      <c r="E1736" t="str">
        <f t="shared" si="1920"/>
        <v>PJ/yr.</v>
      </c>
      <c r="F1736" s="1">
        <f t="shared" si="1936"/>
        <v>0</v>
      </c>
      <c r="G1736" s="1">
        <f t="shared" si="1936"/>
        <v>0.51650086182072252</v>
      </c>
      <c r="H1736" s="1">
        <f t="shared" si="1936"/>
        <v>1.16714140721246</v>
      </c>
      <c r="I1736" s="1">
        <f t="shared" si="1936"/>
        <v>2.2329461672268165</v>
      </c>
      <c r="J1736" s="1">
        <f t="shared" si="1936"/>
        <v>2.2329461672268165</v>
      </c>
      <c r="K1736" s="1">
        <f t="shared" si="1936"/>
        <v>3.8097424273635574</v>
      </c>
      <c r="L1736" s="1">
        <f t="shared" ref="L1736:O1736" si="1948">L47</f>
        <v>6.109041357500856</v>
      </c>
      <c r="M1736" s="1">
        <f t="shared" si="1948"/>
        <v>6.4064425903490863</v>
      </c>
      <c r="N1736" s="1">
        <f t="shared" si="1948"/>
        <v>6.8728347002779389</v>
      </c>
      <c r="O1736" s="1">
        <f t="shared" si="1948"/>
        <v>7.0925608023747628</v>
      </c>
      <c r="P1736" s="1">
        <f t="shared" si="1938"/>
        <v>7.4104975275033711</v>
      </c>
      <c r="Q1736" s="1">
        <f t="shared" si="1938"/>
        <v>8.3657010604489734</v>
      </c>
      <c r="S1736" s="3"/>
    </row>
    <row r="1737" spans="2:19" x14ac:dyDescent="0.5">
      <c r="B1737" t="str">
        <f t="shared" si="1918"/>
        <v>SPS1</v>
      </c>
      <c r="C1737" t="str">
        <f t="shared" si="1919"/>
        <v>CH</v>
      </c>
      <c r="D1737" t="s">
        <v>1763</v>
      </c>
      <c r="E1737" t="str">
        <f t="shared" si="1920"/>
        <v>PJ/yr.</v>
      </c>
      <c r="F1737" s="1">
        <f t="shared" si="1936"/>
        <v>0</v>
      </c>
      <c r="G1737" s="1">
        <f t="shared" si="1936"/>
        <v>0</v>
      </c>
      <c r="H1737" s="1">
        <f t="shared" si="1936"/>
        <v>0</v>
      </c>
      <c r="I1737" s="1">
        <f t="shared" si="1936"/>
        <v>0</v>
      </c>
      <c r="J1737" s="1">
        <f t="shared" si="1936"/>
        <v>1.5767962601367409</v>
      </c>
      <c r="K1737" s="1">
        <f t="shared" si="1936"/>
        <v>2.2992989301372986</v>
      </c>
      <c r="L1737" s="1">
        <f t="shared" ref="L1737:O1737" si="1949">L48</f>
        <v>0.29740123284823028</v>
      </c>
      <c r="M1737" s="1">
        <f t="shared" si="1949"/>
        <v>0.46639210992885261</v>
      </c>
      <c r="N1737" s="1">
        <f t="shared" si="1949"/>
        <v>0.21972610209682397</v>
      </c>
      <c r="O1737" s="1">
        <f t="shared" si="1949"/>
        <v>0.31793672512860827</v>
      </c>
      <c r="P1737" s="1">
        <f t="shared" si="1938"/>
        <v>0.95520353294560234</v>
      </c>
      <c r="Q1737" s="1">
        <f t="shared" si="1938"/>
        <v>0.31911601310718929</v>
      </c>
      <c r="S1737" s="3"/>
    </row>
    <row r="1738" spans="2:19" x14ac:dyDescent="0.5">
      <c r="B1738" t="str">
        <f t="shared" si="1918"/>
        <v>SPS1</v>
      </c>
      <c r="C1738" t="str">
        <f t="shared" si="1919"/>
        <v>CH</v>
      </c>
      <c r="D1738" t="s">
        <v>1764</v>
      </c>
      <c r="E1738" t="str">
        <f t="shared" si="1920"/>
        <v>PJ/yr.</v>
      </c>
      <c r="F1738" s="1">
        <f t="shared" si="1936"/>
        <v>0</v>
      </c>
      <c r="G1738" s="1">
        <f t="shared" si="1936"/>
        <v>0</v>
      </c>
      <c r="H1738" s="1">
        <f t="shared" si="1936"/>
        <v>0</v>
      </c>
      <c r="I1738" s="1">
        <f t="shared" si="1936"/>
        <v>0</v>
      </c>
      <c r="J1738" s="1">
        <f t="shared" si="1936"/>
        <v>1.5767962601367409</v>
      </c>
      <c r="K1738" s="1">
        <f t="shared" si="1936"/>
        <v>2.2992989301372986</v>
      </c>
      <c r="L1738" s="1">
        <f t="shared" ref="L1738:O1738" si="1950">L49</f>
        <v>0.29740123284823028</v>
      </c>
      <c r="M1738" s="1">
        <f t="shared" si="1950"/>
        <v>0.46639210992885261</v>
      </c>
      <c r="N1738" s="1">
        <f t="shared" si="1950"/>
        <v>0.21972610209682397</v>
      </c>
      <c r="O1738" s="1">
        <f t="shared" si="1950"/>
        <v>0.31793672512860827</v>
      </c>
      <c r="P1738" s="1">
        <f t="shared" si="1938"/>
        <v>0.95520353294560234</v>
      </c>
      <c r="Q1738" s="1">
        <f t="shared" si="1938"/>
        <v>0.31911601310718929</v>
      </c>
      <c r="S1738" s="3"/>
    </row>
    <row r="1739" spans="2:19" x14ac:dyDescent="0.5">
      <c r="B1739" t="str">
        <f t="shared" si="1918"/>
        <v>SPS1</v>
      </c>
      <c r="C1739" t="str">
        <f t="shared" si="1919"/>
        <v>CH</v>
      </c>
      <c r="D1739" t="s">
        <v>1765</v>
      </c>
      <c r="E1739" t="str">
        <f t="shared" si="1920"/>
        <v>PJ/yr.</v>
      </c>
      <c r="F1739" s="1">
        <f t="shared" si="1936"/>
        <v>250.94822217467984</v>
      </c>
      <c r="G1739" s="1">
        <f t="shared" si="1936"/>
        <v>254.39252495563562</v>
      </c>
      <c r="H1739" s="1">
        <f t="shared" si="1936"/>
        <v>224.15584756872391</v>
      </c>
      <c r="I1739" s="1">
        <f t="shared" si="1936"/>
        <v>221.52789535729715</v>
      </c>
      <c r="J1739" s="1">
        <f t="shared" si="1936"/>
        <v>173.71236014282644</v>
      </c>
      <c r="K1739" s="1">
        <f t="shared" si="1936"/>
        <v>100.02410055867948</v>
      </c>
      <c r="L1739" s="1">
        <f t="shared" ref="L1739:O1739" si="1951">L50</f>
        <v>3.385666830003689</v>
      </c>
      <c r="M1739" s="1">
        <f t="shared" si="1951"/>
        <v>21.582477861567501</v>
      </c>
      <c r="N1739" s="1">
        <f t="shared" si="1951"/>
        <v>21.619862978763724</v>
      </c>
      <c r="O1739" s="1">
        <f t="shared" si="1951"/>
        <v>21.477319190718944</v>
      </c>
      <c r="P1739" s="1">
        <f t="shared" si="1938"/>
        <v>20.433563815377582</v>
      </c>
      <c r="Q1739" s="1">
        <f t="shared" si="1938"/>
        <v>20.66026260032362</v>
      </c>
      <c r="S1739" s="3"/>
    </row>
    <row r="1740" spans="2:19" x14ac:dyDescent="0.5">
      <c r="B1740" t="str">
        <f t="shared" si="1918"/>
        <v>SPS1</v>
      </c>
      <c r="C1740" t="str">
        <f t="shared" si="1919"/>
        <v>CH</v>
      </c>
      <c r="D1740" t="s">
        <v>1766</v>
      </c>
      <c r="E1740" t="str">
        <f t="shared" si="1920"/>
        <v>PJ/yr.</v>
      </c>
      <c r="F1740" s="1">
        <f>-F58+F51</f>
        <v>-20.010006262766368</v>
      </c>
      <c r="G1740" s="1">
        <f t="shared" ref="G1740:K1740" si="1952">-G58+G51</f>
        <v>14.455271966576007</v>
      </c>
      <c r="H1740" s="1">
        <f t="shared" si="1952"/>
        <v>-13.978439765409178</v>
      </c>
      <c r="I1740" s="1">
        <f t="shared" si="1952"/>
        <v>-31.079594805797583</v>
      </c>
      <c r="J1740" s="1">
        <f t="shared" si="1952"/>
        <v>-9.3894514867314456</v>
      </c>
      <c r="K1740" s="1">
        <f t="shared" si="1952"/>
        <v>15.800245581954307</v>
      </c>
      <c r="L1740" s="1">
        <f t="shared" ref="L1740:O1740" si="1953">-L58+L51</f>
        <v>38.051248838679825</v>
      </c>
      <c r="M1740" s="1">
        <f t="shared" si="1953"/>
        <v>25.158076223711507</v>
      </c>
      <c r="N1740" s="1">
        <f t="shared" si="1953"/>
        <v>22.464552054403327</v>
      </c>
      <c r="O1740" s="1">
        <f t="shared" si="1953"/>
        <v>28.577305542503353</v>
      </c>
      <c r="P1740" s="1">
        <f>-P58+P51</f>
        <v>30.357022696069059</v>
      </c>
      <c r="Q1740" s="1">
        <f>-Q58+Q51</f>
        <v>36.815727606339728</v>
      </c>
      <c r="S1740" s="3"/>
    </row>
    <row r="1741" spans="2:19" x14ac:dyDescent="0.5">
      <c r="B1741" t="str">
        <f t="shared" si="1918"/>
        <v>SPS1</v>
      </c>
      <c r="C1741" t="str">
        <f t="shared" si="1919"/>
        <v>CH</v>
      </c>
      <c r="D1741" t="s">
        <v>1767</v>
      </c>
      <c r="E1741" t="str">
        <f t="shared" si="1920"/>
        <v>PJ/yr.</v>
      </c>
      <c r="F1741" s="1">
        <f t="shared" ref="F1741:K1741" si="1954">F56</f>
        <v>0</v>
      </c>
      <c r="G1741" s="1">
        <f t="shared" si="1954"/>
        <v>0</v>
      </c>
      <c r="H1741" s="1">
        <f t="shared" si="1954"/>
        <v>0</v>
      </c>
      <c r="I1741" s="1">
        <f t="shared" si="1954"/>
        <v>0</v>
      </c>
      <c r="J1741" s="1">
        <f t="shared" si="1954"/>
        <v>0</v>
      </c>
      <c r="K1741" s="1">
        <f t="shared" si="1954"/>
        <v>2.2676855589104138E-3</v>
      </c>
      <c r="L1741" s="1">
        <f t="shared" ref="L1741:O1741" si="1955">L56</f>
        <v>2.2762046501962167E-3</v>
      </c>
      <c r="M1741" s="1">
        <f t="shared" si="1955"/>
        <v>1.3089865924287307E-3</v>
      </c>
      <c r="N1741" s="1">
        <f t="shared" si="1955"/>
        <v>6.1622697707120497E-4</v>
      </c>
      <c r="O1741" s="1">
        <f t="shared" si="1955"/>
        <v>1.4739045528837113E-3</v>
      </c>
      <c r="P1741" s="1">
        <f>P56</f>
        <v>1.0370890988300793E-3</v>
      </c>
      <c r="Q1741" s="1">
        <f>Q56</f>
        <v>2.3391577890773787E-3</v>
      </c>
      <c r="S1741" s="3"/>
    </row>
    <row r="1742" spans="2:19" x14ac:dyDescent="0.5">
      <c r="B1742" t="str">
        <f t="shared" si="1918"/>
        <v>SPS1</v>
      </c>
      <c r="C1742" t="str">
        <f t="shared" si="1919"/>
        <v>CH</v>
      </c>
      <c r="D1742" t="s">
        <v>1769</v>
      </c>
      <c r="E1742" t="str">
        <f t="shared" ref="E1742:K1751" si="1956">E3</f>
        <v>PJ/yr.</v>
      </c>
      <c r="F1742" s="1">
        <f t="shared" si="1956"/>
        <v>44.972402472062015</v>
      </c>
      <c r="G1742" s="1">
        <f t="shared" si="1956"/>
        <v>48.190469372532469</v>
      </c>
      <c r="H1742" s="1">
        <f t="shared" si="1956"/>
        <v>48.190470755843982</v>
      </c>
      <c r="I1742" s="1">
        <f t="shared" si="1956"/>
        <v>48.190473556011995</v>
      </c>
      <c r="J1742" s="1">
        <f t="shared" si="1956"/>
        <v>48.191273698872095</v>
      </c>
      <c r="K1742" s="1">
        <f t="shared" si="1956"/>
        <v>48.19127584629797</v>
      </c>
      <c r="L1742" s="1">
        <f t="shared" ref="L1742:O1742" si="1957">L3</f>
        <v>48.191277742775739</v>
      </c>
      <c r="M1742" s="1">
        <f t="shared" si="1957"/>
        <v>48.191289233341948</v>
      </c>
      <c r="N1742" s="1">
        <f t="shared" si="1957"/>
        <v>48.191284952491088</v>
      </c>
      <c r="O1742" s="1">
        <f t="shared" si="1957"/>
        <v>48.191300452461348</v>
      </c>
      <c r="P1742" s="1">
        <f t="shared" ref="P1742:Q1758" si="1958">P3</f>
        <v>48.191301788521862</v>
      </c>
      <c r="Q1742" s="1">
        <f t="shared" si="1958"/>
        <v>48.191363713626814</v>
      </c>
      <c r="S1742" s="3"/>
    </row>
    <row r="1743" spans="2:19" x14ac:dyDescent="0.5">
      <c r="B1743" t="str">
        <f t="shared" si="1918"/>
        <v>SPS1</v>
      </c>
      <c r="C1743" t="str">
        <f t="shared" si="1919"/>
        <v>CH</v>
      </c>
      <c r="D1743" t="s">
        <v>1770</v>
      </c>
      <c r="E1743" t="str">
        <f t="shared" si="1956"/>
        <v>PJ/yr.</v>
      </c>
      <c r="F1743" s="1">
        <f t="shared" si="1956"/>
        <v>11.111877816062361</v>
      </c>
      <c r="G1743" s="1">
        <f t="shared" si="1956"/>
        <v>11.952883610097949</v>
      </c>
      <c r="H1743" s="1">
        <f t="shared" si="1956"/>
        <v>13.214392679215495</v>
      </c>
      <c r="I1743" s="1">
        <f t="shared" si="1956"/>
        <v>15.316909578148843</v>
      </c>
      <c r="J1743" s="1">
        <f t="shared" si="1956"/>
        <v>15.849138612604666</v>
      </c>
      <c r="K1743" s="1">
        <f t="shared" si="1956"/>
        <v>16.266395578750799</v>
      </c>
      <c r="L1743" s="1">
        <f t="shared" ref="L1743:O1743" si="1959">L4</f>
        <v>16.611694222062589</v>
      </c>
      <c r="M1743" s="1">
        <f t="shared" si="1959"/>
        <v>16.956993852050463</v>
      </c>
      <c r="N1743" s="1">
        <f t="shared" si="1959"/>
        <v>17.015760310926382</v>
      </c>
      <c r="O1743" s="1">
        <f t="shared" si="1959"/>
        <v>17.074528854627712</v>
      </c>
      <c r="P1743" s="1">
        <f t="shared" si="1958"/>
        <v>17.133294185602008</v>
      </c>
      <c r="Q1743" s="1">
        <f t="shared" si="1958"/>
        <v>17.192068101281823</v>
      </c>
      <c r="S1743" s="3"/>
    </row>
    <row r="1744" spans="2:19" x14ac:dyDescent="0.5">
      <c r="B1744" t="str">
        <f t="shared" si="1918"/>
        <v>SPS1</v>
      </c>
      <c r="C1744" t="str">
        <f t="shared" si="1919"/>
        <v>CH</v>
      </c>
      <c r="D1744" t="s">
        <v>1771</v>
      </c>
      <c r="E1744" t="str">
        <f t="shared" si="1956"/>
        <v>PJ/yr.</v>
      </c>
      <c r="F1744" s="1">
        <f t="shared" si="1956"/>
        <v>7.5116714792787516</v>
      </c>
      <c r="G1744" s="1">
        <f t="shared" si="1956"/>
        <v>7.5431421335966675</v>
      </c>
      <c r="H1744" s="1">
        <f t="shared" si="1956"/>
        <v>7.5903483529641971</v>
      </c>
      <c r="I1744" s="1">
        <f t="shared" si="1956"/>
        <v>7.6690266108984915</v>
      </c>
      <c r="J1744" s="1">
        <f t="shared" si="1956"/>
        <v>7.669027110614115</v>
      </c>
      <c r="K1744" s="1">
        <f t="shared" si="1956"/>
        <v>7.6690272561862862</v>
      </c>
      <c r="L1744" s="1">
        <f t="shared" ref="L1744:O1744" si="1960">L5</f>
        <v>7.6690271876529321</v>
      </c>
      <c r="M1744" s="1">
        <f t="shared" si="1960"/>
        <v>7.6690281047762552</v>
      </c>
      <c r="N1744" s="1">
        <f t="shared" si="1960"/>
        <v>7.6690271918015256</v>
      </c>
      <c r="O1744" s="1">
        <f t="shared" si="1960"/>
        <v>7.6690282773254745</v>
      </c>
      <c r="P1744" s="1">
        <f t="shared" si="1958"/>
        <v>7.6690262131216862</v>
      </c>
      <c r="Q1744" s="1">
        <f t="shared" si="1958"/>
        <v>7.6690263254100701</v>
      </c>
      <c r="S1744" s="3"/>
    </row>
    <row r="1745" spans="2:19" x14ac:dyDescent="0.5">
      <c r="B1745" t="str">
        <f t="shared" si="1918"/>
        <v>SPS1</v>
      </c>
      <c r="C1745" t="str">
        <f t="shared" si="1919"/>
        <v>CH</v>
      </c>
      <c r="D1745" t="s">
        <v>1772</v>
      </c>
      <c r="E1745" t="str">
        <f t="shared" si="1956"/>
        <v>PJ/yr.</v>
      </c>
      <c r="F1745" s="1">
        <f t="shared" si="1956"/>
        <v>3.1682453941052438</v>
      </c>
      <c r="G1745" s="1">
        <f t="shared" si="1956"/>
        <v>3.4956720240256094</v>
      </c>
      <c r="H1745" s="1">
        <f t="shared" si="1956"/>
        <v>3.9868135890129714</v>
      </c>
      <c r="I1745" s="1">
        <f t="shared" si="1956"/>
        <v>4.805385560005389</v>
      </c>
      <c r="J1745" s="1">
        <f t="shared" si="1956"/>
        <v>4.805384426012572</v>
      </c>
      <c r="K1745" s="1">
        <f t="shared" si="1956"/>
        <v>4.8053846118820971</v>
      </c>
      <c r="L1745" s="1">
        <f t="shared" ref="L1745:O1745" si="1961">L6</f>
        <v>4.8053846358314969</v>
      </c>
      <c r="M1745" s="1">
        <f t="shared" si="1961"/>
        <v>4.8053828172703277</v>
      </c>
      <c r="N1745" s="1">
        <f t="shared" si="1961"/>
        <v>4.8053845343663566</v>
      </c>
      <c r="O1745" s="1">
        <f t="shared" si="1961"/>
        <v>4.8053832322819119</v>
      </c>
      <c r="P1745" s="1">
        <f t="shared" si="1958"/>
        <v>4.8053834357688743</v>
      </c>
      <c r="Q1745" s="1">
        <f t="shared" si="1958"/>
        <v>4.8053839557388356</v>
      </c>
      <c r="S1745" s="3"/>
    </row>
    <row r="1746" spans="2:19" x14ac:dyDescent="0.5">
      <c r="B1746" t="str">
        <f t="shared" si="1918"/>
        <v>SPS1</v>
      </c>
      <c r="C1746" t="str">
        <f t="shared" si="1919"/>
        <v>CH</v>
      </c>
      <c r="D1746" t="s">
        <v>1773</v>
      </c>
      <c r="E1746" t="str">
        <f t="shared" si="1956"/>
        <v>PJ/yr.</v>
      </c>
      <c r="F1746" s="1">
        <f t="shared" si="1956"/>
        <v>23.180607782615652</v>
      </c>
      <c r="G1746" s="1">
        <f t="shared" si="1956"/>
        <v>25.198771604812244</v>
      </c>
      <c r="H1746" s="1">
        <f t="shared" si="1956"/>
        <v>23.398916134651319</v>
      </c>
      <c r="I1746" s="1">
        <f t="shared" si="1956"/>
        <v>20.399151806959264</v>
      </c>
      <c r="J1746" s="1">
        <f t="shared" si="1956"/>
        <v>19.867723549640743</v>
      </c>
      <c r="K1746" s="1">
        <f t="shared" si="1956"/>
        <v>19.45046839947879</v>
      </c>
      <c r="L1746" s="1">
        <f t="shared" ref="L1746:O1746" si="1962">L7</f>
        <v>19.10517169722872</v>
      </c>
      <c r="M1746" s="1">
        <f t="shared" si="1962"/>
        <v>18.759884459244905</v>
      </c>
      <c r="N1746" s="1">
        <f t="shared" si="1962"/>
        <v>18.70111291539682</v>
      </c>
      <c r="O1746" s="1">
        <f t="shared" si="1962"/>
        <v>18.642360088226251</v>
      </c>
      <c r="P1746" s="1">
        <f t="shared" si="1958"/>
        <v>18.583597954029294</v>
      </c>
      <c r="Q1746" s="1">
        <f t="shared" si="1958"/>
        <v>18.524885331196085</v>
      </c>
      <c r="S1746" s="3"/>
    </row>
    <row r="1747" spans="2:19" x14ac:dyDescent="0.5">
      <c r="B1747" t="str">
        <f t="shared" si="1918"/>
        <v>SPS1</v>
      </c>
      <c r="C1747" t="str">
        <f t="shared" si="1919"/>
        <v>CH</v>
      </c>
      <c r="D1747" t="s">
        <v>1774</v>
      </c>
      <c r="E1747" t="str">
        <f t="shared" si="1956"/>
        <v>PJ/yr.</v>
      </c>
      <c r="F1747" s="1">
        <f t="shared" si="1956"/>
        <v>69.871941200223546</v>
      </c>
      <c r="G1747" s="1">
        <f t="shared" si="1956"/>
        <v>69.903213928398984</v>
      </c>
      <c r="H1747" s="1">
        <f t="shared" si="1956"/>
        <v>69.5103067647795</v>
      </c>
      <c r="I1747" s="1">
        <f t="shared" si="1956"/>
        <v>69.060799183311644</v>
      </c>
      <c r="J1747" s="1">
        <f t="shared" si="1956"/>
        <v>68.958416999730559</v>
      </c>
      <c r="K1747" s="1">
        <f t="shared" si="1956"/>
        <v>69.180285478295218</v>
      </c>
      <c r="L1747" s="1">
        <f t="shared" ref="L1747:O1747" si="1963">L8</f>
        <v>69.402151765941539</v>
      </c>
      <c r="M1747" s="1">
        <f t="shared" si="1963"/>
        <v>69.624025628867855</v>
      </c>
      <c r="N1747" s="1">
        <f t="shared" si="1963"/>
        <v>69.624023532500331</v>
      </c>
      <c r="O1747" s="1">
        <f t="shared" si="1963"/>
        <v>69.624033867580764</v>
      </c>
      <c r="P1747" s="1">
        <f t="shared" si="1958"/>
        <v>69.624032851674627</v>
      </c>
      <c r="Q1747" s="1">
        <f t="shared" si="1958"/>
        <v>69.62410012212672</v>
      </c>
      <c r="S1747" s="3"/>
    </row>
    <row r="1748" spans="2:19" x14ac:dyDescent="0.5">
      <c r="B1748" t="str">
        <f t="shared" si="1918"/>
        <v>SPS1</v>
      </c>
      <c r="C1748" t="str">
        <f t="shared" si="1919"/>
        <v>CH</v>
      </c>
      <c r="D1748" t="s">
        <v>1775</v>
      </c>
      <c r="E1748" t="str">
        <f t="shared" si="1956"/>
        <v>PJ/yr.</v>
      </c>
      <c r="F1748" s="1">
        <f t="shared" si="1956"/>
        <v>35.851290112416699</v>
      </c>
      <c r="G1748" s="1">
        <f t="shared" si="1956"/>
        <v>35.882382878107464</v>
      </c>
      <c r="H1748" s="1">
        <f t="shared" si="1956"/>
        <v>35.489467550159034</v>
      </c>
      <c r="I1748" s="1">
        <f t="shared" si="1956"/>
        <v>35.039968096222253</v>
      </c>
      <c r="J1748" s="1">
        <f t="shared" si="1956"/>
        <v>34.937585174902388</v>
      </c>
      <c r="K1748" s="1">
        <f t="shared" si="1956"/>
        <v>35.159449549388498</v>
      </c>
      <c r="L1748" s="1">
        <f t="shared" ref="L1748:O1748" si="1964">L9</f>
        <v>35.381314116653847</v>
      </c>
      <c r="M1748" s="1">
        <f t="shared" si="1964"/>
        <v>35.603182411498764</v>
      </c>
      <c r="N1748" s="1">
        <f t="shared" si="1964"/>
        <v>35.603179606571651</v>
      </c>
      <c r="O1748" s="1">
        <f t="shared" si="1964"/>
        <v>35.60318313159835</v>
      </c>
      <c r="P1748" s="1">
        <f t="shared" si="1958"/>
        <v>35.603178915539864</v>
      </c>
      <c r="Q1748" s="1">
        <f t="shared" si="1958"/>
        <v>35.603185210495248</v>
      </c>
      <c r="S1748" s="3"/>
    </row>
    <row r="1749" spans="2:19" x14ac:dyDescent="0.5">
      <c r="B1749" t="str">
        <f t="shared" si="1918"/>
        <v>SPS1</v>
      </c>
      <c r="C1749" t="str">
        <f t="shared" si="1919"/>
        <v>CH</v>
      </c>
      <c r="D1749" t="s">
        <v>1776</v>
      </c>
      <c r="E1749" t="str">
        <f t="shared" si="1956"/>
        <v>PJ/yr.</v>
      </c>
      <c r="F1749" s="1">
        <f t="shared" si="1956"/>
        <v>34.020651087806847</v>
      </c>
      <c r="G1749" s="1">
        <f t="shared" si="1956"/>
        <v>34.02083105029152</v>
      </c>
      <c r="H1749" s="1">
        <f t="shared" si="1956"/>
        <v>34.020839214620466</v>
      </c>
      <c r="I1749" s="1">
        <f t="shared" si="1956"/>
        <v>34.020831087089384</v>
      </c>
      <c r="J1749" s="1">
        <f t="shared" si="1956"/>
        <v>34.020831824828178</v>
      </c>
      <c r="K1749" s="1">
        <f t="shared" si="1956"/>
        <v>34.020835928906713</v>
      </c>
      <c r="L1749" s="1">
        <f t="shared" ref="L1749:O1749" si="1965">L10</f>
        <v>34.020837649287699</v>
      </c>
      <c r="M1749" s="1">
        <f t="shared" si="1965"/>
        <v>34.020843217369098</v>
      </c>
      <c r="N1749" s="1">
        <f t="shared" si="1965"/>
        <v>34.020843925928681</v>
      </c>
      <c r="O1749" s="1">
        <f t="shared" si="1965"/>
        <v>34.020850735982414</v>
      </c>
      <c r="P1749" s="1">
        <f t="shared" si="1958"/>
        <v>34.020853936134763</v>
      </c>
      <c r="Q1749" s="1">
        <f t="shared" si="1958"/>
        <v>34.020914911631472</v>
      </c>
      <c r="S1749" s="3"/>
    </row>
    <row r="1750" spans="2:19" x14ac:dyDescent="0.5">
      <c r="B1750" t="str">
        <f t="shared" si="1918"/>
        <v>SPS1</v>
      </c>
      <c r="C1750" t="str">
        <f t="shared" si="1919"/>
        <v>CH</v>
      </c>
      <c r="D1750" t="s">
        <v>1777</v>
      </c>
      <c r="E1750" t="str">
        <f t="shared" si="1956"/>
        <v>PJ/yr.</v>
      </c>
      <c r="F1750" s="1">
        <f t="shared" si="1956"/>
        <v>3.7980890453788723</v>
      </c>
      <c r="G1750" s="1">
        <f t="shared" si="1956"/>
        <v>12.48768142622205</v>
      </c>
      <c r="H1750" s="1">
        <f t="shared" si="1956"/>
        <v>12.540265595238091</v>
      </c>
      <c r="I1750" s="1">
        <f t="shared" si="1956"/>
        <v>12.540422828132941</v>
      </c>
      <c r="J1750" s="1">
        <f t="shared" si="1956"/>
        <v>12.540426178369573</v>
      </c>
      <c r="K1750" s="1">
        <f t="shared" si="1956"/>
        <v>12.541602913931778</v>
      </c>
      <c r="L1750" s="1">
        <f t="shared" ref="L1750:O1750" si="1966">L11</f>
        <v>12.5416224835975</v>
      </c>
      <c r="M1750" s="1">
        <f t="shared" si="1966"/>
        <v>12.541655317753763</v>
      </c>
      <c r="N1750" s="1">
        <f t="shared" si="1966"/>
        <v>12.541667093502433</v>
      </c>
      <c r="O1750" s="1">
        <f t="shared" si="1966"/>
        <v>12.541739241110205</v>
      </c>
      <c r="P1750" s="1">
        <f t="shared" si="1958"/>
        <v>12.54184370295355</v>
      </c>
      <c r="Q1750" s="1">
        <f t="shared" si="1958"/>
        <v>12.542122705679734</v>
      </c>
      <c r="S1750" s="3"/>
    </row>
    <row r="1751" spans="2:19" x14ac:dyDescent="0.5">
      <c r="B1751" t="str">
        <f t="shared" si="1918"/>
        <v>SPS1</v>
      </c>
      <c r="C1751" t="str">
        <f t="shared" si="1919"/>
        <v>CH</v>
      </c>
      <c r="D1751" t="s">
        <v>1778</v>
      </c>
      <c r="E1751" t="str">
        <f t="shared" si="1956"/>
        <v>PJ/yr.</v>
      </c>
      <c r="F1751" s="1">
        <f t="shared" si="1956"/>
        <v>149.43049454864359</v>
      </c>
      <c r="G1751" s="1">
        <f t="shared" si="1956"/>
        <v>125.60620572036886</v>
      </c>
      <c r="H1751" s="1">
        <f t="shared" si="1956"/>
        <v>141.33423289116055</v>
      </c>
      <c r="I1751" s="1">
        <f t="shared" si="1956"/>
        <v>150.00973086657521</v>
      </c>
      <c r="J1751" s="1">
        <f t="shared" si="1956"/>
        <v>150.05639720402141</v>
      </c>
      <c r="K1751" s="1">
        <f t="shared" si="1956"/>
        <v>150.09441559717823</v>
      </c>
      <c r="L1751" s="1">
        <f t="shared" ref="L1751:O1751" si="1967">L12</f>
        <v>150.13173386403054</v>
      </c>
      <c r="M1751" s="1">
        <f t="shared" si="1967"/>
        <v>150.17228287618377</v>
      </c>
      <c r="N1751" s="1">
        <f t="shared" si="1967"/>
        <v>150.20913736728946</v>
      </c>
      <c r="O1751" s="1">
        <f t="shared" si="1967"/>
        <v>150.25352472289927</v>
      </c>
      <c r="P1751" s="1">
        <f t="shared" si="1958"/>
        <v>150.30249343745535</v>
      </c>
      <c r="Q1751" s="1">
        <f t="shared" si="1958"/>
        <v>150.55047619797529</v>
      </c>
      <c r="S1751" s="3"/>
    </row>
    <row r="1752" spans="2:19" x14ac:dyDescent="0.5">
      <c r="B1752" t="str">
        <f t="shared" si="1918"/>
        <v>SPS1</v>
      </c>
      <c r="C1752" t="str">
        <f t="shared" si="1919"/>
        <v>CH</v>
      </c>
      <c r="D1752" t="s">
        <v>1779</v>
      </c>
      <c r="E1752" t="str">
        <f t="shared" ref="E1752:K1758" si="1968">E13</f>
        <v>PJ/yr.</v>
      </c>
      <c r="F1752" s="1">
        <f t="shared" si="1968"/>
        <v>66.745679999996938</v>
      </c>
      <c r="G1752" s="1">
        <f t="shared" si="1968"/>
        <v>49.79880272042594</v>
      </c>
      <c r="H1752" s="1">
        <f t="shared" si="1968"/>
        <v>68.534766593212652</v>
      </c>
      <c r="I1752" s="1">
        <f t="shared" si="1968"/>
        <v>69.617936454117398</v>
      </c>
      <c r="J1752" s="1">
        <f t="shared" si="1968"/>
        <v>70.70230294535466</v>
      </c>
      <c r="K1752" s="1">
        <f t="shared" si="1968"/>
        <v>71.787070620196403</v>
      </c>
      <c r="L1752" s="1">
        <f t="shared" ref="L1752:O1752" si="1969">L13</f>
        <v>72.871347957925721</v>
      </c>
      <c r="M1752" s="1">
        <f t="shared" si="1969"/>
        <v>73.956372894292386</v>
      </c>
      <c r="N1752" s="1">
        <f t="shared" si="1969"/>
        <v>73.956376943374877</v>
      </c>
      <c r="O1752" s="1">
        <f t="shared" si="1969"/>
        <v>73.956432969456429</v>
      </c>
      <c r="P1752" s="1">
        <f t="shared" si="1958"/>
        <v>73.956436818231353</v>
      </c>
      <c r="Q1752" s="1">
        <f t="shared" si="1958"/>
        <v>73.955970595593016</v>
      </c>
      <c r="S1752" s="3"/>
    </row>
    <row r="1753" spans="2:19" x14ac:dyDescent="0.5">
      <c r="B1753" t="str">
        <f t="shared" si="1918"/>
        <v>SPS1</v>
      </c>
      <c r="C1753" t="str">
        <f t="shared" si="1919"/>
        <v>CH</v>
      </c>
      <c r="D1753" t="s">
        <v>1780</v>
      </c>
      <c r="E1753" t="str">
        <f t="shared" si="1968"/>
        <v>PJ/yr.</v>
      </c>
      <c r="F1753" s="1">
        <f t="shared" si="1968"/>
        <v>66.632400513568854</v>
      </c>
      <c r="G1753" s="1">
        <f t="shared" si="1968"/>
        <v>55.764004154854931</v>
      </c>
      <c r="H1753" s="1">
        <f t="shared" si="1968"/>
        <v>65.551417749832652</v>
      </c>
      <c r="I1753" s="1">
        <f t="shared" si="1968"/>
        <v>64.468275679026817</v>
      </c>
      <c r="J1753" s="1">
        <f t="shared" si="1968"/>
        <v>63.383969368795363</v>
      </c>
      <c r="K1753" s="1">
        <f t="shared" si="1968"/>
        <v>62.299204126580534</v>
      </c>
      <c r="L1753" s="1">
        <f t="shared" ref="L1753:O1753" si="1970">L14</f>
        <v>61.21492577383524</v>
      </c>
      <c r="M1753" s="1">
        <f t="shared" si="1970"/>
        <v>60.129903182655362</v>
      </c>
      <c r="N1753" s="1">
        <f t="shared" si="1970"/>
        <v>60.129900586362993</v>
      </c>
      <c r="O1753" s="1">
        <f t="shared" si="1970"/>
        <v>60.129843003729704</v>
      </c>
      <c r="P1753" s="1">
        <f t="shared" si="1958"/>
        <v>60.129842330749057</v>
      </c>
      <c r="Q1753" s="1">
        <f t="shared" si="1958"/>
        <v>60.130335854346129</v>
      </c>
      <c r="S1753" s="3"/>
    </row>
    <row r="1754" spans="2:19" x14ac:dyDescent="0.5">
      <c r="B1754" t="str">
        <f t="shared" si="1918"/>
        <v>SPS1</v>
      </c>
      <c r="C1754" t="str">
        <f t="shared" si="1919"/>
        <v>CH</v>
      </c>
      <c r="D1754" t="s">
        <v>1781</v>
      </c>
      <c r="E1754" t="str">
        <f t="shared" si="1968"/>
        <v>PJ/yr.</v>
      </c>
      <c r="F1754" s="1">
        <f t="shared" si="1968"/>
        <v>16.052414035077803</v>
      </c>
      <c r="G1754" s="1">
        <f t="shared" si="1968"/>
        <v>20.043398845087996</v>
      </c>
      <c r="H1754" s="1">
        <f t="shared" si="1968"/>
        <v>7.2480485481152455</v>
      </c>
      <c r="I1754" s="1">
        <f t="shared" si="1968"/>
        <v>15.923518733431001</v>
      </c>
      <c r="J1754" s="1">
        <f t="shared" si="1968"/>
        <v>15.970124889871377</v>
      </c>
      <c r="K1754" s="1">
        <f t="shared" si="1968"/>
        <v>16.008140850401265</v>
      </c>
      <c r="L1754" s="1">
        <f t="shared" ref="L1754:O1754" si="1971">L15</f>
        <v>16.045460132269557</v>
      </c>
      <c r="M1754" s="1">
        <f t="shared" si="1971"/>
        <v>16.086006799236031</v>
      </c>
      <c r="N1754" s="1">
        <f t="shared" si="1971"/>
        <v>16.122859837551609</v>
      </c>
      <c r="O1754" s="1">
        <f t="shared" si="1971"/>
        <v>16.167248749713149</v>
      </c>
      <c r="P1754" s="1">
        <f t="shared" si="1958"/>
        <v>16.216214288474951</v>
      </c>
      <c r="Q1754" s="1">
        <f t="shared" si="1958"/>
        <v>16.464169748036145</v>
      </c>
      <c r="S1754" s="3"/>
    </row>
    <row r="1755" spans="2:19" x14ac:dyDescent="0.5">
      <c r="B1755" t="str">
        <f t="shared" si="1918"/>
        <v>SPS1</v>
      </c>
      <c r="C1755" t="str">
        <f t="shared" si="1919"/>
        <v>CH</v>
      </c>
      <c r="D1755" t="s">
        <v>1782</v>
      </c>
      <c r="E1755" t="str">
        <f t="shared" si="1968"/>
        <v>PJ/yr.</v>
      </c>
      <c r="F1755" s="1">
        <f t="shared" si="1968"/>
        <v>12.556519064853482</v>
      </c>
      <c r="G1755" s="1">
        <f t="shared" si="1968"/>
        <v>16.522310718534442</v>
      </c>
      <c r="H1755" s="1">
        <f t="shared" si="1968"/>
        <v>32.461622337746881</v>
      </c>
      <c r="I1755" s="1">
        <f t="shared" si="1968"/>
        <v>54.391512754991936</v>
      </c>
      <c r="J1755" s="1">
        <f t="shared" si="1968"/>
        <v>57.322739727141375</v>
      </c>
      <c r="K1755" s="1">
        <f t="shared" si="1968"/>
        <v>59.982207730216153</v>
      </c>
      <c r="L1755" s="1">
        <f t="shared" ref="L1755:O1755" si="1972">L16</f>
        <v>62.656608924788308</v>
      </c>
      <c r="M1755" s="1">
        <f t="shared" si="1972"/>
        <v>65.445109124829642</v>
      </c>
      <c r="N1755" s="1">
        <f t="shared" si="1972"/>
        <v>68.066565779377171</v>
      </c>
      <c r="O1755" s="1">
        <f t="shared" si="1972"/>
        <v>71.128921885008282</v>
      </c>
      <c r="P1755" s="1">
        <f t="shared" si="1958"/>
        <v>74.650491637627184</v>
      </c>
      <c r="Q1755" s="1">
        <f t="shared" si="1958"/>
        <v>78.992618232451747</v>
      </c>
      <c r="S1755" s="3"/>
    </row>
    <row r="1756" spans="2:19" x14ac:dyDescent="0.5">
      <c r="B1756" t="str">
        <f t="shared" si="1918"/>
        <v>SPS1</v>
      </c>
      <c r="C1756" t="str">
        <f t="shared" si="1919"/>
        <v>CH</v>
      </c>
      <c r="D1756" t="s">
        <v>1783</v>
      </c>
      <c r="E1756" t="str">
        <f t="shared" si="1968"/>
        <v>PJ/yr.</v>
      </c>
      <c r="F1756" s="1">
        <f t="shared" si="1968"/>
        <v>0.52403403058392983</v>
      </c>
      <c r="G1756" s="1">
        <f t="shared" si="1968"/>
        <v>0.54529439211439945</v>
      </c>
      <c r="H1756" s="1">
        <f t="shared" si="1968"/>
        <v>0.50316710429062383</v>
      </c>
      <c r="I1756" s="1">
        <f t="shared" si="1968"/>
        <v>0.54660667075148972</v>
      </c>
      <c r="J1756" s="1">
        <f t="shared" si="1968"/>
        <v>0.54710774488177616</v>
      </c>
      <c r="K1756" s="1">
        <f t="shared" si="1968"/>
        <v>0.54727413321439355</v>
      </c>
      <c r="L1756" s="1">
        <f t="shared" ref="L1756:O1756" si="1973">L17</f>
        <v>0.55276816644461835</v>
      </c>
      <c r="M1756" s="1">
        <f t="shared" si="1973"/>
        <v>0.5528622763271972</v>
      </c>
      <c r="N1756" s="1">
        <f t="shared" si="1973"/>
        <v>0.55284707874449057</v>
      </c>
      <c r="O1756" s="1">
        <f t="shared" si="1973"/>
        <v>0.55288172003600322</v>
      </c>
      <c r="P1756" s="1">
        <f t="shared" si="1958"/>
        <v>0.55347091555993944</v>
      </c>
      <c r="Q1756" s="1">
        <f t="shared" si="1958"/>
        <v>0.55658176955429661</v>
      </c>
      <c r="S1756" s="3"/>
    </row>
    <row r="1757" spans="2:19" x14ac:dyDescent="0.5">
      <c r="B1757" t="str">
        <f t="shared" si="1918"/>
        <v>SPS1</v>
      </c>
      <c r="C1757" t="str">
        <f t="shared" si="1919"/>
        <v>CH</v>
      </c>
      <c r="D1757" t="s">
        <v>1784</v>
      </c>
      <c r="E1757" t="str">
        <f t="shared" si="1968"/>
        <v>PJ/yr.</v>
      </c>
      <c r="F1757" s="1">
        <f t="shared" si="1968"/>
        <v>18.873149273927272</v>
      </c>
      <c r="G1757" s="1">
        <f t="shared" si="1968"/>
        <v>22.214285116772967</v>
      </c>
      <c r="H1757" s="1">
        <f t="shared" si="1968"/>
        <v>26.234636902244215</v>
      </c>
      <c r="I1757" s="1">
        <f t="shared" si="1968"/>
        <v>30.738028003053515</v>
      </c>
      <c r="J1757" s="1">
        <f t="shared" si="1968"/>
        <v>39.040464008744493</v>
      </c>
      <c r="K1757" s="1">
        <f t="shared" si="1968"/>
        <v>42.044810003816288</v>
      </c>
      <c r="L1757" s="1">
        <f t="shared" ref="L1757:O1757" si="1974">L18</f>
        <v>43.847440648247925</v>
      </c>
      <c r="M1757" s="1">
        <f t="shared" si="1974"/>
        <v>46.927685638941277</v>
      </c>
      <c r="N1757" s="1">
        <f t="shared" si="1974"/>
        <v>49.152049978690272</v>
      </c>
      <c r="O1757" s="1">
        <f t="shared" si="1974"/>
        <v>52.347242590104699</v>
      </c>
      <c r="P1757" s="1">
        <f t="shared" si="1958"/>
        <v>54.343507548824839</v>
      </c>
      <c r="Q1757" s="1">
        <f t="shared" si="1958"/>
        <v>55.78608166947631</v>
      </c>
      <c r="S1757" s="3"/>
    </row>
    <row r="1758" spans="2:19" x14ac:dyDescent="0.5">
      <c r="B1758" t="str">
        <f t="shared" si="1918"/>
        <v>SPS1</v>
      </c>
      <c r="C1758" t="str">
        <f t="shared" si="1919"/>
        <v>CH</v>
      </c>
      <c r="D1758" t="s">
        <v>1785</v>
      </c>
      <c r="E1758" t="str">
        <f t="shared" si="1968"/>
        <v>PJ/yr.</v>
      </c>
      <c r="F1758" s="1">
        <f t="shared" si="1968"/>
        <v>0</v>
      </c>
      <c r="G1758" s="1">
        <f t="shared" si="1968"/>
        <v>0</v>
      </c>
      <c r="H1758" s="1">
        <f t="shared" si="1968"/>
        <v>0</v>
      </c>
      <c r="I1758" s="1">
        <f t="shared" si="1968"/>
        <v>0</v>
      </c>
      <c r="J1758" s="1">
        <f t="shared" si="1968"/>
        <v>0</v>
      </c>
      <c r="K1758" s="1">
        <f t="shared" si="1968"/>
        <v>3.048067359934987E-4</v>
      </c>
      <c r="L1758" s="1">
        <f t="shared" ref="L1758:O1758" si="1975">L19</f>
        <v>3.6915764314641282E-2</v>
      </c>
      <c r="M1758" s="1">
        <f t="shared" si="1975"/>
        <v>7.8234486373157941E-2</v>
      </c>
      <c r="N1758" s="1">
        <f t="shared" si="1975"/>
        <v>0</v>
      </c>
      <c r="O1758" s="1">
        <f t="shared" si="1975"/>
        <v>0</v>
      </c>
      <c r="P1758" s="1">
        <f t="shared" si="1958"/>
        <v>0</v>
      </c>
      <c r="Q1758" s="1">
        <f t="shared" si="1958"/>
        <v>0</v>
      </c>
      <c r="S1758" s="3"/>
    </row>
    <row r="1759" spans="2:19" x14ac:dyDescent="0.5">
      <c r="B1759" s="9" t="str">
        <f t="shared" si="1918"/>
        <v>SPS1</v>
      </c>
      <c r="C1759" s="2" t="str">
        <f t="shared" si="1919"/>
        <v>CH</v>
      </c>
      <c r="D1759" s="2" t="s">
        <v>1788</v>
      </c>
      <c r="E1759" s="2" t="s">
        <v>1857</v>
      </c>
      <c r="F1759" s="3">
        <f t="shared" ref="F1759:K1759" si="1976">SUM(F1760,F1762,F1766,F1770,F1786,F1793,F1801,F1803,F1811,F1815,F1809)</f>
        <v>22.357219327368952</v>
      </c>
      <c r="G1759" s="3">
        <f t="shared" si="1976"/>
        <v>24.372956972728929</v>
      </c>
      <c r="H1759" s="3">
        <f t="shared" si="1976"/>
        <v>28.856526461463368</v>
      </c>
      <c r="I1759" s="3">
        <f t="shared" si="1976"/>
        <v>33.278875440474792</v>
      </c>
      <c r="J1759" s="3">
        <f t="shared" si="1976"/>
        <v>33.730449632047609</v>
      </c>
      <c r="K1759" s="3">
        <f t="shared" si="1976"/>
        <v>33.795277160024781</v>
      </c>
      <c r="L1759" s="3">
        <f t="shared" ref="L1759:O1759" si="1977">SUM(L1760,L1762,L1766,L1770,L1786,L1793,L1801,L1803,L1811,L1815,L1809)</f>
        <v>33.706777660501551</v>
      </c>
      <c r="M1759" s="3">
        <f t="shared" si="1977"/>
        <v>34.911814876172386</v>
      </c>
      <c r="N1759" s="3">
        <f t="shared" si="1977"/>
        <v>35.845964155497221</v>
      </c>
      <c r="O1759" s="3">
        <f t="shared" si="1977"/>
        <v>36.640721793359234</v>
      </c>
      <c r="P1759" s="3">
        <f>SUM(P1760,P1762,P1766,P1770,P1786,P1793,P1801,P1803,P1811,P1815,P1809)</f>
        <v>37.583310976232212</v>
      </c>
      <c r="Q1759" s="3">
        <f>SUM(Q1760,Q1762,Q1766,Q1770,Q1786,Q1793,Q1801,Q1803,Q1811,Q1815,Q1809)</f>
        <v>38.791955339552601</v>
      </c>
      <c r="S1759" s="3"/>
    </row>
    <row r="1760" spans="2:19" x14ac:dyDescent="0.5">
      <c r="B1760" s="5" t="str">
        <f t="shared" si="1918"/>
        <v>SPS1</v>
      </c>
      <c r="C1760" s="5" t="str">
        <f t="shared" si="1919"/>
        <v>CH</v>
      </c>
      <c r="D1760" t="s">
        <v>1790</v>
      </c>
      <c r="E1760" t="str">
        <f>E1759</f>
        <v>GWe/yr.</v>
      </c>
      <c r="F1760" s="1">
        <f>+F1761</f>
        <v>3.0935586168093083</v>
      </c>
      <c r="G1760" s="1">
        <f t="shared" ref="G1760:O1760" si="1978">+G1761</f>
        <v>3.0935584353319499</v>
      </c>
      <c r="H1760" s="1">
        <f t="shared" si="1978"/>
        <v>2.9131724622697526</v>
      </c>
      <c r="I1760" s="1">
        <f t="shared" si="1978"/>
        <v>2.757683342195385</v>
      </c>
      <c r="J1760" s="1">
        <f t="shared" si="1978"/>
        <v>2.1760293775031574</v>
      </c>
      <c r="K1760" s="1">
        <f t="shared" si="1978"/>
        <v>1.3533869160516643</v>
      </c>
      <c r="L1760" s="1">
        <f t="shared" si="1978"/>
        <v>0.15944438686266266</v>
      </c>
      <c r="M1760" s="1">
        <f t="shared" si="1978"/>
        <v>0.36895011414438378</v>
      </c>
      <c r="N1760" s="1">
        <f t="shared" si="1978"/>
        <v>0.33694903507309026</v>
      </c>
      <c r="O1760" s="1">
        <f t="shared" si="1978"/>
        <v>0.25489790322660832</v>
      </c>
      <c r="P1760" s="1">
        <f>+P1761</f>
        <v>0.25495979143550668</v>
      </c>
      <c r="Q1760" s="1">
        <f>+Q1761</f>
        <v>0.25779051786630514</v>
      </c>
      <c r="S1760" s="3"/>
    </row>
    <row r="1761" spans="2:19" x14ac:dyDescent="0.5">
      <c r="B1761" s="5" t="str">
        <f t="shared" si="1918"/>
        <v>SPS1</v>
      </c>
      <c r="C1761" s="5" t="str">
        <f t="shared" si="1919"/>
        <v>CH</v>
      </c>
      <c r="D1761" t="s">
        <v>1791</v>
      </c>
      <c r="E1761" t="str">
        <f t="shared" ref="E1761:E1822" si="1979">E1760</f>
        <v>GWe/yr.</v>
      </c>
      <c r="F1761" s="1">
        <f>'[1]Electricity and CHPs_CAP'!B$14</f>
        <v>3.0935586168093083</v>
      </c>
      <c r="G1761" s="1">
        <f>'[1]Electricity and CHPs_CAP'!C$14</f>
        <v>3.0935584353319499</v>
      </c>
      <c r="H1761" s="1">
        <f>'[1]Electricity and CHPs_CAP'!D$14</f>
        <v>2.9131724622697526</v>
      </c>
      <c r="I1761" s="1">
        <f>'[1]Electricity and CHPs_CAP'!E$14</f>
        <v>2.757683342195385</v>
      </c>
      <c r="J1761" s="1">
        <f>'[1]Electricity and CHPs_CAP'!F$14</f>
        <v>2.1760293775031574</v>
      </c>
      <c r="K1761" s="1">
        <f>'[1]Electricity and CHPs_CAP'!G$14</f>
        <v>1.3533869160516643</v>
      </c>
      <c r="L1761" s="1">
        <f>'[1]Electricity and CHPs_CAP'!H$14</f>
        <v>0.15944438686266266</v>
      </c>
      <c r="M1761" s="1">
        <f>'[1]Electricity and CHPs_CAP'!I$14</f>
        <v>0.36895011414438378</v>
      </c>
      <c r="N1761" s="1">
        <f>'[1]Electricity and CHPs_CAP'!J$14</f>
        <v>0.33694903507309026</v>
      </c>
      <c r="O1761" s="1">
        <f>'[1]Electricity and CHPs_CAP'!K$14</f>
        <v>0.25489790322660832</v>
      </c>
      <c r="P1761" s="1">
        <f>'[1]Electricity and CHPs_CAP'!L$14</f>
        <v>0.25495979143550668</v>
      </c>
      <c r="Q1761" s="1">
        <f>'[1]Electricity and CHPs_CAP'!M$14</f>
        <v>0.25779051786630514</v>
      </c>
      <c r="S1761" s="3"/>
    </row>
    <row r="1762" spans="2:19" x14ac:dyDescent="0.5">
      <c r="B1762" s="5" t="str">
        <f t="shared" si="1918"/>
        <v>SPS1</v>
      </c>
      <c r="C1762" s="5" t="str">
        <f t="shared" si="1919"/>
        <v>CH</v>
      </c>
      <c r="D1762" t="s">
        <v>1792</v>
      </c>
      <c r="E1762" t="str">
        <f t="shared" si="1979"/>
        <v>GWe/yr.</v>
      </c>
      <c r="F1762" s="1">
        <f>SUM(F1763:F1765)</f>
        <v>15.403610001059999</v>
      </c>
      <c r="G1762" s="1">
        <f t="shared" ref="G1762:K1762" si="1980">SUM(G1763:G1765)</f>
        <v>16.120173941348007</v>
      </c>
      <c r="H1762" s="1">
        <f t="shared" si="1980"/>
        <v>16.564459346278895</v>
      </c>
      <c r="I1762" s="1">
        <f t="shared" si="1980"/>
        <v>16.637859294094298</v>
      </c>
      <c r="J1762" s="1">
        <f t="shared" si="1980"/>
        <v>16.638007631519812</v>
      </c>
      <c r="K1762" s="1">
        <f t="shared" si="1980"/>
        <v>16.638013465296794</v>
      </c>
      <c r="L1762" s="1">
        <f t="shared" ref="L1762:O1762" si="1981">SUM(L1763:L1765)</f>
        <v>16.713116771709597</v>
      </c>
      <c r="M1762" s="1">
        <f t="shared" si="1981"/>
        <v>16.831550103435546</v>
      </c>
      <c r="N1762" s="1">
        <f t="shared" si="1981"/>
        <v>16.831553232099751</v>
      </c>
      <c r="O1762" s="1">
        <f t="shared" si="1981"/>
        <v>16.831645606598691</v>
      </c>
      <c r="P1762" s="1">
        <f>SUM(P1763:P1765)</f>
        <v>16.831660823595541</v>
      </c>
      <c r="Q1762" s="1">
        <f>SUM(Q1763:Q1765)</f>
        <v>16.832486988846821</v>
      </c>
      <c r="S1762" s="3"/>
    </row>
    <row r="1763" spans="2:19" x14ac:dyDescent="0.5">
      <c r="B1763" s="5" t="str">
        <f t="shared" si="1918"/>
        <v>SPS1</v>
      </c>
      <c r="C1763" s="5" t="str">
        <f t="shared" si="1919"/>
        <v>CH</v>
      </c>
      <c r="D1763" t="s">
        <v>1793</v>
      </c>
      <c r="E1763" t="str">
        <f t="shared" si="1979"/>
        <v>GWe/yr.</v>
      </c>
      <c r="F1763" s="1">
        <f>'[1]Electricity and CHPs_CAP'!B$15</f>
        <v>7.3394300010600002</v>
      </c>
      <c r="G1763" s="1">
        <f>'[1]Electricity and CHPs_CAP'!C$15</f>
        <v>7.3414387781923356</v>
      </c>
      <c r="H1763" s="1">
        <f>'[1]Electricity and CHPs_CAP'!D$15</f>
        <v>7.3457810758396738</v>
      </c>
      <c r="I1763" s="1">
        <f>'[1]Electricity and CHPs_CAP'!E$15</f>
        <v>7.41528933229272</v>
      </c>
      <c r="J1763" s="1">
        <f>'[1]Electricity and CHPs_CAP'!F$15</f>
        <v>7.4153722687017565</v>
      </c>
      <c r="K1763" s="1">
        <f>'[1]Electricity and CHPs_CAP'!G$15</f>
        <v>7.4153741377636191</v>
      </c>
      <c r="L1763" s="1">
        <f>'[1]Electricity and CHPs_CAP'!H$15</f>
        <v>7.4904603531786256</v>
      </c>
      <c r="M1763" s="1">
        <f>'[1]Electricity and CHPs_CAP'!I$15</f>
        <v>7.6088168132307041</v>
      </c>
      <c r="N1763" s="1">
        <f>'[1]Electricity and CHPs_CAP'!J$15</f>
        <v>7.608818241231865</v>
      </c>
      <c r="O1763" s="1">
        <f>'[1]Electricity and CHPs_CAP'!K$15</f>
        <v>7.6088246467306275</v>
      </c>
      <c r="P1763" s="1">
        <f>'[1]Electricity and CHPs_CAP'!L$15</f>
        <v>7.6088267675763444</v>
      </c>
      <c r="Q1763" s="1">
        <f>'[1]Electricity and CHPs_CAP'!M$15</f>
        <v>7.6088314685554383</v>
      </c>
      <c r="S1763" s="3"/>
    </row>
    <row r="1764" spans="2:19" x14ac:dyDescent="0.5">
      <c r="B1764" s="5" t="str">
        <f t="shared" si="1918"/>
        <v>SPS1</v>
      </c>
      <c r="C1764" s="5" t="str">
        <f t="shared" si="1919"/>
        <v>CH</v>
      </c>
      <c r="D1764" t="s">
        <v>1794</v>
      </c>
      <c r="E1764" t="str">
        <f t="shared" si="1979"/>
        <v>GWe/yr.</v>
      </c>
      <c r="F1764" s="1">
        <f>'[1]Electricity and CHPs_CAP'!B$16</f>
        <v>4.7247299999999992</v>
      </c>
      <c r="G1764" s="1">
        <f>'[1]Electricity and CHPs_CAP'!C$16</f>
        <v>4.8074819601839582</v>
      </c>
      <c r="H1764" s="1">
        <f>'[1]Electricity and CHPs_CAP'!D$16</f>
        <v>4.8590040135885593</v>
      </c>
      <c r="I1764" s="1">
        <f>'[1]Electricity and CHPs_CAP'!E$16</f>
        <v>4.8628957049509154</v>
      </c>
      <c r="J1764" s="1">
        <f>'[1]Electricity and CHPs_CAP'!F$16</f>
        <v>4.8629537274428136</v>
      </c>
      <c r="K1764" s="1">
        <f>'[1]Electricity and CHPs_CAP'!G$16</f>
        <v>4.862955196435724</v>
      </c>
      <c r="L1764" s="1">
        <f>'[1]Electricity and CHPs_CAP'!H$16</f>
        <v>4.8629573925582852</v>
      </c>
      <c r="M1764" s="1">
        <f>'[1]Electricity and CHPs_CAP'!I$16</f>
        <v>4.8629614586221797</v>
      </c>
      <c r="N1764" s="1">
        <f>'[1]Electricity and CHPs_CAP'!J$16</f>
        <v>4.8629627443393861</v>
      </c>
      <c r="O1764" s="1">
        <f>'[1]Electricity and CHPs_CAP'!K$16</f>
        <v>4.8629674543487464</v>
      </c>
      <c r="P1764" s="1">
        <f>'[1]Electricity and CHPs_CAP'!L$16</f>
        <v>4.8629794140090148</v>
      </c>
      <c r="Q1764" s="1">
        <f>'[1]Electricity and CHPs_CAP'!M$16</f>
        <v>4.8634416385970054</v>
      </c>
      <c r="S1764" s="3"/>
    </row>
    <row r="1765" spans="2:19" x14ac:dyDescent="0.5">
      <c r="B1765" s="5" t="str">
        <f t="shared" si="1918"/>
        <v>SPS1</v>
      </c>
      <c r="C1765" s="5" t="str">
        <f t="shared" si="1919"/>
        <v>CH</v>
      </c>
      <c r="D1765" t="s">
        <v>1795</v>
      </c>
      <c r="E1765" t="str">
        <f t="shared" si="1979"/>
        <v>GWe/yr.</v>
      </c>
      <c r="F1765" s="1">
        <f>'[1]Electricity and CHPs_CAP'!B$17</f>
        <v>3.3394499999999998</v>
      </c>
      <c r="G1765" s="1">
        <f>'[1]Electricity and CHPs_CAP'!C$17</f>
        <v>3.9712532029717118</v>
      </c>
      <c r="H1765" s="1">
        <f>'[1]Electricity and CHPs_CAP'!D$17</f>
        <v>4.3596742568506617</v>
      </c>
      <c r="I1765" s="1">
        <f>'[1]Electricity and CHPs_CAP'!E$17</f>
        <v>4.3596742568506617</v>
      </c>
      <c r="J1765" s="1">
        <f>'[1]Electricity and CHPs_CAP'!F$17</f>
        <v>4.3596816353752406</v>
      </c>
      <c r="K1765" s="1">
        <f>'[1]Electricity and CHPs_CAP'!G$17</f>
        <v>4.3596841310974517</v>
      </c>
      <c r="L1765" s="1">
        <f>'[1]Electricity and CHPs_CAP'!H$17</f>
        <v>4.3596990259726853</v>
      </c>
      <c r="M1765" s="1">
        <f>'[1]Electricity and CHPs_CAP'!I$17</f>
        <v>4.3597718315826635</v>
      </c>
      <c r="N1765" s="1">
        <f>'[1]Electricity and CHPs_CAP'!J$17</f>
        <v>4.3597722465284994</v>
      </c>
      <c r="O1765" s="1">
        <f>'[1]Electricity and CHPs_CAP'!K$17</f>
        <v>4.3598535055193182</v>
      </c>
      <c r="P1765" s="1">
        <f>'[1]Electricity and CHPs_CAP'!L$17</f>
        <v>4.3598546420101822</v>
      </c>
      <c r="Q1765" s="1">
        <f>'[1]Electricity and CHPs_CAP'!M$17</f>
        <v>4.3602138816943778</v>
      </c>
      <c r="S1765" s="3"/>
    </row>
    <row r="1766" spans="2:19" x14ac:dyDescent="0.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979"/>
        <v>GWe/yr.</v>
      </c>
      <c r="F1766" s="1">
        <f>SUM(F1767:F1769)</f>
        <v>3.1890005794955122E-2</v>
      </c>
      <c r="G1766" s="1">
        <f t="shared" ref="G1766:K1766" si="1982">SUM(G1767:G1769)</f>
        <v>2.8570754633893462E-2</v>
      </c>
      <c r="H1766" s="1">
        <f t="shared" si="1982"/>
        <v>1.9160574143600749E-2</v>
      </c>
      <c r="I1766" s="1">
        <f t="shared" si="1982"/>
        <v>6.0618851390112242E-2</v>
      </c>
      <c r="J1766" s="1">
        <f t="shared" si="1982"/>
        <v>9.8117433337168103E-2</v>
      </c>
      <c r="K1766" s="1">
        <f t="shared" si="1982"/>
        <v>0.10738979974202442</v>
      </c>
      <c r="L1766" s="1">
        <f t="shared" ref="L1766:O1766" si="1983">SUM(L1767:L1769)</f>
        <v>0.10716029402264186</v>
      </c>
      <c r="M1766" s="1">
        <f t="shared" si="1983"/>
        <v>0.11711132806084137</v>
      </c>
      <c r="N1766" s="1">
        <f t="shared" si="1983"/>
        <v>0.11427006650619104</v>
      </c>
      <c r="O1766" s="1">
        <f t="shared" si="1983"/>
        <v>9.1976427295597074E-2</v>
      </c>
      <c r="P1766" s="1">
        <f>SUM(P1767:P1769)</f>
        <v>9.0207386004802118E-2</v>
      </c>
      <c r="Q1766" s="1">
        <f>SUM(Q1767:Q1769)</f>
        <v>9.3693693011519835E-2</v>
      </c>
      <c r="S1766" s="3"/>
    </row>
    <row r="1767" spans="2:19" x14ac:dyDescent="0.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979"/>
        <v>GWe/yr.</v>
      </c>
      <c r="F1767" s="1">
        <f>'[1]Electricity and CHPs_CAP'!B$18</f>
        <v>2.1526394752099005E-2</v>
      </c>
      <c r="G1767" s="1">
        <f>'[1]Electricity and CHPs_CAP'!C$18</f>
        <v>2.1390393349644966E-2</v>
      </c>
      <c r="H1767" s="1">
        <f>'[1]Electricity and CHPs_CAP'!D$18</f>
        <v>1.2026767593768577E-2</v>
      </c>
      <c r="I1767" s="1">
        <f>'[1]Electricity and CHPs_CAP'!E$18</f>
        <v>3.4089867089364574E-2</v>
      </c>
      <c r="J1767" s="1">
        <f>'[1]Electricity and CHPs_CAP'!F$18</f>
        <v>5.8401063653725729E-2</v>
      </c>
      <c r="K1767" s="1">
        <f>'[1]Electricity and CHPs_CAP'!G$18</f>
        <v>6.0192625775271388E-2</v>
      </c>
      <c r="L1767" s="1">
        <f>'[1]Electricity and CHPs_CAP'!H$18</f>
        <v>5.4482420385976144E-2</v>
      </c>
      <c r="M1767" s="1">
        <f>'[1]Electricity and CHPs_CAP'!I$18</f>
        <v>5.3173800527284494E-2</v>
      </c>
      <c r="N1767" s="1">
        <f>'[1]Electricity and CHPs_CAP'!J$18</f>
        <v>4.4896572376682355E-2</v>
      </c>
      <c r="O1767" s="1">
        <f>'[1]Electricity and CHPs_CAP'!K$18</f>
        <v>2.2615787333643562E-2</v>
      </c>
      <c r="P1767" s="1">
        <f>'[1]Electricity and CHPs_CAP'!L$18</f>
        <v>2.1240163034650608E-2</v>
      </c>
      <c r="Q1767" s="1">
        <f>'[1]Electricity and CHPs_CAP'!M$18</f>
        <v>2.4463410608523736E-2</v>
      </c>
      <c r="S1767" s="3"/>
    </row>
    <row r="1768" spans="2:19" x14ac:dyDescent="0.5">
      <c r="B1768" s="5" t="str">
        <f t="shared" ref="B1768:C1769" si="1984">B1767</f>
        <v>SPS1</v>
      </c>
      <c r="C1768" s="5" t="str">
        <f t="shared" si="1984"/>
        <v>CH</v>
      </c>
      <c r="D1768" t="s">
        <v>1798</v>
      </c>
      <c r="E1768" t="str">
        <f t="shared" si="1979"/>
        <v>GWe/yr.</v>
      </c>
      <c r="F1768" s="1">
        <f>'[1]Electricity and CHPs_CAP'!B$28</f>
        <v>2.0586434646017709E-3</v>
      </c>
      <c r="G1768" s="1">
        <f>'[1]Electricity and CHPs_CAP'!C$28</f>
        <v>7.7943710400247244E-4</v>
      </c>
      <c r="H1768" s="1">
        <f>'[1]Electricity and CHPs_CAP'!D$28</f>
        <v>7.2914170977498097E-4</v>
      </c>
      <c r="I1768" s="1">
        <f>'[1]Electricity and CHPs_CAP'!E$28</f>
        <v>5.631856023608512E-4</v>
      </c>
      <c r="J1768" s="1">
        <f>'[1]Electricity and CHPs_CAP'!F$28</f>
        <v>5.3963927067430303E-4</v>
      </c>
      <c r="K1768" s="1">
        <f>'[1]Electricity and CHPs_CAP'!G$28</f>
        <v>2.8831522615002398E-4</v>
      </c>
      <c r="L1768" s="1">
        <f>'[1]Electricity and CHPs_CAP'!H$28</f>
        <v>2.8925409546819229E-4</v>
      </c>
      <c r="M1768" s="1">
        <f>'[1]Electricity and CHPs_CAP'!I$28</f>
        <v>4.4782643172626305E-4</v>
      </c>
      <c r="N1768" s="1">
        <f>'[1]Electricity and CHPs_CAP'!J$28</f>
        <v>4.3421225620032973E-4</v>
      </c>
      <c r="O1768" s="1">
        <f>'[1]Electricity and CHPs_CAP'!K$28</f>
        <v>5.6102420100249408E-4</v>
      </c>
      <c r="P1768" s="1">
        <f>'[1]Electricity and CHPs_CAP'!L$28</f>
        <v>4.60051814126399E-4</v>
      </c>
      <c r="Q1768" s="1">
        <f>'[1]Electricity and CHPs_CAP'!M$28</f>
        <v>7.8450478025010508E-4</v>
      </c>
      <c r="S1768" s="3"/>
    </row>
    <row r="1769" spans="2:19" x14ac:dyDescent="0.5">
      <c r="B1769" s="5" t="str">
        <f t="shared" si="1984"/>
        <v>SPS1</v>
      </c>
      <c r="C1769" s="5" t="str">
        <f t="shared" si="1984"/>
        <v>CH</v>
      </c>
      <c r="D1769" t="s">
        <v>1799</v>
      </c>
      <c r="E1769" t="str">
        <f t="shared" si="1979"/>
        <v>GWe/yr.</v>
      </c>
      <c r="F1769" s="1">
        <f>'[1]Electricity and CHPs_CAP'!B$41</f>
        <v>8.3049675782543454E-3</v>
      </c>
      <c r="G1769" s="1">
        <f>'[1]Electricity and CHPs_CAP'!C$41</f>
        <v>6.4009241802460235E-3</v>
      </c>
      <c r="H1769" s="1">
        <f>'[1]Electricity and CHPs_CAP'!D$41</f>
        <v>6.4046648400571922E-3</v>
      </c>
      <c r="I1769" s="1">
        <f>'[1]Electricity and CHPs_CAP'!E$41</f>
        <v>2.5965798698386819E-2</v>
      </c>
      <c r="J1769" s="1">
        <f>'[1]Electricity and CHPs_CAP'!F$41</f>
        <v>3.9176730412768063E-2</v>
      </c>
      <c r="K1769" s="1">
        <f>'[1]Electricity and CHPs_CAP'!G$41</f>
        <v>4.6908858740603E-2</v>
      </c>
      <c r="L1769" s="1">
        <f>'[1]Electricity and CHPs_CAP'!H$41</f>
        <v>5.2388619541197529E-2</v>
      </c>
      <c r="M1769" s="1">
        <f>'[1]Electricity and CHPs_CAP'!I$41</f>
        <v>6.3489701101830623E-2</v>
      </c>
      <c r="N1769" s="1">
        <f>'[1]Electricity and CHPs_CAP'!J$41</f>
        <v>6.8939281873308347E-2</v>
      </c>
      <c r="O1769" s="1">
        <f>'[1]Electricity and CHPs_CAP'!K$41</f>
        <v>6.8799615760951019E-2</v>
      </c>
      <c r="P1769" s="1">
        <f>'[1]Electricity and CHPs_CAP'!L$41</f>
        <v>6.8507171156025115E-2</v>
      </c>
      <c r="Q1769" s="1">
        <f>'[1]Electricity and CHPs_CAP'!M$41</f>
        <v>6.8445777622745993E-2</v>
      </c>
      <c r="S1769" s="3"/>
    </row>
    <row r="1770" spans="2:19" x14ac:dyDescent="0.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979"/>
        <v>GWe/yr.</v>
      </c>
      <c r="F1770" s="1">
        <f>SUM(F1771:F1785)</f>
        <v>0.22799345228722323</v>
      </c>
      <c r="G1770" s="1">
        <f t="shared" ref="G1770:K1770" si="1985">SUM(G1771:G1785)</f>
        <v>0.16188195261865884</v>
      </c>
      <c r="H1770" s="1">
        <f t="shared" si="1985"/>
        <v>0.14816033879611021</v>
      </c>
      <c r="I1770" s="1">
        <f t="shared" si="1985"/>
        <v>0.3618687264166604</v>
      </c>
      <c r="J1770" s="1">
        <f t="shared" si="1985"/>
        <v>0.50213938704342775</v>
      </c>
      <c r="K1770" s="1">
        <f t="shared" si="1985"/>
        <v>0.60445537879146627</v>
      </c>
      <c r="L1770" s="1">
        <f t="shared" ref="L1770:O1770" si="1986">SUM(L1771:L1785)</f>
        <v>0.77885982254839881</v>
      </c>
      <c r="M1770" s="1">
        <f t="shared" si="1986"/>
        <v>0.85295359646930435</v>
      </c>
      <c r="N1770" s="1">
        <f t="shared" si="1986"/>
        <v>1.0522526649742006</v>
      </c>
      <c r="O1770" s="1">
        <f t="shared" si="1986"/>
        <v>1.1029072260797113</v>
      </c>
      <c r="P1770" s="1">
        <f>SUM(P1771:P1785)</f>
        <v>1.1177727825932349</v>
      </c>
      <c r="Q1770" s="1">
        <f>SUM(Q1771:Q1785)</f>
        <v>1.0955784097170953</v>
      </c>
      <c r="S1770" s="3"/>
    </row>
    <row r="1771" spans="2:19" x14ac:dyDescent="0.5">
      <c r="B1771" s="5" t="str">
        <f t="shared" ref="B1771:C1784" si="1987">B1770</f>
        <v>SPS1</v>
      </c>
      <c r="C1771" s="5" t="str">
        <f t="shared" si="1987"/>
        <v>CH</v>
      </c>
      <c r="D1771" t="s">
        <v>1801</v>
      </c>
      <c r="E1771" t="str">
        <f t="shared" si="1979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'[1]Electricity and CHPs_CAP'!F$21</f>
        <v>0</v>
      </c>
      <c r="K1771" s="1">
        <f>'[1]Electricity and CHPs_CAP'!G$21</f>
        <v>2.0775529402333199E-3</v>
      </c>
      <c r="L1771" s="1">
        <f>'[1]Electricity and CHPs_CAP'!H$21</f>
        <v>0.18080073346688452</v>
      </c>
      <c r="M1771" s="1">
        <f>'[1]Electricity and CHPs_CAP'!I$21</f>
        <v>0.36969577666261444</v>
      </c>
      <c r="N1771" s="1">
        <f>'[1]Electricity and CHPs_CAP'!J$21</f>
        <v>0.57868507575802941</v>
      </c>
      <c r="O1771" s="1">
        <f>'[1]Electricity and CHPs_CAP'!K$21</f>
        <v>0.67934902787492479</v>
      </c>
      <c r="P1771" s="1">
        <f>'[1]Electricity and CHPs_CAP'!L$21</f>
        <v>0.73859457025097153</v>
      </c>
      <c r="Q1771" s="1">
        <f>'[1]Electricity and CHPs_CAP'!M$21</f>
        <v>0.6839252813626574</v>
      </c>
      <c r="S1771" s="3"/>
    </row>
    <row r="1772" spans="2:19" x14ac:dyDescent="0.5">
      <c r="B1772" s="5" t="str">
        <f t="shared" si="1987"/>
        <v>SPS1</v>
      </c>
      <c r="C1772" s="5" t="str">
        <f t="shared" si="1987"/>
        <v>CH</v>
      </c>
      <c r="D1772" t="s">
        <v>1802</v>
      </c>
      <c r="E1772" t="str">
        <f t="shared" si="1979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'[1]Electricity and CHPs_CAP'!F$22</f>
        <v>1.6706048148116201E-2</v>
      </c>
      <c r="K1772" s="1">
        <f>'[1]Electricity and CHPs_CAP'!G$22</f>
        <v>6.9373386951420923E-2</v>
      </c>
      <c r="L1772" s="1">
        <f>'[1]Electricity and CHPs_CAP'!H$22</f>
        <v>6.9378848079033828E-2</v>
      </c>
      <c r="M1772" s="1">
        <f>'[1]Electricity and CHPs_CAP'!I$22</f>
        <v>6.9379831506961032E-2</v>
      </c>
      <c r="N1772" s="1">
        <f>'[1]Electricity and CHPs_CAP'!J$22</f>
        <v>6.9387683193012917E-2</v>
      </c>
      <c r="O1772" s="1">
        <f>'[1]Electricity and CHPs_CAP'!K$22</f>
        <v>5.2686335568293892E-2</v>
      </c>
      <c r="P1772" s="1">
        <f>'[1]Electricity and CHPs_CAP'!L$22</f>
        <v>1.0485551974917316E-2</v>
      </c>
      <c r="Q1772" s="1">
        <f>'[1]Electricity and CHPs_CAP'!M$22</f>
        <v>2.1726657182206524E-2</v>
      </c>
      <c r="S1772" s="3"/>
    </row>
    <row r="1773" spans="2:19" x14ac:dyDescent="0.5">
      <c r="B1773" s="5" t="str">
        <f t="shared" si="1987"/>
        <v>SPS1</v>
      </c>
      <c r="C1773" s="5" t="str">
        <f t="shared" si="1987"/>
        <v>CH</v>
      </c>
      <c r="D1773" t="s">
        <v>1803</v>
      </c>
      <c r="E1773" t="str">
        <f t="shared" si="1979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'[1]Electricity and CHPs_CAP'!F$23</f>
        <v>0</v>
      </c>
      <c r="K1773" s="1">
        <f>'[1]Electricity and CHPs_CAP'!G$23</f>
        <v>0</v>
      </c>
      <c r="L1773" s="1">
        <f>'[1]Electricity and CHPs_CAP'!H$23</f>
        <v>0</v>
      </c>
      <c r="M1773" s="1">
        <f>'[1]Electricity and CHPs_CAP'!I$23</f>
        <v>0</v>
      </c>
      <c r="N1773" s="1">
        <f>'[1]Electricity and CHPs_CAP'!J$23</f>
        <v>0</v>
      </c>
      <c r="O1773" s="1">
        <f>'[1]Electricity and CHPs_CAP'!K$23</f>
        <v>0</v>
      </c>
      <c r="P1773" s="1">
        <f>'[1]Electricity and CHPs_CAP'!L$23</f>
        <v>0</v>
      </c>
      <c r="Q1773" s="1">
        <f>'[1]Electricity and CHPs_CAP'!M$23</f>
        <v>0</v>
      </c>
      <c r="S1773" s="3"/>
    </row>
    <row r="1774" spans="2:19" x14ac:dyDescent="0.5">
      <c r="B1774" s="5" t="str">
        <f t="shared" si="1987"/>
        <v>SPS1</v>
      </c>
      <c r="C1774" s="5" t="str">
        <f t="shared" si="1987"/>
        <v>CH</v>
      </c>
      <c r="D1774" t="s">
        <v>1804</v>
      </c>
      <c r="E1774" t="str">
        <f t="shared" si="1979"/>
        <v>GWe/yr.</v>
      </c>
      <c r="F1774" s="1">
        <f>IF('[1]Electricity and CHPs_CAP'!B$24&lt;0,0,'[1]Electricity and CHPs_CAP'!B$24)</f>
        <v>4.7677296022689497E-2</v>
      </c>
      <c r="G1774" s="1">
        <f>IF('[1]Electricity and CHPs_CAP'!C$24&lt;0,0,'[1]Electricity and CHPs_CAP'!C$24)</f>
        <v>5.480427047074854E-5</v>
      </c>
      <c r="H1774" s="1">
        <f>IF('[1]Electricity and CHPs_CAP'!D$24&lt;0,0,'[1]Electricity and CHPs_CAP'!D$24)</f>
        <v>1.1256405597013242E-3</v>
      </c>
      <c r="I1774" s="1">
        <f>IF('[1]Electricity and CHPs_CAP'!E$24&lt;0,0,'[1]Electricity and CHPs_CAP'!E$24)</f>
        <v>4.8673957518656705E-2</v>
      </c>
      <c r="J1774" s="1">
        <f>IF('[1]Electricity and CHPs_CAP'!F$24&lt;0,0,'[1]Electricity and CHPs_CAP'!F$24)</f>
        <v>4.8664196778069949E-2</v>
      </c>
      <c r="K1774" s="1">
        <f>IF('[1]Electricity and CHPs_CAP'!G$24&lt;0,0,'[1]Electricity and CHPs_CAP'!G$24)</f>
        <v>7.5779323017724831E-2</v>
      </c>
      <c r="L1774" s="1">
        <f>IF('[1]Electricity and CHPs_CAP'!H$24&lt;0,0,'[1]Electricity and CHPs_CAP'!H$24)</f>
        <v>5.985453133971512E-2</v>
      </c>
      <c r="M1774" s="1">
        <f>IF('[1]Electricity and CHPs_CAP'!I$24&lt;0,0,'[1]Electricity and CHPs_CAP'!I$24)</f>
        <v>2.7180462413119902E-2</v>
      </c>
      <c r="N1774" s="1">
        <f>IF('[1]Electricity and CHPs_CAP'!J$24&lt;0,0,'[1]Electricity and CHPs_CAP'!J$24)</f>
        <v>2.3580550656632424E-2</v>
      </c>
      <c r="O1774" s="1">
        <f>IF('[1]Electricity and CHPs_CAP'!K$24&lt;0,0,'[1]Electricity and CHPs_CAP'!K$24)</f>
        <v>1.402897305977955E-3</v>
      </c>
      <c r="P1774" s="1">
        <f>IF('[1]Electricity and CHPs_CAP'!L$24&lt;0,0,'[1]Electricity and CHPs_CAP'!L$24)</f>
        <v>1.3794889282079772E-3</v>
      </c>
      <c r="Q1774" s="1">
        <f>IF('[1]Electricity and CHPs_CAP'!M$24&lt;0,0,'[1]Electricity and CHPs_CAP'!M$24)</f>
        <v>1.4562309347690089E-3</v>
      </c>
      <c r="S1774" s="3"/>
    </row>
    <row r="1775" spans="2:19" x14ac:dyDescent="0.5">
      <c r="B1775" s="5" t="str">
        <f t="shared" si="1987"/>
        <v>SPS1</v>
      </c>
      <c r="C1775" s="5" t="str">
        <f t="shared" si="1987"/>
        <v>CH</v>
      </c>
      <c r="D1775" t="s">
        <v>1805</v>
      </c>
      <c r="E1775" t="str">
        <f t="shared" si="1979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'[1]Electricity and CHPs_CAP'!F$29</f>
        <v>0</v>
      </c>
      <c r="K1775" s="1">
        <f>'[1]Electricity and CHPs_CAP'!G$29</f>
        <v>1.7196328124947001E-2</v>
      </c>
      <c r="L1775" s="1">
        <f>'[1]Electricity and CHPs_CAP'!H$29</f>
        <v>3.785059984151426E-2</v>
      </c>
      <c r="M1775" s="1">
        <f>'[1]Electricity and CHPs_CAP'!I$29</f>
        <v>3.7855525057081243E-2</v>
      </c>
      <c r="N1775" s="1">
        <f>'[1]Electricity and CHPs_CAP'!J$29</f>
        <v>3.558140805815363E-2</v>
      </c>
      <c r="O1775" s="1">
        <f>'[1]Electricity and CHPs_CAP'!K$29</f>
        <v>2.1971358381183057E-2</v>
      </c>
      <c r="P1775" s="1">
        <f>'[1]Electricity and CHPs_CAP'!L$29</f>
        <v>1.325120410990971E-3</v>
      </c>
      <c r="Q1775" s="1">
        <f>'[1]Electricity and CHPs_CAP'!M$29</f>
        <v>1.328688265272646E-3</v>
      </c>
      <c r="S1775" s="3"/>
    </row>
    <row r="1776" spans="2:19" x14ac:dyDescent="0.5">
      <c r="B1776" s="5" t="str">
        <f t="shared" si="1987"/>
        <v>SPS1</v>
      </c>
      <c r="C1776" s="5" t="str">
        <f t="shared" si="1987"/>
        <v>CH</v>
      </c>
      <c r="D1776" t="s">
        <v>1806</v>
      </c>
      <c r="E1776" t="str">
        <f t="shared" si="1979"/>
        <v>GWe/yr.</v>
      </c>
      <c r="F1776" s="1">
        <f>'[1]Electricity and CHPs_CAP'!B$39</f>
        <v>2.9053684377305704E-2</v>
      </c>
      <c r="G1776" s="1">
        <f>'[1]Electricity and CHPs_CAP'!C$39</f>
        <v>2.1488496443124366E-2</v>
      </c>
      <c r="H1776" s="1">
        <f>'[1]Electricity and CHPs_CAP'!D$39</f>
        <v>1.3672830756429631E-2</v>
      </c>
      <c r="I1776" s="1">
        <f>'[1]Electricity and CHPs_CAP'!E$39</f>
        <v>2.7071809478251097E-2</v>
      </c>
      <c r="J1776" s="1">
        <f>'[1]Electricity and CHPs_CAP'!F$39</f>
        <v>2.6120297677271455E-2</v>
      </c>
      <c r="K1776" s="1">
        <f>'[1]Electricity and CHPs_CAP'!G$39</f>
        <v>2.6126905426025398E-2</v>
      </c>
      <c r="L1776" s="1">
        <f>'[1]Electricity and CHPs_CAP'!H$39</f>
        <v>1.8871169294860927E-2</v>
      </c>
      <c r="M1776" s="1">
        <f>'[1]Electricity and CHPs_CAP'!I$39</f>
        <v>9.399003714107004E-3</v>
      </c>
      <c r="N1776" s="1">
        <f>'[1]Electricity and CHPs_CAP'!J$39</f>
        <v>7.1737620408185258E-3</v>
      </c>
      <c r="O1776" s="1">
        <f>'[1]Electricity and CHPs_CAP'!K$39</f>
        <v>6.2573885851508306E-3</v>
      </c>
      <c r="P1776" s="1">
        <f>'[1]Electricity and CHPs_CAP'!L$39</f>
        <v>7.0058910443216863E-3</v>
      </c>
      <c r="Q1776" s="1">
        <f>'[1]Electricity and CHPs_CAP'!M$39</f>
        <v>1.2851904787291172E-2</v>
      </c>
      <c r="S1776" s="3"/>
    </row>
    <row r="1777" spans="2:19" x14ac:dyDescent="0.5">
      <c r="B1777" s="5" t="str">
        <f t="shared" si="1987"/>
        <v>SPS1</v>
      </c>
      <c r="C1777" s="5" t="str">
        <f t="shared" si="1987"/>
        <v>CH</v>
      </c>
      <c r="D1777" t="s">
        <v>1807</v>
      </c>
      <c r="E1777" t="str">
        <f t="shared" si="1979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'[1]Electricity and CHPs_CAP'!F$40</f>
        <v>0</v>
      </c>
      <c r="K1777" s="1">
        <f>'[1]Electricity and CHPs_CAP'!G$40</f>
        <v>0</v>
      </c>
      <c r="L1777" s="1">
        <f>'[1]Electricity and CHPs_CAP'!H$40</f>
        <v>0</v>
      </c>
      <c r="M1777" s="1">
        <f>'[1]Electricity and CHPs_CAP'!I$40</f>
        <v>0</v>
      </c>
      <c r="N1777" s="1">
        <f>'[1]Electricity and CHPs_CAP'!J$40</f>
        <v>0</v>
      </c>
      <c r="O1777" s="1">
        <f>'[1]Electricity and CHPs_CAP'!K$40</f>
        <v>0</v>
      </c>
      <c r="P1777" s="1">
        <f>'[1]Electricity and CHPs_CAP'!L$40</f>
        <v>0</v>
      </c>
      <c r="Q1777" s="1">
        <f>'[1]Electricity and CHPs_CAP'!M$40</f>
        <v>0</v>
      </c>
      <c r="S1777" s="3"/>
    </row>
    <row r="1778" spans="2:19" x14ac:dyDescent="0.5">
      <c r="B1778" s="5" t="str">
        <f t="shared" si="1987"/>
        <v>SPS1</v>
      </c>
      <c r="C1778" s="5" t="str">
        <f t="shared" si="1987"/>
        <v>CH</v>
      </c>
      <c r="D1778" t="s">
        <v>1808</v>
      </c>
      <c r="E1778" t="str">
        <f t="shared" si="1979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1.05742662686646E-4</v>
      </c>
      <c r="J1778" s="1">
        <f>'[1]Electricity and CHPs_CAP'!F$47</f>
        <v>1.8462426172456873E-4</v>
      </c>
      <c r="K1778" s="1">
        <f>'[1]Electricity and CHPs_CAP'!G$47</f>
        <v>2.3712447682675887E-4</v>
      </c>
      <c r="L1778" s="1">
        <f>'[1]Electricity and CHPs_CAP'!H$47</f>
        <v>2.5425237975847044E-4</v>
      </c>
      <c r="M1778" s="1">
        <f>'[1]Electricity and CHPs_CAP'!I$47</f>
        <v>4.7975688811357402E-4</v>
      </c>
      <c r="N1778" s="1">
        <f>'[1]Electricity and CHPs_CAP'!J$47</f>
        <v>4.0677242714902813E-4</v>
      </c>
      <c r="O1778" s="1">
        <f>'[1]Electricity and CHPs_CAP'!K$47</f>
        <v>6.5036023758455891E-4</v>
      </c>
      <c r="P1778" s="1">
        <f>'[1]Electricity and CHPs_CAP'!L$47</f>
        <v>6.1731502909891176E-4</v>
      </c>
      <c r="Q1778" s="1">
        <f>'[1]Electricity and CHPs_CAP'!M$47</f>
        <v>1.2142005026368006E-3</v>
      </c>
      <c r="S1778" s="3"/>
    </row>
    <row r="1779" spans="2:19" x14ac:dyDescent="0.5">
      <c r="B1779" s="5" t="str">
        <f t="shared" si="1987"/>
        <v>SPS1</v>
      </c>
      <c r="C1779" s="5" t="str">
        <f t="shared" si="1987"/>
        <v>CH</v>
      </c>
      <c r="D1779" t="s">
        <v>1809</v>
      </c>
      <c r="E1779" t="str">
        <f t="shared" si="1979"/>
        <v>GWe/yr.</v>
      </c>
      <c r="F1779" s="1">
        <f>'[1]Electricity and CHPs_CAP'!B$48</f>
        <v>4.1512403469719369E-3</v>
      </c>
      <c r="G1779" s="1">
        <f>'[1]Electricity and CHPs_CAP'!C$48</f>
        <v>8.0731698830224037E-4</v>
      </c>
      <c r="H1779" s="1">
        <f>'[1]Electricity and CHPs_CAP'!D$48</f>
        <v>9.2126025714627695E-4</v>
      </c>
      <c r="I1779" s="1">
        <f>'[1]Electricity and CHPs_CAP'!E$48</f>
        <v>8.7004549207064514E-4</v>
      </c>
      <c r="J1779" s="1">
        <f>'[1]Electricity and CHPs_CAP'!F$48</f>
        <v>1.1850291919522904E-3</v>
      </c>
      <c r="K1779" s="1">
        <f>'[1]Electricity and CHPs_CAP'!G$48</f>
        <v>1.298036283035927E-3</v>
      </c>
      <c r="L1779" s="1">
        <f>'[1]Electricity and CHPs_CAP'!H$48</f>
        <v>1.6636641340173745E-3</v>
      </c>
      <c r="M1779" s="1">
        <f>'[1]Electricity and CHPs_CAP'!I$48</f>
        <v>2.0838139101966367E-3</v>
      </c>
      <c r="N1779" s="1">
        <f>'[1]Electricity and CHPs_CAP'!J$48</f>
        <v>1.8109207322954399E-3</v>
      </c>
      <c r="O1779" s="1">
        <f>'[1]Electricity and CHPs_CAP'!K$48</f>
        <v>1.9019937388723431E-3</v>
      </c>
      <c r="P1779" s="1">
        <f>'[1]Electricity and CHPs_CAP'!L$48</f>
        <v>8.9048976550172281E-3</v>
      </c>
      <c r="Q1779" s="1">
        <f>'[1]Electricity and CHPs_CAP'!M$48</f>
        <v>9.9522275221146546E-3</v>
      </c>
      <c r="S1779" s="3"/>
    </row>
    <row r="1780" spans="2:19" x14ac:dyDescent="0.5">
      <c r="B1780" s="5" t="str">
        <f t="shared" si="1987"/>
        <v>SPS1</v>
      </c>
      <c r="C1780" s="5" t="str">
        <f t="shared" si="1987"/>
        <v>CH</v>
      </c>
      <c r="D1780" t="s">
        <v>1810</v>
      </c>
      <c r="E1780" t="str">
        <f t="shared" si="1979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2.3233822450438502E-5</v>
      </c>
      <c r="J1780" s="1">
        <f>'[1]Electricity and CHPs_CAP'!F$49</f>
        <v>8.3486343352022236E-5</v>
      </c>
      <c r="K1780" s="1">
        <f>'[1]Electricity and CHPs_CAP'!G$49</f>
        <v>8.4759636364309344E-5</v>
      </c>
      <c r="L1780" s="1">
        <f>'[1]Electricity and CHPs_CAP'!H$49</f>
        <v>8.9448115877511337E-5</v>
      </c>
      <c r="M1780" s="1">
        <f>'[1]Electricity and CHPs_CAP'!I$49</f>
        <v>2.1420691310831329E-4</v>
      </c>
      <c r="N1780" s="1">
        <f>'[1]Electricity and CHPs_CAP'!J$49</f>
        <v>1.7318619531751848E-4</v>
      </c>
      <c r="O1780" s="1">
        <f>'[1]Electricity and CHPs_CAP'!K$49</f>
        <v>2.7862143394058469E-4</v>
      </c>
      <c r="P1780" s="1">
        <f>'[1]Electricity and CHPs_CAP'!L$49</f>
        <v>2.6822324044168267E-4</v>
      </c>
      <c r="Q1780" s="1">
        <f>'[1]Electricity and CHPs_CAP'!M$49</f>
        <v>4.9798340973861654E-4</v>
      </c>
      <c r="S1780" s="3"/>
    </row>
    <row r="1781" spans="2:19" x14ac:dyDescent="0.5">
      <c r="B1781" s="5" t="str">
        <f t="shared" si="1987"/>
        <v>SPS1</v>
      </c>
      <c r="C1781" s="5" t="str">
        <f t="shared" si="1987"/>
        <v>CH</v>
      </c>
      <c r="D1781" t="s">
        <v>1811</v>
      </c>
      <c r="E1781" t="str">
        <f t="shared" si="1979"/>
        <v>GWe/yr.</v>
      </c>
      <c r="F1781" s="1">
        <f>'[1]Electricity and CHPs_CAP'!B$51</f>
        <v>8.3996617455357019E-3</v>
      </c>
      <c r="G1781" s="1">
        <f>'[1]Electricity and CHPs_CAP'!C$51</f>
        <v>6.9050522937853112E-3</v>
      </c>
      <c r="H1781" s="1">
        <f>'[1]Electricity and CHPs_CAP'!D$51</f>
        <v>7.7171180277217392E-3</v>
      </c>
      <c r="I1781" s="1">
        <f>'[1]Electricity and CHPs_CAP'!E$51</f>
        <v>4.6623939547847063E-2</v>
      </c>
      <c r="J1781" s="1">
        <f>'[1]Electricity and CHPs_CAP'!F$51</f>
        <v>4.8831593081650859E-2</v>
      </c>
      <c r="K1781" s="1">
        <f>'[1]Electricity and CHPs_CAP'!G$51</f>
        <v>5.4966861380301921E-2</v>
      </c>
      <c r="L1781" s="1">
        <f>'[1]Electricity and CHPs_CAP'!H$51</f>
        <v>4.9905775592695933E-2</v>
      </c>
      <c r="M1781" s="1">
        <f>'[1]Electricity and CHPs_CAP'!I$51</f>
        <v>5.403073171858766E-2</v>
      </c>
      <c r="N1781" s="1">
        <f>'[1]Electricity and CHPs_CAP'!J$51</f>
        <v>5.282676568521133E-2</v>
      </c>
      <c r="O1781" s="1">
        <f>'[1]Electricity and CHPs_CAP'!K$51</f>
        <v>5.0091873803691102E-2</v>
      </c>
      <c r="P1781" s="1">
        <f>'[1]Electricity and CHPs_CAP'!L$51</f>
        <v>4.5662956830718623E-2</v>
      </c>
      <c r="Q1781" s="1">
        <f>'[1]Electricity and CHPs_CAP'!M$51</f>
        <v>4.0289409925693784E-2</v>
      </c>
      <c r="S1781" s="3"/>
    </row>
    <row r="1782" spans="2:19" x14ac:dyDescent="0.5">
      <c r="B1782" s="5" t="str">
        <f t="shared" si="1987"/>
        <v>SPS1</v>
      </c>
      <c r="C1782" s="5" t="str">
        <f t="shared" si="1987"/>
        <v>CH</v>
      </c>
      <c r="D1782" t="s">
        <v>1812</v>
      </c>
      <c r="E1782" t="str">
        <f t="shared" si="1979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1.026293916758895E-4</v>
      </c>
      <c r="J1782" s="1">
        <f>'[1]Electricity and CHPs_CAP'!F$52</f>
        <v>4.1024888465539657E-4</v>
      </c>
      <c r="K1782" s="1">
        <f>'[1]Electricity and CHPs_CAP'!G$52</f>
        <v>4.2009319465869738E-4</v>
      </c>
      <c r="L1782" s="1">
        <f>'[1]Electricity and CHPs_CAP'!H$52</f>
        <v>4.738577540714271E-4</v>
      </c>
      <c r="M1782" s="1">
        <f>'[1]Electricity and CHPs_CAP'!I$52</f>
        <v>1.3033813136144386E-3</v>
      </c>
      <c r="N1782" s="1">
        <f>'[1]Electricity and CHPs_CAP'!J$52</f>
        <v>1.1225306863481075E-3</v>
      </c>
      <c r="O1782" s="1">
        <f>'[1]Electricity and CHPs_CAP'!K$52</f>
        <v>2.2951704417204215E-3</v>
      </c>
      <c r="P1782" s="1">
        <f>'[1]Electricity and CHPs_CAP'!L$52</f>
        <v>2.2296976033779024E-3</v>
      </c>
      <c r="Q1782" s="1">
        <f>'[1]Electricity and CHPs_CAP'!M$52</f>
        <v>3.9268809966208126E-3</v>
      </c>
      <c r="S1782" s="3"/>
    </row>
    <row r="1783" spans="2:19" x14ac:dyDescent="0.5">
      <c r="B1783" s="5" t="str">
        <f t="shared" si="1987"/>
        <v>SPS1</v>
      </c>
      <c r="C1783" s="5" t="str">
        <f t="shared" si="1987"/>
        <v>CH</v>
      </c>
      <c r="D1783" t="s">
        <v>1813</v>
      </c>
      <c r="E1783" t="str">
        <f t="shared" si="1979"/>
        <v>GWe/yr.</v>
      </c>
      <c r="F1783" s="1">
        <f>'[1]Electricity and CHPs_CAP'!B$54</f>
        <v>7.3512212582086248E-2</v>
      </c>
      <c r="G1783" s="1">
        <f>'[1]Electricity and CHPs_CAP'!C$54</f>
        <v>8.4748961510234172E-2</v>
      </c>
      <c r="H1783" s="1">
        <f>'[1]Electricity and CHPs_CAP'!D$54</f>
        <v>8.4749079507402583E-2</v>
      </c>
      <c r="I1783" s="1">
        <f>'[1]Electricity and CHPs_CAP'!E$54</f>
        <v>8.4749491500355642E-2</v>
      </c>
      <c r="J1783" s="1">
        <f>'[1]Electricity and CHPs_CAP'!F$54</f>
        <v>8.4749446513878141E-2</v>
      </c>
      <c r="K1783" s="1">
        <f>'[1]Electricity and CHPs_CAP'!G$54</f>
        <v>8.474917261514027E-2</v>
      </c>
      <c r="L1783" s="1">
        <f>'[1]Electricity and CHPs_CAP'!H$54</f>
        <v>8.4749299943949849E-2</v>
      </c>
      <c r="M1783" s="1">
        <f>'[1]Electricity and CHPs_CAP'!I$54</f>
        <v>8.4750112262466398E-2</v>
      </c>
      <c r="N1783" s="1">
        <f>'[1]Electricity and CHPs_CAP'!J$54</f>
        <v>8.4749835867174911E-2</v>
      </c>
      <c r="O1783" s="1">
        <f>'[1]Electricity and CHPs_CAP'!K$54</f>
        <v>8.4750831273945837E-2</v>
      </c>
      <c r="P1783" s="1">
        <f>'[1]Electricity and CHPs_CAP'!L$54</f>
        <v>8.4751322528131626E-2</v>
      </c>
      <c r="Q1783" s="1">
        <f>'[1]Electricity and CHPs_CAP'!M$54</f>
        <v>8.8568865080656395E-2</v>
      </c>
      <c r="S1783" s="3"/>
    </row>
    <row r="1784" spans="2:19" x14ac:dyDescent="0.5">
      <c r="B1784" s="5" t="str">
        <f t="shared" si="1987"/>
        <v>SPS1</v>
      </c>
      <c r="C1784" s="5" t="str">
        <f t="shared" si="1987"/>
        <v>CH</v>
      </c>
      <c r="D1784" t="s">
        <v>1814</v>
      </c>
      <c r="E1784" t="str">
        <f t="shared" si="1979"/>
        <v>GWe/yr.</v>
      </c>
      <c r="F1784" s="1">
        <f>'[1]Electricity and CHPs_CAP'!B$55</f>
        <v>6.5199357212634132E-2</v>
      </c>
      <c r="G1784" s="1">
        <f>'[1]Electricity and CHPs_CAP'!C$55</f>
        <v>4.7877321112742004E-2</v>
      </c>
      <c r="H1784" s="1">
        <f>'[1]Electricity and CHPs_CAP'!D$55</f>
        <v>3.9974409687708663E-2</v>
      </c>
      <c r="I1784" s="1">
        <f>'[1]Electricity and CHPs_CAP'!E$55</f>
        <v>0.15355668860327448</v>
      </c>
      <c r="J1784" s="1">
        <f>'[1]Electricity and CHPs_CAP'!F$55</f>
        <v>0.27490953906546556</v>
      </c>
      <c r="K1784" s="1">
        <f>'[1]Electricity and CHPs_CAP'!G$55</f>
        <v>0.27186006604098767</v>
      </c>
      <c r="L1784" s="1">
        <f>'[1]Electricity and CHPs_CAP'!H$55</f>
        <v>0.2747506926802335</v>
      </c>
      <c r="M1784" s="1">
        <f>'[1]Electricity and CHPs_CAP'!I$55</f>
        <v>0.19610799282190503</v>
      </c>
      <c r="N1784" s="1">
        <f>'[1]Electricity and CHPs_CAP'!J$55</f>
        <v>0.19628084399291021</v>
      </c>
      <c r="O1784" s="1">
        <f>'[1]Electricity and CHPs_CAP'!K$55</f>
        <v>0.20026660693671436</v>
      </c>
      <c r="P1784" s="1">
        <f>'[1]Electricity and CHPs_CAP'!L$55</f>
        <v>0.21577214619101442</v>
      </c>
      <c r="Q1784" s="1">
        <f>'[1]Electricity and CHPs_CAP'!M$55</f>
        <v>0.22805827956146213</v>
      </c>
      <c r="S1784" s="3"/>
    </row>
    <row r="1785" spans="2:19" x14ac:dyDescent="0.5">
      <c r="B1785" s="5" t="str">
        <f t="shared" ref="B1785:C1785" si="1988">B1784</f>
        <v>SPS1</v>
      </c>
      <c r="C1785" s="5" t="str">
        <f t="shared" si="1988"/>
        <v>CH</v>
      </c>
      <c r="D1785" t="s">
        <v>1815</v>
      </c>
      <c r="E1785" t="str">
        <f t="shared" si="1979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9.1188399391736001E-5</v>
      </c>
      <c r="J1785" s="1">
        <f>'[1]Electricity and CHPs_CAP'!F$58</f>
        <v>2.948770972913896E-4</v>
      </c>
      <c r="K1785" s="1">
        <f>'[1]Electricity and CHPs_CAP'!G$58</f>
        <v>2.8576870379926658E-4</v>
      </c>
      <c r="L1785" s="1">
        <f>'[1]Electricity and CHPs_CAP'!H$58</f>
        <v>2.1694992578612335E-4</v>
      </c>
      <c r="M1785" s="1">
        <f>'[1]Electricity and CHPs_CAP'!I$58</f>
        <v>4.7300128742874754E-4</v>
      </c>
      <c r="N1785" s="1">
        <f>'[1]Electricity and CHPs_CAP'!J$58</f>
        <v>4.7332968114694547E-4</v>
      </c>
      <c r="O1785" s="1">
        <f>'[1]Electricity and CHPs_CAP'!K$58</f>
        <v>1.0047604977115505E-3</v>
      </c>
      <c r="P1785" s="1">
        <f>'[1]Electricity and CHPs_CAP'!L$58</f>
        <v>7.7560090602495058E-4</v>
      </c>
      <c r="Q1785" s="1">
        <f>'[1]Electricity and CHPs_CAP'!M$58</f>
        <v>1.7818001859753936E-3</v>
      </c>
      <c r="S1785" s="3"/>
    </row>
    <row r="1786" spans="2:19" x14ac:dyDescent="0.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979"/>
        <v>GWe/yr.</v>
      </c>
      <c r="F1786" s="1">
        <f>SUM(F1787:F1792)</f>
        <v>0.41317462886163903</v>
      </c>
      <c r="G1786" s="1">
        <f t="shared" ref="G1786:K1786" si="1989">SUM(G1787:G1792)</f>
        <v>0.37369908184403516</v>
      </c>
      <c r="H1786" s="1">
        <f t="shared" si="1989"/>
        <v>0.37318673930106522</v>
      </c>
      <c r="I1786" s="1">
        <f t="shared" si="1989"/>
        <v>0.36002832461161061</v>
      </c>
      <c r="J1786" s="1">
        <f t="shared" si="1989"/>
        <v>0.36280814962473984</v>
      </c>
      <c r="K1786" s="1">
        <f t="shared" si="1989"/>
        <v>0.3699321379913621</v>
      </c>
      <c r="L1786" s="1">
        <f t="shared" ref="L1786:O1786" si="1990">SUM(L1787:L1792)</f>
        <v>0.3767874004502697</v>
      </c>
      <c r="M1786" s="1">
        <f t="shared" si="1990"/>
        <v>0.38317318053402405</v>
      </c>
      <c r="N1786" s="1">
        <f t="shared" si="1990"/>
        <v>0.38317123442554946</v>
      </c>
      <c r="O1786" s="1">
        <f t="shared" si="1990"/>
        <v>0.38317936880592629</v>
      </c>
      <c r="P1786" s="1">
        <f>SUM(P1787:P1792)</f>
        <v>0.39178711457944448</v>
      </c>
      <c r="Q1786" s="1">
        <f>SUM(Q1787:Q1792)</f>
        <v>0.3967977533691589</v>
      </c>
      <c r="S1786" s="3"/>
    </row>
    <row r="1787" spans="2:19" x14ac:dyDescent="0.5">
      <c r="B1787" s="5" t="str">
        <f t="shared" ref="B1787:C1792" si="1991">B1786</f>
        <v>SPS1</v>
      </c>
      <c r="C1787" s="5" t="str">
        <f t="shared" si="1991"/>
        <v>CH</v>
      </c>
      <c r="D1787" t="s">
        <v>1817</v>
      </c>
      <c r="E1787" t="str">
        <f t="shared" si="1979"/>
        <v>GWe/yr.</v>
      </c>
      <c r="F1787" s="1">
        <f>'[1]Electricity and CHPs_CAP'!B$19</f>
        <v>0.28738579568292544</v>
      </c>
      <c r="G1787" s="1">
        <f>'[1]Electricity and CHPs_CAP'!C$19</f>
        <v>0.28738383344935359</v>
      </c>
      <c r="H1787" s="1">
        <f>'[1]Electricity and CHPs_CAP'!D$19</f>
        <v>0.28738317953059483</v>
      </c>
      <c r="I1787" s="1">
        <f>'[1]Electricity and CHPs_CAP'!E$19</f>
        <v>0.27599249212753985</v>
      </c>
      <c r="J1787" s="1">
        <f>'[1]Electricity and CHPs_CAP'!F$19</f>
        <v>0.27948904070634761</v>
      </c>
      <c r="K1787" s="1">
        <f>'[1]Electricity and CHPs_CAP'!G$19</f>
        <v>0.28606108173327194</v>
      </c>
      <c r="L1787" s="1">
        <f>'[1]Electricity and CHPs_CAP'!H$19</f>
        <v>0.29279175807912211</v>
      </c>
      <c r="M1787" s="1">
        <f>'[1]Electricity and CHPs_CAP'!I$19</f>
        <v>0.29968822940540407</v>
      </c>
      <c r="N1787" s="1">
        <f>'[1]Electricity and CHPs_CAP'!J$19</f>
        <v>0.29968715597985263</v>
      </c>
      <c r="O1787" s="1">
        <f>'[1]Electricity and CHPs_CAP'!K$19</f>
        <v>0.29969274518715094</v>
      </c>
      <c r="P1787" s="1">
        <f>'[1]Electricity and CHPs_CAP'!L$19</f>
        <v>0.30830236141870582</v>
      </c>
      <c r="Q1787" s="1">
        <f>'[1]Electricity and CHPs_CAP'!M$19</f>
        <v>0.31330908950169123</v>
      </c>
      <c r="S1787" s="3"/>
    </row>
    <row r="1788" spans="2:19" x14ac:dyDescent="0.5">
      <c r="B1788" s="5" t="str">
        <f t="shared" si="1991"/>
        <v>SPS1</v>
      </c>
      <c r="C1788" s="5" t="str">
        <f t="shared" si="1991"/>
        <v>CH</v>
      </c>
      <c r="D1788" t="s">
        <v>1818</v>
      </c>
      <c r="E1788" t="str">
        <f t="shared" si="1979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'[1]Electricity and CHPs_CAP'!F$20</f>
        <v>0</v>
      </c>
      <c r="K1788" s="1">
        <f>'[1]Electricity and CHPs_CAP'!G$20</f>
        <v>0</v>
      </c>
      <c r="L1788" s="1">
        <f>'[1]Electricity and CHPs_CAP'!H$20</f>
        <v>0</v>
      </c>
      <c r="M1788" s="1">
        <f>'[1]Electricity and CHPs_CAP'!I$20</f>
        <v>0</v>
      </c>
      <c r="N1788" s="1">
        <f>'[1]Electricity and CHPs_CAP'!J$20</f>
        <v>0</v>
      </c>
      <c r="O1788" s="1">
        <f>'[1]Electricity and CHPs_CAP'!K$20</f>
        <v>0</v>
      </c>
      <c r="P1788" s="1">
        <f>'[1]Electricity and CHPs_CAP'!L$20</f>
        <v>0</v>
      </c>
      <c r="Q1788" s="1">
        <f>'[1]Electricity and CHPs_CAP'!M$20</f>
        <v>0</v>
      </c>
      <c r="S1788" s="3"/>
    </row>
    <row r="1789" spans="2:19" x14ac:dyDescent="0.5">
      <c r="B1789" s="5" t="str">
        <f t="shared" si="1991"/>
        <v>SPS1</v>
      </c>
      <c r="C1789" s="5" t="str">
        <f t="shared" si="1991"/>
        <v>CH</v>
      </c>
      <c r="D1789" t="s">
        <v>1819</v>
      </c>
      <c r="E1789" t="str">
        <f t="shared" si="1979"/>
        <v>GWe/yr.</v>
      </c>
      <c r="F1789" s="1">
        <f>'[1]Electricity and CHPs_CAP'!B$26</f>
        <v>7.7992499028188972E-2</v>
      </c>
      <c r="G1789" s="1">
        <f>'[1]Electricity and CHPs_CAP'!C$26</f>
        <v>7.1001382247963735E-2</v>
      </c>
      <c r="H1789" s="1">
        <f>'[1]Electricity and CHPs_CAP'!D$26</f>
        <v>7.0490331321610783E-2</v>
      </c>
      <c r="I1789" s="1">
        <f>'[1]Electricity and CHPs_CAP'!E$26</f>
        <v>7.0489886811654107E-2</v>
      </c>
      <c r="J1789" s="1">
        <f>'[1]Electricity and CHPs_CAP'!F$26</f>
        <v>6.9926040536123169E-2</v>
      </c>
      <c r="K1789" s="1">
        <f>'[1]Electricity and CHPs_CAP'!G$26</f>
        <v>7.0079227968557242E-2</v>
      </c>
      <c r="L1789" s="1">
        <f>'[1]Electricity and CHPs_CAP'!H$26</f>
        <v>7.0201977312065775E-2</v>
      </c>
      <c r="M1789" s="1">
        <f>'[1]Electricity and CHPs_CAP'!I$26</f>
        <v>7.0293049972225366E-2</v>
      </c>
      <c r="N1789" s="1">
        <f>'[1]Electricity and CHPs_CAP'!J$26</f>
        <v>7.0293382586497338E-2</v>
      </c>
      <c r="O1789" s="1">
        <f>'[1]Electricity and CHPs_CAP'!K$26</f>
        <v>7.0294571883564944E-2</v>
      </c>
      <c r="P1789" s="1">
        <f>'[1]Electricity and CHPs_CAP'!L$26</f>
        <v>7.0293292690386353E-2</v>
      </c>
      <c r="Q1789" s="1">
        <f>'[1]Electricity and CHPs_CAP'!M$26</f>
        <v>7.029377678500856E-2</v>
      </c>
      <c r="S1789" s="3"/>
    </row>
    <row r="1790" spans="2:19" x14ac:dyDescent="0.5">
      <c r="B1790" s="5" t="str">
        <f t="shared" si="1991"/>
        <v>SPS1</v>
      </c>
      <c r="C1790" s="5" t="str">
        <f t="shared" si="1991"/>
        <v>CH</v>
      </c>
      <c r="D1790" t="s">
        <v>1820</v>
      </c>
      <c r="E1790" t="str">
        <f t="shared" si="1979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'[1]Electricity and CHPs_CAP'!F$27</f>
        <v>0</v>
      </c>
      <c r="K1790" s="1">
        <f>'[1]Electricity and CHPs_CAP'!G$27</f>
        <v>0</v>
      </c>
      <c r="L1790" s="1">
        <f>'[1]Electricity and CHPs_CAP'!H$27</f>
        <v>0</v>
      </c>
      <c r="M1790" s="1">
        <f>'[1]Electricity and CHPs_CAP'!I$27</f>
        <v>0</v>
      </c>
      <c r="N1790" s="1">
        <f>'[1]Electricity and CHPs_CAP'!J$27</f>
        <v>0</v>
      </c>
      <c r="O1790" s="1">
        <f>'[1]Electricity and CHPs_CAP'!K$27</f>
        <v>0</v>
      </c>
      <c r="P1790" s="1">
        <f>'[1]Electricity and CHPs_CAP'!L$27</f>
        <v>0</v>
      </c>
      <c r="Q1790" s="1">
        <f>'[1]Electricity and CHPs_CAP'!M$27</f>
        <v>0</v>
      </c>
      <c r="S1790" s="3"/>
    </row>
    <row r="1791" spans="2:19" x14ac:dyDescent="0.5">
      <c r="B1791" s="5" t="str">
        <f t="shared" si="1991"/>
        <v>SPS1</v>
      </c>
      <c r="C1791" s="5" t="str">
        <f t="shared" si="1991"/>
        <v>CH</v>
      </c>
      <c r="D1791" t="s">
        <v>1821</v>
      </c>
      <c r="E1791" t="str">
        <f t="shared" si="1979"/>
        <v>GWe/yr.</v>
      </c>
      <c r="F1791" s="1">
        <f>'[1]Electricity and CHPs_CAP'!B$44</f>
        <v>4.7796334150524672E-2</v>
      </c>
      <c r="G1791" s="1">
        <f>'[1]Electricity and CHPs_CAP'!C$44</f>
        <v>1.5313866146717876E-2</v>
      </c>
      <c r="H1791" s="1">
        <f>'[1]Electricity and CHPs_CAP'!D$44</f>
        <v>1.5313228448859594E-2</v>
      </c>
      <c r="I1791" s="1">
        <f>'[1]Electricity and CHPs_CAP'!E$44</f>
        <v>1.3545945672416598E-2</v>
      </c>
      <c r="J1791" s="1">
        <f>'[1]Electricity and CHPs_CAP'!F$44</f>
        <v>1.339306838226903E-2</v>
      </c>
      <c r="K1791" s="1">
        <f>'[1]Electricity and CHPs_CAP'!G$44</f>
        <v>1.3791828289532898E-2</v>
      </c>
      <c r="L1791" s="1">
        <f>'[1]Electricity and CHPs_CAP'!H$44</f>
        <v>1.3793665059081795E-2</v>
      </c>
      <c r="M1791" s="1">
        <f>'[1]Electricity and CHPs_CAP'!I$44</f>
        <v>1.319190115639461E-2</v>
      </c>
      <c r="N1791" s="1">
        <f>'[1]Electricity and CHPs_CAP'!J$44</f>
        <v>1.3190695859199507E-2</v>
      </c>
      <c r="O1791" s="1">
        <f>'[1]Electricity and CHPs_CAP'!K$44</f>
        <v>1.3192051735210446E-2</v>
      </c>
      <c r="P1791" s="1">
        <f>'[1]Electricity and CHPs_CAP'!L$44</f>
        <v>1.3191460470352315E-2</v>
      </c>
      <c r="Q1791" s="1">
        <f>'[1]Electricity and CHPs_CAP'!M$44</f>
        <v>1.3194887082459099E-2</v>
      </c>
      <c r="S1791" s="3"/>
    </row>
    <row r="1792" spans="2:19" x14ac:dyDescent="0.5">
      <c r="B1792" s="5" t="str">
        <f t="shared" si="1991"/>
        <v>SPS1</v>
      </c>
      <c r="C1792" s="5" t="str">
        <f t="shared" si="1991"/>
        <v>CH</v>
      </c>
      <c r="D1792" t="s">
        <v>1822</v>
      </c>
      <c r="E1792" t="str">
        <f t="shared" si="1979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'[1]Electricity and CHPs_CAP'!F$45</f>
        <v>0</v>
      </c>
      <c r="K1792" s="1">
        <f>'[1]Electricity and CHPs_CAP'!G$45</f>
        <v>0</v>
      </c>
      <c r="L1792" s="1">
        <f>'[1]Electricity and CHPs_CAP'!H$45</f>
        <v>0</v>
      </c>
      <c r="M1792" s="1">
        <f>'[1]Electricity and CHPs_CAP'!I$45</f>
        <v>0</v>
      </c>
      <c r="N1792" s="1">
        <f>'[1]Electricity and CHPs_CAP'!J$45</f>
        <v>0</v>
      </c>
      <c r="O1792" s="1">
        <f>'[1]Electricity and CHPs_CAP'!K$45</f>
        <v>0</v>
      </c>
      <c r="P1792" s="1">
        <f>'[1]Electricity and CHPs_CAP'!L$45</f>
        <v>0</v>
      </c>
      <c r="Q1792" s="1">
        <f>'[1]Electricity and CHPs_CAP'!M$45</f>
        <v>0</v>
      </c>
      <c r="S1792" s="3"/>
    </row>
    <row r="1793" spans="2:19" x14ac:dyDescent="0.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979"/>
        <v>GWe/yr.</v>
      </c>
      <c r="F1793" s="1">
        <f>SUM(F1794:F1800)</f>
        <v>2.169340688902209E-2</v>
      </c>
      <c r="G1793" s="1">
        <f t="shared" ref="G1793:K1793" si="1992">SUM(G1794:G1800)</f>
        <v>3.0016474101123021E-2</v>
      </c>
      <c r="H1793" s="1">
        <f t="shared" si="1992"/>
        <v>5.3759293780894557E-2</v>
      </c>
      <c r="I1793" s="1">
        <f t="shared" si="1992"/>
        <v>0.11693205762084397</v>
      </c>
      <c r="J1793" s="1">
        <f t="shared" si="1992"/>
        <v>0.14398459143254907</v>
      </c>
      <c r="K1793" s="1">
        <f t="shared" si="1992"/>
        <v>0.17114523304727453</v>
      </c>
      <c r="L1793" s="1">
        <f t="shared" ref="L1793:O1793" si="1993">SUM(L1794:L1800)</f>
        <v>0.20377042879297874</v>
      </c>
      <c r="M1793" s="1">
        <f t="shared" si="1993"/>
        <v>0.23378026295250084</v>
      </c>
      <c r="N1793" s="1">
        <f t="shared" si="1993"/>
        <v>0.244789849973961</v>
      </c>
      <c r="O1793" s="1">
        <f t="shared" si="1993"/>
        <v>0.24440150848942757</v>
      </c>
      <c r="P1793" s="1">
        <f>SUM(P1794:P1800)</f>
        <v>0.243553063389675</v>
      </c>
      <c r="Q1793" s="1">
        <f>SUM(Q1794:Q1800)</f>
        <v>0.24455955848880961</v>
      </c>
      <c r="S1793" s="3"/>
    </row>
    <row r="1794" spans="2:19" x14ac:dyDescent="0.5">
      <c r="B1794" s="5" t="str">
        <f t="shared" ref="B1794:C1804" si="1994">B1793</f>
        <v>SPS1</v>
      </c>
      <c r="C1794" s="5" t="str">
        <f t="shared" si="1994"/>
        <v>CH</v>
      </c>
      <c r="D1794" t="s">
        <v>1824</v>
      </c>
      <c r="E1794" t="str">
        <f t="shared" si="1979"/>
        <v>GWe/yr.</v>
      </c>
      <c r="F1794" s="1">
        <f>'[1]Electricity and CHPs_CAP'!B$25</f>
        <v>1.5225437321250201E-2</v>
      </c>
      <c r="G1794" s="1">
        <f>'[1]Electricity and CHPs_CAP'!C$25</f>
        <v>1.0729993024290049E-2</v>
      </c>
      <c r="H1794" s="1">
        <f>'[1]Electricity and CHPs_CAP'!D$25</f>
        <v>1.1014340129174814E-2</v>
      </c>
      <c r="I1794" s="1">
        <f>'[1]Electricity and CHPs_CAP'!E$25</f>
        <v>4.0540683116552192E-2</v>
      </c>
      <c r="J1794" s="1">
        <f>'[1]Electricity and CHPs_CAP'!F$25</f>
        <v>4.9362408361110777E-2</v>
      </c>
      <c r="K1794" s="1">
        <f>'[1]Electricity and CHPs_CAP'!G$25</f>
        <v>5.7727529719101812E-2</v>
      </c>
      <c r="L1794" s="1">
        <f>'[1]Electricity and CHPs_CAP'!H$25</f>
        <v>4.6869791132632711E-2</v>
      </c>
      <c r="M1794" s="1">
        <f>'[1]Electricity and CHPs_CAP'!I$25</f>
        <v>2.6078190335136045E-2</v>
      </c>
      <c r="N1794" s="1">
        <f>'[1]Electricity and CHPs_CAP'!J$25</f>
        <v>1.6430878109491152E-2</v>
      </c>
      <c r="O1794" s="1">
        <f>'[1]Electricity and CHPs_CAP'!K$25</f>
        <v>1.5683372003800936E-2</v>
      </c>
      <c r="P1794" s="1">
        <f>'[1]Electricity and CHPs_CAP'!L$25</f>
        <v>1.5142107778202515E-2</v>
      </c>
      <c r="Q1794" s="1">
        <f>'[1]Electricity and CHPs_CAP'!M$25</f>
        <v>1.5146139114957675E-2</v>
      </c>
      <c r="S1794" s="3"/>
    </row>
    <row r="1795" spans="2:19" x14ac:dyDescent="0.5">
      <c r="B1795" s="5" t="str">
        <f t="shared" si="1994"/>
        <v>SPS1</v>
      </c>
      <c r="C1795" s="5" t="str">
        <f t="shared" si="1994"/>
        <v>CH</v>
      </c>
      <c r="D1795" t="s">
        <v>1825</v>
      </c>
      <c r="E1795" t="str">
        <f t="shared" si="1979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'[1]Electricity and CHPs_CAP'!F$31</f>
        <v>0</v>
      </c>
      <c r="K1795" s="1">
        <f>'[1]Electricity and CHPs_CAP'!G$31</f>
        <v>0</v>
      </c>
      <c r="L1795" s="1">
        <f>'[1]Electricity and CHPs_CAP'!H$31</f>
        <v>0</v>
      </c>
      <c r="M1795" s="1">
        <f>'[1]Electricity and CHPs_CAP'!I$31</f>
        <v>0</v>
      </c>
      <c r="N1795" s="1">
        <f>'[1]Electricity and CHPs_CAP'!J$31</f>
        <v>0</v>
      </c>
      <c r="O1795" s="1">
        <f>'[1]Electricity and CHPs_CAP'!K$31</f>
        <v>0</v>
      </c>
      <c r="P1795" s="1">
        <f>'[1]Electricity and CHPs_CAP'!L$31</f>
        <v>0</v>
      </c>
      <c r="Q1795" s="1">
        <f>'[1]Electricity and CHPs_CAP'!M$31</f>
        <v>0</v>
      </c>
      <c r="S1795" s="3"/>
    </row>
    <row r="1796" spans="2:19" x14ac:dyDescent="0.5">
      <c r="B1796" s="5" t="str">
        <f t="shared" si="1994"/>
        <v>SPS1</v>
      </c>
      <c r="C1796" s="5" t="str">
        <f t="shared" si="1994"/>
        <v>CH</v>
      </c>
      <c r="D1796" t="s">
        <v>1826</v>
      </c>
      <c r="E1796" t="str">
        <f t="shared" si="1979"/>
        <v>GWe/yr.</v>
      </c>
      <c r="F1796" s="1">
        <f>'[1]Electricity and CHPs_CAP'!B$42</f>
        <v>6.4679695677718908E-3</v>
      </c>
      <c r="G1796" s="1">
        <f>'[1]Electricity and CHPs_CAP'!C$42</f>
        <v>1.9286481076832972E-2</v>
      </c>
      <c r="H1796" s="1">
        <f>'[1]Electricity and CHPs_CAP'!D$42</f>
        <v>4.2744953651719743E-2</v>
      </c>
      <c r="I1796" s="1">
        <f>'[1]Electricity and CHPs_CAP'!E$42</f>
        <v>7.5754533715851904E-2</v>
      </c>
      <c r="J1796" s="1">
        <f>'[1]Electricity and CHPs_CAP'!F$42</f>
        <v>9.3774762726174535E-2</v>
      </c>
      <c r="K1796" s="1">
        <f>'[1]Electricity and CHPs_CAP'!G$42</f>
        <v>0.11263699603813594</v>
      </c>
      <c r="L1796" s="1">
        <f>'[1]Electricity and CHPs_CAP'!H$42</f>
        <v>0.15607848955678125</v>
      </c>
      <c r="M1796" s="1">
        <f>'[1]Electricity and CHPs_CAP'!I$42</f>
        <v>0.20576208243163169</v>
      </c>
      <c r="N1796" s="1">
        <f>'[1]Electricity and CHPs_CAP'!J$42</f>
        <v>0.22653353259170353</v>
      </c>
      <c r="O1796" s="1">
        <f>'[1]Electricity and CHPs_CAP'!K$42</f>
        <v>0.22672053056404959</v>
      </c>
      <c r="P1796" s="1">
        <f>'[1]Electricity and CHPs_CAP'!L$42</f>
        <v>0.22672490749743285</v>
      </c>
      <c r="Q1796" s="1">
        <f>'[1]Electricity and CHPs_CAP'!M$42</f>
        <v>0.22606715624129042</v>
      </c>
      <c r="S1796" s="3"/>
    </row>
    <row r="1797" spans="2:19" x14ac:dyDescent="0.5">
      <c r="B1797" s="5" t="str">
        <f t="shared" si="1994"/>
        <v>SPS1</v>
      </c>
      <c r="C1797" s="5" t="str">
        <f t="shared" si="1994"/>
        <v>CH</v>
      </c>
      <c r="D1797" t="s">
        <v>1827</v>
      </c>
      <c r="E1797" t="str">
        <f t="shared" si="1979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'[1]Electricity and CHPs_CAP'!F$43</f>
        <v>0</v>
      </c>
      <c r="K1797" s="1">
        <f>'[1]Electricity and CHPs_CAP'!G$43</f>
        <v>0</v>
      </c>
      <c r="L1797" s="1">
        <f>'[1]Electricity and CHPs_CAP'!H$43</f>
        <v>0</v>
      </c>
      <c r="M1797" s="1">
        <f>'[1]Electricity and CHPs_CAP'!I$43</f>
        <v>0</v>
      </c>
      <c r="N1797" s="1">
        <f>'[1]Electricity and CHPs_CAP'!J$43</f>
        <v>0</v>
      </c>
      <c r="O1797" s="1">
        <f>'[1]Electricity and CHPs_CAP'!K$43</f>
        <v>0</v>
      </c>
      <c r="P1797" s="1">
        <f>'[1]Electricity and CHPs_CAP'!L$43</f>
        <v>0</v>
      </c>
      <c r="Q1797" s="1">
        <f>'[1]Electricity and CHPs_CAP'!M$43</f>
        <v>0</v>
      </c>
      <c r="S1797" s="3"/>
    </row>
    <row r="1798" spans="2:19" x14ac:dyDescent="0.5">
      <c r="B1798" s="5" t="str">
        <f t="shared" si="1994"/>
        <v>SPS1</v>
      </c>
      <c r="C1798" s="5" t="str">
        <f t="shared" si="1994"/>
        <v>CH</v>
      </c>
      <c r="D1798" t="s">
        <v>1828</v>
      </c>
      <c r="E1798" t="str">
        <f t="shared" si="1979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1.200955133890057E-4</v>
      </c>
      <c r="J1798" s="1">
        <f>'[1]Electricity and CHPs_CAP'!F$50</f>
        <v>2.4407618415274532E-4</v>
      </c>
      <c r="K1798" s="1">
        <f>'[1]Electricity and CHPs_CAP'!G$50</f>
        <v>2.48226176960082E-4</v>
      </c>
      <c r="L1798" s="1">
        <f>'[1]Electricity and CHPs_CAP'!H$50</f>
        <v>2.4533801425374543E-4</v>
      </c>
      <c r="M1798" s="1">
        <f>'[1]Electricity and CHPs_CAP'!I$50</f>
        <v>5.7382445151174662E-4</v>
      </c>
      <c r="N1798" s="1">
        <f>'[1]Electricity and CHPs_CAP'!J$50</f>
        <v>5.3995365823446349E-4</v>
      </c>
      <c r="O1798" s="1">
        <f>'[1]Electricity and CHPs_CAP'!K$50</f>
        <v>6.8657415057284501E-4</v>
      </c>
      <c r="P1798" s="1">
        <f>'[1]Electricity and CHPs_CAP'!L$50</f>
        <v>4.4264792256408969E-4</v>
      </c>
      <c r="Q1798" s="1">
        <f>'[1]Electricity and CHPs_CAP'!M$50</f>
        <v>8.2429761948086817E-4</v>
      </c>
      <c r="S1798" s="3"/>
    </row>
    <row r="1799" spans="2:19" x14ac:dyDescent="0.5">
      <c r="B1799" s="5" t="str">
        <f t="shared" si="1994"/>
        <v>SPS1</v>
      </c>
      <c r="C1799" s="5" t="str">
        <f t="shared" si="1994"/>
        <v>CH</v>
      </c>
      <c r="D1799" t="s">
        <v>1829</v>
      </c>
      <c r="E1799" t="str">
        <f t="shared" si="1979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2.7876116400435701E-4</v>
      </c>
      <c r="J1799" s="1">
        <f>'[1]Electricity and CHPs_CAP'!F$53</f>
        <v>3.6294972979093287E-4</v>
      </c>
      <c r="K1799" s="1">
        <f>'[1]Electricity and CHPs_CAP'!G$53</f>
        <v>3.2669653447232378E-4</v>
      </c>
      <c r="L1799" s="1">
        <f>'[1]Electricity and CHPs_CAP'!H$53</f>
        <v>3.3772611837466304E-4</v>
      </c>
      <c r="M1799" s="1">
        <f>'[1]Electricity and CHPs_CAP'!I$53</f>
        <v>9.2868703205013759E-4</v>
      </c>
      <c r="N1799" s="1">
        <f>'[1]Electricity and CHPs_CAP'!J$53</f>
        <v>8.861179351704134E-4</v>
      </c>
      <c r="O1799" s="1">
        <f>'[1]Electricity and CHPs_CAP'!K$53</f>
        <v>7.7142538165830095E-4</v>
      </c>
      <c r="P1799" s="1">
        <f>'[1]Electricity and CHPs_CAP'!L$53</f>
        <v>7.2858378254311786E-4</v>
      </c>
      <c r="Q1799" s="1">
        <f>'[1]Electricity and CHPs_CAP'!M$53</f>
        <v>1.3945164221589794E-3</v>
      </c>
      <c r="S1799" s="3"/>
    </row>
    <row r="1800" spans="2:19" x14ac:dyDescent="0.5">
      <c r="B1800" s="5" t="str">
        <f t="shared" si="1994"/>
        <v>SPS1</v>
      </c>
      <c r="C1800" s="5" t="str">
        <f t="shared" si="1994"/>
        <v>CH</v>
      </c>
      <c r="D1800" t="s">
        <v>1830</v>
      </c>
      <c r="E1800" t="str">
        <f t="shared" si="1979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2.37984111046505E-4</v>
      </c>
      <c r="J1800" s="1">
        <f>'[1]Electricity and CHPs_CAP'!F$56</f>
        <v>2.4039443132009179E-4</v>
      </c>
      <c r="K1800" s="1">
        <f>'[1]Electricity and CHPs_CAP'!G$56</f>
        <v>2.0578457860437809E-4</v>
      </c>
      <c r="L1800" s="1">
        <f>'[1]Electricity and CHPs_CAP'!H$56</f>
        <v>2.3908397093637607E-4</v>
      </c>
      <c r="M1800" s="1">
        <f>'[1]Electricity and CHPs_CAP'!I$56</f>
        <v>4.3747870217125488E-4</v>
      </c>
      <c r="N1800" s="1">
        <f>'[1]Electricity and CHPs_CAP'!J$56</f>
        <v>3.9936767936142885E-4</v>
      </c>
      <c r="O1800" s="1">
        <f>'[1]Electricity and CHPs_CAP'!K$56</f>
        <v>5.3960638934588646E-4</v>
      </c>
      <c r="P1800" s="1">
        <f>'[1]Electricity and CHPs_CAP'!L$56</f>
        <v>5.1481640893242099E-4</v>
      </c>
      <c r="Q1800" s="1">
        <f>'[1]Electricity and CHPs_CAP'!M$56</f>
        <v>1.1274490909216558E-3</v>
      </c>
      <c r="S1800" s="3"/>
    </row>
    <row r="1801" spans="2:19" x14ac:dyDescent="0.5">
      <c r="B1801" s="5" t="str">
        <f t="shared" si="1994"/>
        <v>SPS1</v>
      </c>
      <c r="C1801" s="5" t="str">
        <f t="shared" si="1994"/>
        <v>CH</v>
      </c>
      <c r="D1801" t="s">
        <v>1831</v>
      </c>
      <c r="E1801" t="str">
        <f t="shared" si="1979"/>
        <v>GWe/yr.</v>
      </c>
      <c r="F1801" s="1">
        <f>F1802</f>
        <v>8.7120000000000003E-2</v>
      </c>
      <c r="G1801" s="1">
        <f t="shared" ref="G1801:O1801" si="1995">G1802</f>
        <v>9.0660049286905672E-2</v>
      </c>
      <c r="H1801" s="1">
        <f t="shared" si="1995"/>
        <v>8.3655966780834673E-2</v>
      </c>
      <c r="I1801" s="1">
        <f t="shared" si="1995"/>
        <v>9.0873921655966403E-2</v>
      </c>
      <c r="J1801" s="1">
        <f t="shared" si="1995"/>
        <v>9.0957618025568107E-2</v>
      </c>
      <c r="K1801" s="1">
        <f t="shared" si="1995"/>
        <v>9.0986156890045439E-2</v>
      </c>
      <c r="L1801" s="1">
        <f t="shared" si="1995"/>
        <v>9.1899813099397903E-2</v>
      </c>
      <c r="M1801" s="1">
        <f t="shared" si="1995"/>
        <v>9.1911831336914496E-2</v>
      </c>
      <c r="N1801" s="1">
        <f t="shared" si="1995"/>
        <v>9.1913200038911194E-2</v>
      </c>
      <c r="O1801" s="1">
        <f t="shared" si="1995"/>
        <v>9.1916546374277597E-2</v>
      </c>
      <c r="P1801" s="1">
        <f>P1802</f>
        <v>9.2015461843183294E-2</v>
      </c>
      <c r="Q1801" s="1">
        <f>Q1802</f>
        <v>9.2532119859281795E-2</v>
      </c>
      <c r="S1801" s="3"/>
    </row>
    <row r="1802" spans="2:19" x14ac:dyDescent="0.5">
      <c r="B1802" s="5" t="str">
        <f t="shared" si="1994"/>
        <v>SPS1</v>
      </c>
      <c r="C1802" s="5" t="str">
        <f t="shared" si="1994"/>
        <v>CH</v>
      </c>
      <c r="D1802" t="s">
        <v>1832</v>
      </c>
      <c r="E1802" t="str">
        <f t="shared" si="1979"/>
        <v>GWe/yr.</v>
      </c>
      <c r="F1802" s="1">
        <f>'[1]Electricity and CHPs_CAP'!B$33</f>
        <v>8.7120000000000003E-2</v>
      </c>
      <c r="G1802" s="1">
        <f>'[1]Electricity and CHPs_CAP'!C$33</f>
        <v>9.0660049286905672E-2</v>
      </c>
      <c r="H1802" s="1">
        <f>'[1]Electricity and CHPs_CAP'!D$33</f>
        <v>8.3655966780834673E-2</v>
      </c>
      <c r="I1802" s="1">
        <f>'[1]Electricity and CHPs_CAP'!E$33</f>
        <v>9.0873921655966403E-2</v>
      </c>
      <c r="J1802" s="1">
        <f>'[1]Electricity and CHPs_CAP'!F$33</f>
        <v>9.0957618025568107E-2</v>
      </c>
      <c r="K1802" s="1">
        <f>'[1]Electricity and CHPs_CAP'!G$33</f>
        <v>9.0986156890045439E-2</v>
      </c>
      <c r="L1802" s="1">
        <f>'[1]Electricity and CHPs_CAP'!H$33</f>
        <v>9.1899813099397903E-2</v>
      </c>
      <c r="M1802" s="1">
        <f>'[1]Electricity and CHPs_CAP'!I$33</f>
        <v>9.1911831336914496E-2</v>
      </c>
      <c r="N1802" s="1">
        <f>'[1]Electricity and CHPs_CAP'!J$33</f>
        <v>9.1913200038911194E-2</v>
      </c>
      <c r="O1802" s="1">
        <f>'[1]Electricity and CHPs_CAP'!K$33</f>
        <v>9.1916546374277597E-2</v>
      </c>
      <c r="P1802" s="1">
        <f>'[1]Electricity and CHPs_CAP'!L$33</f>
        <v>9.2015461843183294E-2</v>
      </c>
      <c r="Q1802" s="1">
        <f>'[1]Electricity and CHPs_CAP'!M$33</f>
        <v>9.2532119859281795E-2</v>
      </c>
      <c r="S1802" s="3"/>
    </row>
    <row r="1803" spans="2:19" x14ac:dyDescent="0.5">
      <c r="B1803" s="5" t="str">
        <f t="shared" si="1994"/>
        <v>SPS1</v>
      </c>
      <c r="C1803" s="5" t="str">
        <f t="shared" si="1994"/>
        <v>CH</v>
      </c>
      <c r="D1803" t="s">
        <v>1833</v>
      </c>
      <c r="E1803" t="str">
        <f t="shared" si="1979"/>
        <v>GWe/yr.</v>
      </c>
      <c r="F1803" s="1">
        <f>SUM(F1804:F1808)</f>
        <v>2.9746549999999998</v>
      </c>
      <c r="G1803" s="1">
        <f t="shared" ref="G1803:K1803" si="1996">SUM(G1804:G1808)</f>
        <v>4.3708968739512333</v>
      </c>
      <c r="H1803" s="1">
        <f t="shared" si="1996"/>
        <v>8.5974619969482156</v>
      </c>
      <c r="I1803" s="1">
        <f t="shared" si="1996"/>
        <v>12.656467762068829</v>
      </c>
      <c r="J1803" s="1">
        <f t="shared" si="1996"/>
        <v>13.469385990166661</v>
      </c>
      <c r="K1803" s="1">
        <f t="shared" si="1996"/>
        <v>14.14463802495721</v>
      </c>
      <c r="L1803" s="1">
        <f t="shared" ref="L1803:O1803" si="1997">SUM(L1804:L1808)</f>
        <v>14.809705517846156</v>
      </c>
      <c r="M1803" s="1">
        <f t="shared" si="1997"/>
        <v>15.531058054711966</v>
      </c>
      <c r="N1803" s="1">
        <f t="shared" si="1997"/>
        <v>16.195848236171365</v>
      </c>
      <c r="O1803" s="1">
        <f t="shared" si="1997"/>
        <v>16.985198345500326</v>
      </c>
      <c r="P1803" s="1">
        <f>SUM(P1804:P1808)</f>
        <v>17.850761932476118</v>
      </c>
      <c r="Q1803" s="1">
        <f>SUM(Q1804:Q1808)</f>
        <v>18.97150127839452</v>
      </c>
      <c r="S1803" s="3"/>
    </row>
    <row r="1804" spans="2:19" x14ac:dyDescent="0.5">
      <c r="B1804" s="5" t="str">
        <f t="shared" si="1994"/>
        <v>SPS1</v>
      </c>
      <c r="C1804" s="5" t="str">
        <f t="shared" si="1994"/>
        <v>CH</v>
      </c>
      <c r="D1804" t="s">
        <v>1834</v>
      </c>
      <c r="E1804" t="str">
        <f t="shared" si="1979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4.4925818250089497E-2</v>
      </c>
      <c r="I1804" s="1">
        <f>'[1]Electricity and CHPs_CAP'!E$34</f>
        <v>6.8691530165628706E-2</v>
      </c>
      <c r="J1804" s="1">
        <f>'[1]Electricity and CHPs_CAP'!F$34</f>
        <v>0.23950225585868182</v>
      </c>
      <c r="K1804" s="1">
        <f>'[1]Electricity and CHPs_CAP'!G$34</f>
        <v>0.23989871241605004</v>
      </c>
      <c r="L1804" s="1">
        <f>'[1]Electricity and CHPs_CAP'!H$34</f>
        <v>0.19570020718602479</v>
      </c>
      <c r="M1804" s="1">
        <f>'[1]Electricity and CHPs_CAP'!I$34</f>
        <v>0.17159297826607306</v>
      </c>
      <c r="N1804" s="1">
        <f>'[1]Electricity and CHPs_CAP'!J$34</f>
        <v>5.289409369450751E-2</v>
      </c>
      <c r="O1804" s="1">
        <f>'[1]Electricity and CHPs_CAP'!K$34</f>
        <v>1.8787327736603521E-2</v>
      </c>
      <c r="P1804" s="1">
        <f>'[1]Electricity and CHPs_CAP'!L$34</f>
        <v>1.8885345713351799E-2</v>
      </c>
      <c r="Q1804" s="1">
        <f>'[1]Electricity and CHPs_CAP'!M$34</f>
        <v>0.22992675728805373</v>
      </c>
      <c r="S1804" s="3"/>
    </row>
    <row r="1805" spans="2:19" x14ac:dyDescent="0.5">
      <c r="B1805" s="5" t="str">
        <f t="shared" ref="B1805:C1820" si="1998">B1804</f>
        <v>SPS1</v>
      </c>
      <c r="C1805" s="5" t="str">
        <f t="shared" si="1998"/>
        <v>CH</v>
      </c>
      <c r="D1805" t="s">
        <v>1835</v>
      </c>
      <c r="E1805" t="str">
        <f t="shared" si="1979"/>
        <v>GWe/yr.</v>
      </c>
      <c r="F1805" s="1">
        <f>'[1]Electricity and CHPs_CAP'!B$35</f>
        <v>1.1186210000000001</v>
      </c>
      <c r="G1805" s="1">
        <f>'[1]Electricity and CHPs_CAP'!C$35</f>
        <v>1.6529270639037714</v>
      </c>
      <c r="H1805" s="1">
        <f>'[1]Electricity and CHPs_CAP'!D$35</f>
        <v>3.5611897410870399</v>
      </c>
      <c r="I1805" s="1">
        <f>'[1]Electricity and CHPs_CAP'!E$35</f>
        <v>3.4922759129037297</v>
      </c>
      <c r="J1805" s="1">
        <f>'[1]Electricity and CHPs_CAP'!F$35</f>
        <v>3.6704190558322201</v>
      </c>
      <c r="K1805" s="1">
        <f>'[1]Electricity and CHPs_CAP'!G$35</f>
        <v>3.857646883443381</v>
      </c>
      <c r="L1805" s="1">
        <f>'[1]Electricity and CHPs_CAP'!H$35</f>
        <v>4.0544232763261698</v>
      </c>
      <c r="M1805" s="1">
        <f>'[1]Electricity and CHPs_CAP'!I$35</f>
        <v>4.2612400968537498</v>
      </c>
      <c r="N1805" s="1">
        <f>'[1]Electricity and CHPs_CAP'!J$35</f>
        <v>4.4786068814762503</v>
      </c>
      <c r="O1805" s="1">
        <f>'[1]Electricity and CHPs_CAP'!K$35</f>
        <v>4.7070621354574103</v>
      </c>
      <c r="P1805" s="1">
        <f>'[1]Electricity and CHPs_CAP'!L$35</f>
        <v>4.9471730665311604</v>
      </c>
      <c r="Q1805" s="1">
        <f>'[1]Electricity and CHPs_CAP'!M$35</f>
        <v>5.1995439126137102</v>
      </c>
      <c r="S1805" s="3"/>
    </row>
    <row r="1806" spans="2:19" x14ac:dyDescent="0.5">
      <c r="B1806" s="5" t="str">
        <f t="shared" si="1998"/>
        <v>SPS1</v>
      </c>
      <c r="C1806" s="5" t="str">
        <f t="shared" si="1998"/>
        <v>CH</v>
      </c>
      <c r="D1806" t="s">
        <v>1836</v>
      </c>
      <c r="E1806" t="str">
        <f t="shared" si="1979"/>
        <v>GWe/yr.</v>
      </c>
      <c r="F1806" s="1">
        <f>'[1]Electricity and CHPs_CAP'!B$36</f>
        <v>0.67885700000000004</v>
      </c>
      <c r="G1806" s="1">
        <f>'[1]Electricity and CHPs_CAP'!C$36</f>
        <v>1.1559107858430906</v>
      </c>
      <c r="H1806" s="1">
        <f>'[1]Electricity and CHPs_CAP'!D$36</f>
        <v>2.0810823819296878</v>
      </c>
      <c r="I1806" s="1">
        <f>'[1]Electricity and CHPs_CAP'!E$36</f>
        <v>4.6800075419398279</v>
      </c>
      <c r="J1806" s="1">
        <f>'[1]Electricity and CHPs_CAP'!F$36</f>
        <v>4.9187358187573844</v>
      </c>
      <c r="K1806" s="1">
        <f>'[1]Electricity and CHPs_CAP'!G$36</f>
        <v>5.1696404542237442</v>
      </c>
      <c r="L1806" s="1">
        <f>'[1]Electricity and CHPs_CAP'!H$36</f>
        <v>5.433340120993611</v>
      </c>
      <c r="M1806" s="1">
        <f>'[1]Electricity and CHPs_CAP'!I$36</f>
        <v>5.7104952411563739</v>
      </c>
      <c r="N1806" s="1">
        <f>'[1]Electricity and CHPs_CAP'!J$36</f>
        <v>6.0017884149866783</v>
      </c>
      <c r="O1806" s="1">
        <f>'[1]Electricity and CHPs_CAP'!K$36</f>
        <v>6.3079410779528109</v>
      </c>
      <c r="P1806" s="1">
        <f>'[1]Electricity and CHPs_CAP'!L$36</f>
        <v>6.6297119317289273</v>
      </c>
      <c r="Q1806" s="1">
        <f>'[1]Electricity and CHPs_CAP'!M$36</f>
        <v>6.9679407294718674</v>
      </c>
      <c r="S1806" s="3"/>
    </row>
    <row r="1807" spans="2:19" x14ac:dyDescent="0.5">
      <c r="B1807" s="5" t="str">
        <f t="shared" si="1998"/>
        <v>SPS1</v>
      </c>
      <c r="C1807" s="5" t="str">
        <f t="shared" si="1998"/>
        <v>CH</v>
      </c>
      <c r="D1807" t="s">
        <v>1837</v>
      </c>
      <c r="E1807" t="str">
        <f t="shared" si="1979"/>
        <v>GWe/yr.</v>
      </c>
      <c r="F1807" s="1">
        <f>'[1]Electricity and CHPs_CAP'!B$37</f>
        <v>0.27424799999999999</v>
      </c>
      <c r="G1807" s="1">
        <f>'[1]Electricity and CHPs_CAP'!C$37</f>
        <v>0.4389577282416291</v>
      </c>
      <c r="H1807" s="1">
        <f>'[1]Electricity and CHPs_CAP'!D$37</f>
        <v>1.7349879638767671</v>
      </c>
      <c r="I1807" s="1">
        <f>'[1]Electricity and CHPs_CAP'!E$37</f>
        <v>3.3247824159177917</v>
      </c>
      <c r="J1807" s="1">
        <f>'[1]Electricity and CHPs_CAP'!F$37</f>
        <v>3.4943811185248421</v>
      </c>
      <c r="K1807" s="1">
        <f>'[1]Electricity and CHPs_CAP'!G$37</f>
        <v>3.6726292550498738</v>
      </c>
      <c r="L1807" s="1">
        <f>'[1]Electricity and CHPs_CAP'!H$37</f>
        <v>3.8599642922614201</v>
      </c>
      <c r="M1807" s="1">
        <f>'[1]Electricity and CHPs_CAP'!I$37</f>
        <v>4.0568597185811797</v>
      </c>
      <c r="N1807" s="1">
        <f>'[1]Electricity and CHPs_CAP'!J$37</f>
        <v>4.2638007888278704</v>
      </c>
      <c r="O1807" s="1">
        <f>'[1]Electricity and CHPs_CAP'!K$37</f>
        <v>4.4812982096969094</v>
      </c>
      <c r="P1807" s="1">
        <f>'[1]Electricity and CHPs_CAP'!L$37</f>
        <v>4.7098905114123699</v>
      </c>
      <c r="Q1807" s="1">
        <f>'[1]Electricity and CHPs_CAP'!M$37</f>
        <v>4.9501578573501206</v>
      </c>
      <c r="S1807" s="3"/>
    </row>
    <row r="1808" spans="2:19" x14ac:dyDescent="0.5">
      <c r="B1808" s="5" t="str">
        <f t="shared" si="1998"/>
        <v>SPS1</v>
      </c>
      <c r="C1808" s="5" t="str">
        <f t="shared" si="1998"/>
        <v>CH</v>
      </c>
      <c r="D1808" t="s">
        <v>1838</v>
      </c>
      <c r="E1808" t="str">
        <f t="shared" si="1979"/>
        <v>GWe/yr.</v>
      </c>
      <c r="F1808" s="1">
        <f>'[1]Electricity and CHPs_CAP'!B$38</f>
        <v>0.90292899999999998</v>
      </c>
      <c r="G1808" s="1">
        <f>'[1]Electricity and CHPs_CAP'!C$38</f>
        <v>1.1231012959627422</v>
      </c>
      <c r="H1808" s="1">
        <f>'[1]Electricity and CHPs_CAP'!D$38</f>
        <v>1.1752760918046323</v>
      </c>
      <c r="I1808" s="1">
        <f>'[1]Electricity and CHPs_CAP'!E$38</f>
        <v>1.0907103611418494</v>
      </c>
      <c r="J1808" s="1">
        <f>'[1]Electricity and CHPs_CAP'!F$38</f>
        <v>1.146347741193531</v>
      </c>
      <c r="K1808" s="1">
        <f>'[1]Electricity and CHPs_CAP'!G$38</f>
        <v>1.204822719824161</v>
      </c>
      <c r="L1808" s="1">
        <f>'[1]Electricity and CHPs_CAP'!H$38</f>
        <v>1.2662776210789299</v>
      </c>
      <c r="M1808" s="1">
        <f>'[1]Electricity and CHPs_CAP'!I$38</f>
        <v>1.33087001985459</v>
      </c>
      <c r="N1808" s="1">
        <f>'[1]Electricity and CHPs_CAP'!J$38</f>
        <v>1.3987580571860601</v>
      </c>
      <c r="O1808" s="1">
        <f>'[1]Electricity and CHPs_CAP'!K$38</f>
        <v>1.4701095946565901</v>
      </c>
      <c r="P1808" s="1">
        <f>'[1]Electricity and CHPs_CAP'!L$38</f>
        <v>1.54510107709031</v>
      </c>
      <c r="Q1808" s="1">
        <f>'[1]Electricity and CHPs_CAP'!M$38</f>
        <v>1.62393202167077</v>
      </c>
      <c r="S1808" s="3"/>
    </row>
    <row r="1809" spans="2:19" x14ac:dyDescent="0.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979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'[1]Electricity and CHPs_CAP'!F$32</f>
        <v>0</v>
      </c>
      <c r="K1809" s="1">
        <f>'[1]Electricity and CHPs_CAP'!G$32</f>
        <v>0</v>
      </c>
      <c r="L1809" s="1">
        <f>'[1]Electricity and CHPs_CAP'!H$32</f>
        <v>2.1838555622160827E-4</v>
      </c>
      <c r="M1809" s="1">
        <f>'[1]Electricity and CHPs_CAP'!I$32</f>
        <v>3.5484206379102716E-4</v>
      </c>
      <c r="N1809" s="1">
        <f>'[1]Electricity and CHPs_CAP'!J$32</f>
        <v>3.6998200546418209E-4</v>
      </c>
      <c r="O1809" s="1">
        <f>'[1]Electricity and CHPs_CAP'!K$32</f>
        <v>4.1033348155373274E-4</v>
      </c>
      <c r="P1809" s="1">
        <f>'[1]Electricity and CHPs_CAP'!L$32</f>
        <v>4.7979590774447923E-4</v>
      </c>
      <c r="Q1809" s="1">
        <f>'[1]Electricity and CHPs_CAP'!M$32</f>
        <v>8.4982225619928983E-4</v>
      </c>
      <c r="S1809" s="3"/>
    </row>
    <row r="1810" spans="2:19" x14ac:dyDescent="0.5">
      <c r="B1810" s="5" t="str">
        <f t="shared" ref="B1810:C1810" si="1999">B1809</f>
        <v>SPS1</v>
      </c>
      <c r="C1810" s="5" t="str">
        <f t="shared" si="1999"/>
        <v>CH</v>
      </c>
      <c r="D1810" t="s">
        <v>1840</v>
      </c>
      <c r="E1810" t="str">
        <f t="shared" si="1979"/>
        <v>GWe/yr.</v>
      </c>
      <c r="F1810" s="1">
        <f>F1809</f>
        <v>0</v>
      </c>
      <c r="G1810" s="1">
        <f t="shared" ref="G1810:K1810" si="2000">G1809</f>
        <v>0</v>
      </c>
      <c r="H1810" s="1">
        <f t="shared" si="2000"/>
        <v>0</v>
      </c>
      <c r="I1810" s="1">
        <f t="shared" si="2000"/>
        <v>0</v>
      </c>
      <c r="J1810" s="1">
        <f t="shared" si="2000"/>
        <v>0</v>
      </c>
      <c r="K1810" s="1">
        <f t="shared" si="2000"/>
        <v>0</v>
      </c>
      <c r="L1810" s="1">
        <f t="shared" ref="L1810:O1810" si="2001">L1809</f>
        <v>2.1838555622160827E-4</v>
      </c>
      <c r="M1810" s="1">
        <f t="shared" si="2001"/>
        <v>3.5484206379102716E-4</v>
      </c>
      <c r="N1810" s="1">
        <f t="shared" si="2001"/>
        <v>3.6998200546418209E-4</v>
      </c>
      <c r="O1810" s="1">
        <f t="shared" si="2001"/>
        <v>4.1033348155373274E-4</v>
      </c>
      <c r="P1810" s="1">
        <f>P1809</f>
        <v>4.7979590774447923E-4</v>
      </c>
      <c r="Q1810" s="1">
        <f>Q1809</f>
        <v>8.4982225619928983E-4</v>
      </c>
      <c r="S1810" s="3"/>
    </row>
    <row r="1811" spans="2:19" x14ac:dyDescent="0.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979"/>
        <v>GWe/yr.</v>
      </c>
      <c r="F1811" s="1">
        <f t="shared" ref="F1811:K1811" si="2002">SUM(F1812:F1814)</f>
        <v>0</v>
      </c>
      <c r="G1811" s="1">
        <f t="shared" si="2002"/>
        <v>0</v>
      </c>
      <c r="H1811" s="1">
        <f t="shared" si="2002"/>
        <v>0</v>
      </c>
      <c r="I1811" s="1">
        <f t="shared" si="2002"/>
        <v>2.2319068760323009E-4</v>
      </c>
      <c r="J1811" s="1">
        <f t="shared" si="2002"/>
        <v>5.6050182293126993E-4</v>
      </c>
      <c r="K1811" s="1">
        <f t="shared" si="2002"/>
        <v>8.7114610429255555E-4</v>
      </c>
      <c r="L1811" s="1">
        <f t="shared" ref="L1811:O1811" si="2003">SUM(L1812:L1814)</f>
        <v>9.2090111683286631E-4</v>
      </c>
      <c r="M1811" s="1">
        <f t="shared" si="2003"/>
        <v>2.2433295531638971E-3</v>
      </c>
      <c r="N1811" s="1">
        <f t="shared" si="2003"/>
        <v>2.0366800534197607E-3</v>
      </c>
      <c r="O1811" s="1">
        <f t="shared" si="2003"/>
        <v>6.8382948174666247E-3</v>
      </c>
      <c r="P1811" s="1">
        <f>SUM(P1812:P1814)</f>
        <v>6.4936370333540669E-3</v>
      </c>
      <c r="Q1811" s="1">
        <f>SUM(Q1812:Q1814)</f>
        <v>9.0058123160229753E-3</v>
      </c>
      <c r="S1811" s="3"/>
    </row>
    <row r="1812" spans="2:19" x14ac:dyDescent="0.5">
      <c r="B1812" s="5" t="str">
        <f t="shared" si="1998"/>
        <v>SPS1</v>
      </c>
      <c r="C1812" s="5" t="str">
        <f t="shared" si="1998"/>
        <v>CH</v>
      </c>
      <c r="D1812" t="s">
        <v>1842</v>
      </c>
      <c r="E1812" t="str">
        <f t="shared" si="1979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'[1]Electricity and CHPs_CAP'!F$30</f>
        <v>0</v>
      </c>
      <c r="K1812" s="1">
        <f>'[1]Electricity and CHPs_CAP'!G$30</f>
        <v>1.56981165879409E-4</v>
      </c>
      <c r="L1812" s="1">
        <f>'[1]Electricity and CHPs_CAP'!H$30</f>
        <v>1.866905023199365E-4</v>
      </c>
      <c r="M1812" s="1">
        <f>'[1]Electricity and CHPs_CAP'!I$30</f>
        <v>3.329539401309164E-4</v>
      </c>
      <c r="N1812" s="1">
        <f>'[1]Electricity and CHPs_CAP'!J$30</f>
        <v>3.1467282758769835E-4</v>
      </c>
      <c r="O1812" s="1">
        <f>'[1]Electricity and CHPs_CAP'!K$30</f>
        <v>2.188322804210377E-3</v>
      </c>
      <c r="P1812" s="1">
        <f>'[1]Electricity and CHPs_CAP'!L$30</f>
        <v>2.181920257410307E-3</v>
      </c>
      <c r="Q1812" s="1">
        <f>'[1]Electricity and CHPs_CAP'!M$30</f>
        <v>2.4563162928520777E-3</v>
      </c>
      <c r="S1812" s="3"/>
    </row>
    <row r="1813" spans="2:19" x14ac:dyDescent="0.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979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1.4676254139056599E-4</v>
      </c>
      <c r="J1813" s="1">
        <f>'[1]Electricity and CHPs_CAP'!F$46</f>
        <v>3.708741867341894E-4</v>
      </c>
      <c r="K1813" s="1">
        <f>'[1]Electricity and CHPs_CAP'!G$46</f>
        <v>5.062364387020484E-4</v>
      </c>
      <c r="L1813" s="1">
        <f>'[1]Electricity and CHPs_CAP'!H$46</f>
        <v>5.0347485289783294E-4</v>
      </c>
      <c r="M1813" s="1">
        <f>'[1]Electricity and CHPs_CAP'!I$46</f>
        <v>1.2234518049167187E-3</v>
      </c>
      <c r="N1813" s="1">
        <f>'[1]Electricity and CHPs_CAP'!J$46</f>
        <v>1.0719456592842114E-3</v>
      </c>
      <c r="O1813" s="1">
        <f>'[1]Electricity and CHPs_CAP'!K$46</f>
        <v>3.0822945126947323E-3</v>
      </c>
      <c r="P1813" s="1">
        <f>'[1]Electricity and CHPs_CAP'!L$46</f>
        <v>3.124267444126104E-3</v>
      </c>
      <c r="Q1813" s="1">
        <f>'[1]Electricity and CHPs_CAP'!M$46</f>
        <v>4.2745015063961923E-3</v>
      </c>
      <c r="S1813" s="3"/>
    </row>
    <row r="1814" spans="2:19" x14ac:dyDescent="0.5">
      <c r="B1814" s="5" t="str">
        <f t="shared" si="1998"/>
        <v>SPS1</v>
      </c>
      <c r="C1814" s="5" t="str">
        <f t="shared" si="1998"/>
        <v>CH</v>
      </c>
      <c r="D1814" t="s">
        <v>1844</v>
      </c>
      <c r="E1814" t="str">
        <f t="shared" si="1979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7.6428146212664095E-5</v>
      </c>
      <c r="J1814" s="1">
        <f>'[1]Electricity and CHPs_CAP'!F$57</f>
        <v>1.8962763619708052E-4</v>
      </c>
      <c r="K1814" s="1">
        <f>'[1]Electricity and CHPs_CAP'!G$57</f>
        <v>2.0792849971109818E-4</v>
      </c>
      <c r="L1814" s="1">
        <f>'[1]Electricity and CHPs_CAP'!H$57</f>
        <v>2.3073576161509681E-4</v>
      </c>
      <c r="M1814" s="1">
        <f>'[1]Electricity and CHPs_CAP'!I$57</f>
        <v>6.8692380811626182E-4</v>
      </c>
      <c r="N1814" s="1">
        <f>'[1]Electricity and CHPs_CAP'!J$57</f>
        <v>6.5006156654785134E-4</v>
      </c>
      <c r="O1814" s="1">
        <f>'[1]Electricity and CHPs_CAP'!K$57</f>
        <v>1.5676775005615147E-3</v>
      </c>
      <c r="P1814" s="1">
        <f>'[1]Electricity and CHPs_CAP'!L$57</f>
        <v>1.1874493318176562E-3</v>
      </c>
      <c r="Q1814" s="1">
        <f>'[1]Electricity and CHPs_CAP'!M$57</f>
        <v>2.2749945167747049E-3</v>
      </c>
      <c r="S1814" s="3"/>
    </row>
    <row r="1815" spans="2:19" x14ac:dyDescent="0.5">
      <c r="B1815" s="5" t="str">
        <f t="shared" si="1998"/>
        <v>SPS1</v>
      </c>
      <c r="C1815" s="5" t="str">
        <f t="shared" si="1998"/>
        <v>CH</v>
      </c>
      <c r="D1815" t="s">
        <v>1845</v>
      </c>
      <c r="E1815" t="str">
        <f t="shared" si="1979"/>
        <v>GWe/yr.</v>
      </c>
      <c r="F1815" s="1">
        <f>SUM(F1816:F1822)</f>
        <v>0.10352421566681078</v>
      </c>
      <c r="G1815" s="1">
        <f t="shared" ref="G1815:K1815" si="2004">SUM(G1816:G1822)</f>
        <v>0.10349940961312284</v>
      </c>
      <c r="H1815" s="1">
        <f t="shared" si="2004"/>
        <v>0.10350974316399854</v>
      </c>
      <c r="I1815" s="1">
        <f t="shared" si="2004"/>
        <v>0.23631996973347846</v>
      </c>
      <c r="J1815" s="1">
        <f t="shared" si="2004"/>
        <v>0.24845895157159173</v>
      </c>
      <c r="K1815" s="1">
        <f t="shared" si="2004"/>
        <v>0.3144589011526413</v>
      </c>
      <c r="L1815" s="1">
        <f t="shared" ref="L1815:O1815" si="2005">SUM(L1816:L1822)</f>
        <v>0.46489393849638749</v>
      </c>
      <c r="M1815" s="1">
        <f t="shared" si="2005"/>
        <v>0.49872823290994489</v>
      </c>
      <c r="N1815" s="1">
        <f t="shared" si="2005"/>
        <v>0.59280997417531789</v>
      </c>
      <c r="O1815" s="1">
        <f t="shared" si="2005"/>
        <v>0.64735023268964109</v>
      </c>
      <c r="P1815" s="1">
        <f>SUM(P1816:P1822)</f>
        <v>0.70361918737360818</v>
      </c>
      <c r="Q1815" s="1">
        <f>SUM(Q1816:Q1822)</f>
        <v>0.79715938542685949</v>
      </c>
      <c r="S1815" s="3"/>
    </row>
    <row r="1816" spans="2:19" x14ac:dyDescent="0.5">
      <c r="B1816" s="5" t="str">
        <f t="shared" si="1998"/>
        <v>SPS1</v>
      </c>
      <c r="C1816" s="5" t="str">
        <f t="shared" si="1998"/>
        <v>CH</v>
      </c>
      <c r="D1816" t="s">
        <v>1846</v>
      </c>
      <c r="E1816" t="str">
        <f t="shared" si="1979"/>
        <v>GWe/yr.</v>
      </c>
      <c r="F1816" s="1">
        <f>'[1]Electricity and CHPs_CAP'!B$63</f>
        <v>0.1</v>
      </c>
      <c r="G1816" s="1">
        <f>'[1]Electricity and CHPs_CAP'!C$63</f>
        <v>9.9971749876374208E-2</v>
      </c>
      <c r="H1816" s="1">
        <f>'[1]Electricity and CHPs_CAP'!D$63</f>
        <v>9.9968214292239135E-2</v>
      </c>
      <c r="I1816" s="1">
        <f>'[1]Electricity and CHPs_CAP'!E$63</f>
        <v>9.9965654895068395E-2</v>
      </c>
      <c r="J1816" s="1">
        <f>'[1]Electricity and CHPs_CAP'!F$63</f>
        <v>9.9966234409599966E-2</v>
      </c>
      <c r="K1816" s="1">
        <f>'[1]Electricity and CHPs_CAP'!G$63</f>
        <v>9.9967209745507657E-2</v>
      </c>
      <c r="L1816" s="1">
        <f>'[1]Electricity and CHPs_CAP'!H$63</f>
        <v>9.9968600048334494E-2</v>
      </c>
      <c r="M1816" s="1">
        <f>'[1]Electricity and CHPs_CAP'!I$63</f>
        <v>9.9968890734336194E-2</v>
      </c>
      <c r="N1816" s="1">
        <f>'[1]Electricity and CHPs_CAP'!J$63</f>
        <v>9.9968609118038926E-2</v>
      </c>
      <c r="O1816" s="1">
        <f>'[1]Electricity and CHPs_CAP'!K$63</f>
        <v>9.9969270920197265E-2</v>
      </c>
      <c r="P1816" s="1">
        <f>'[1]Electricity and CHPs_CAP'!L$63</f>
        <v>9.9971402737949189E-2</v>
      </c>
      <c r="Q1816" s="1">
        <f>'[1]Electricity and CHPs_CAP'!M$63</f>
        <v>9.9978151841242396E-2</v>
      </c>
      <c r="S1816" s="3"/>
    </row>
    <row r="1817" spans="2:19" x14ac:dyDescent="0.5">
      <c r="B1817" s="5" t="str">
        <f t="shared" si="1998"/>
        <v>SPS1</v>
      </c>
      <c r="C1817" s="5" t="str">
        <f t="shared" si="1998"/>
        <v>CH</v>
      </c>
      <c r="D1817" t="s">
        <v>1847</v>
      </c>
      <c r="E1817" t="str">
        <f t="shared" si="1979"/>
        <v>GWe/yr.</v>
      </c>
      <c r="F1817" s="1">
        <f>'[1]Electricity and CHPs_CAP'!B$64</f>
        <v>5.8957277676666305E-4</v>
      </c>
      <c r="G1817" s="1">
        <f>'[1]Electricity and CHPs_CAP'!C$64</f>
        <v>5.9007093610442482E-4</v>
      </c>
      <c r="H1817" s="1">
        <f>'[1]Electricity and CHPs_CAP'!D$64</f>
        <v>5.9337169063213935E-4</v>
      </c>
      <c r="I1817" s="1">
        <f>'[1]Electricity and CHPs_CAP'!E$64</f>
        <v>5.5456731814923629E-4</v>
      </c>
      <c r="J1817" s="1">
        <f>'[1]Electricity and CHPs_CAP'!F$64</f>
        <v>1.4139658712758289E-3</v>
      </c>
      <c r="K1817" s="1">
        <f>'[1]Electricity and CHPs_CAP'!G$64</f>
        <v>4.8028343045694095E-2</v>
      </c>
      <c r="L1817" s="1">
        <f>'[1]Electricity and CHPs_CAP'!H$64</f>
        <v>5.1773974212431156E-2</v>
      </c>
      <c r="M1817" s="1">
        <f>'[1]Electricity and CHPs_CAP'!I$64</f>
        <v>5.1793438112693393E-2</v>
      </c>
      <c r="N1817" s="1">
        <f>'[1]Electricity and CHPs_CAP'!J$64</f>
        <v>5.1815511286822873E-2</v>
      </c>
      <c r="O1817" s="1">
        <f>'[1]Electricity and CHPs_CAP'!K$64</f>
        <v>5.1855166663206893E-2</v>
      </c>
      <c r="P1817" s="1">
        <f>'[1]Electricity and CHPs_CAP'!L$64</f>
        <v>5.1926249943861205E-2</v>
      </c>
      <c r="Q1817" s="1">
        <f>'[1]Electricity and CHPs_CAP'!M$64</f>
        <v>5.2585549044619588E-2</v>
      </c>
      <c r="S1817" s="3"/>
    </row>
    <row r="1818" spans="2:19" x14ac:dyDescent="0.5">
      <c r="B1818" s="5" t="str">
        <f t="shared" si="1998"/>
        <v>SPS1</v>
      </c>
      <c r="C1818" s="5" t="str">
        <f t="shared" si="1998"/>
        <v>CH</v>
      </c>
      <c r="D1818" t="s">
        <v>1848</v>
      </c>
      <c r="E1818" t="str">
        <f t="shared" si="1979"/>
        <v>GWe/yr.</v>
      </c>
      <c r="F1818" s="1">
        <f>'[1]Electricity and CHPs_CAP'!B$65</f>
        <v>4.3799018965295602E-4</v>
      </c>
      <c r="G1818" s="1">
        <f>'[1]Electricity and CHPs_CAP'!C$65</f>
        <v>4.3836640281927336E-4</v>
      </c>
      <c r="H1818" s="1">
        <f>'[1]Electricity and CHPs_CAP'!D$65</f>
        <v>4.4085764013913334E-4</v>
      </c>
      <c r="I1818" s="1">
        <f>'[1]Electricity and CHPs_CAP'!E$65</f>
        <v>4.2541061107353138E-4</v>
      </c>
      <c r="J1818" s="1">
        <f>'[1]Electricity and CHPs_CAP'!F$65</f>
        <v>1.1135238670890216E-3</v>
      </c>
      <c r="K1818" s="1">
        <f>'[1]Electricity and CHPs_CAP'!G$65</f>
        <v>9.3128333510640125E-3</v>
      </c>
      <c r="L1818" s="1">
        <f>'[1]Electricity and CHPs_CAP'!H$65</f>
        <v>0.14401910290920325</v>
      </c>
      <c r="M1818" s="1">
        <f>'[1]Electricity and CHPs_CAP'!I$65</f>
        <v>0.16441985508735396</v>
      </c>
      <c r="N1818" s="1">
        <f>'[1]Electricity and CHPs_CAP'!J$65</f>
        <v>0.24963714930897726</v>
      </c>
      <c r="O1818" s="1">
        <f>'[1]Electricity and CHPs_CAP'!K$65</f>
        <v>0.29414847744242617</v>
      </c>
      <c r="P1818" s="1">
        <f>'[1]Electricity and CHPs_CAP'!L$65</f>
        <v>0.34013746133690786</v>
      </c>
      <c r="Q1818" s="1">
        <f>'[1]Electricity and CHPs_CAP'!M$65</f>
        <v>0.42193916608856902</v>
      </c>
      <c r="S1818" s="3"/>
    </row>
    <row r="1819" spans="2:19" x14ac:dyDescent="0.5">
      <c r="B1819" s="5" t="str">
        <f t="shared" si="1998"/>
        <v>SPS1</v>
      </c>
      <c r="C1819" s="5" t="str">
        <f t="shared" si="1998"/>
        <v>CH</v>
      </c>
      <c r="D1819" t="s">
        <v>1849</v>
      </c>
      <c r="E1819" t="str">
        <f t="shared" si="1979"/>
        <v>GWe/yr.</v>
      </c>
      <c r="F1819" s="1">
        <f>'[1]Electricity and CHPs_CAP'!B$66</f>
        <v>4.1603629581079838E-4</v>
      </c>
      <c r="G1819" s="1">
        <f>'[1]Electricity and CHPs_CAP'!C$66</f>
        <v>4.1647094165939418E-4</v>
      </c>
      <c r="H1819" s="1">
        <f>'[1]Electricity and CHPs_CAP'!D$66</f>
        <v>4.1781493638233232E-4</v>
      </c>
      <c r="I1819" s="1">
        <f>'[1]Electricity and CHPs_CAP'!E$66</f>
        <v>2.6972289502500149E-2</v>
      </c>
      <c r="J1819" s="1">
        <f>'[1]Electricity and CHPs_CAP'!F$66</f>
        <v>2.7126922753745394E-2</v>
      </c>
      <c r="K1819" s="1">
        <f>'[1]Electricity and CHPs_CAP'!G$66</f>
        <v>2.4769418486142912E-2</v>
      </c>
      <c r="L1819" s="1">
        <f>'[1]Electricity and CHPs_CAP'!H$66</f>
        <v>2.7012700028052186E-2</v>
      </c>
      <c r="M1819" s="1">
        <f>'[1]Electricity and CHPs_CAP'!I$66</f>
        <v>3.3268174488134863E-2</v>
      </c>
      <c r="N1819" s="1">
        <f>'[1]Electricity and CHPs_CAP'!J$66</f>
        <v>3.3538943384459757E-2</v>
      </c>
      <c r="O1819" s="1">
        <f>'[1]Electricity and CHPs_CAP'!K$66</f>
        <v>4.5541346412482066E-2</v>
      </c>
      <c r="P1819" s="1">
        <f>'[1]Electricity and CHPs_CAP'!L$66</f>
        <v>7.0591424009940534E-2</v>
      </c>
      <c r="Q1819" s="1">
        <f>'[1]Electricity and CHPs_CAP'!M$66</f>
        <v>6.1622379562226173E-2</v>
      </c>
      <c r="S1819" s="3"/>
    </row>
    <row r="1820" spans="2:19" x14ac:dyDescent="0.5">
      <c r="B1820" s="5" t="str">
        <f t="shared" si="1998"/>
        <v>SPS1</v>
      </c>
      <c r="C1820" s="5" t="str">
        <f t="shared" si="1998"/>
        <v>CH</v>
      </c>
      <c r="D1820" t="s">
        <v>1855</v>
      </c>
      <c r="E1820" t="str">
        <f t="shared" si="1979"/>
        <v>GWe/yr.</v>
      </c>
      <c r="F1820" s="1">
        <f>'[1]Electricity and CHPs_CAP'!B$67</f>
        <v>8.3094165891876349E-4</v>
      </c>
      <c r="G1820" s="1">
        <f>'[1]Electricity and CHPs_CAP'!C$67</f>
        <v>8.3179240544257321E-4</v>
      </c>
      <c r="H1820" s="1">
        <f>'[1]Electricity and CHPs_CAP'!D$67</f>
        <v>8.3450114580725339E-4</v>
      </c>
      <c r="I1820" s="1">
        <f>'[1]Electricity and CHPs_CAP'!E$67</f>
        <v>4.1711977853239338E-2</v>
      </c>
      <c r="J1820" s="1">
        <f>'[1]Electricity and CHPs_CAP'!F$67</f>
        <v>4.4900094383472006E-2</v>
      </c>
      <c r="K1820" s="1">
        <f>'[1]Electricity and CHPs_CAP'!G$67</f>
        <v>4.4428378302442423E-2</v>
      </c>
      <c r="L1820" s="1">
        <f>'[1]Electricity and CHPs_CAP'!H$67</f>
        <v>5.1583485653002623E-2</v>
      </c>
      <c r="M1820" s="1">
        <f>'[1]Electricity and CHPs_CAP'!I$67</f>
        <v>5.6180126290801533E-2</v>
      </c>
      <c r="N1820" s="1">
        <f>'[1]Electricity and CHPs_CAP'!J$67</f>
        <v>5.9540464931512403E-2</v>
      </c>
      <c r="O1820" s="1">
        <f>'[1]Electricity and CHPs_CAP'!K$67</f>
        <v>5.8727620266560296E-2</v>
      </c>
      <c r="P1820" s="1">
        <f>'[1]Electricity and CHPs_CAP'!L$67</f>
        <v>5.310624846327304E-2</v>
      </c>
      <c r="Q1820" s="1">
        <f>'[1]Electricity and CHPs_CAP'!M$67</f>
        <v>6.045606602757192E-2</v>
      </c>
      <c r="S1820" s="3"/>
    </row>
    <row r="1821" spans="2:19" x14ac:dyDescent="0.5">
      <c r="B1821" s="5" t="str">
        <f t="shared" ref="B1821:C1822" si="2006">B1820</f>
        <v>SPS1</v>
      </c>
      <c r="C1821" s="5" t="str">
        <f t="shared" si="2006"/>
        <v>CH</v>
      </c>
      <c r="D1821" t="s">
        <v>1850</v>
      </c>
      <c r="E1821" t="str">
        <f t="shared" si="1979"/>
        <v>GWe/yr.</v>
      </c>
      <c r="F1821" s="1">
        <f>'[1]Electricity and CHPs_CAP'!B$68</f>
        <v>8.3220648226453272E-4</v>
      </c>
      <c r="G1821" s="1">
        <f>'[1]Electricity and CHPs_CAP'!C$68</f>
        <v>8.3305821402661893E-4</v>
      </c>
      <c r="H1821" s="1">
        <f>'[1]Electricity and CHPs_CAP'!D$68</f>
        <v>8.3574093988585509E-4</v>
      </c>
      <c r="I1821" s="1">
        <f>'[1]Electricity and CHPs_CAP'!E$68</f>
        <v>4.2036572568097202E-2</v>
      </c>
      <c r="J1821" s="1">
        <f>'[1]Electricity and CHPs_CAP'!F$68</f>
        <v>4.5333723468834762E-2</v>
      </c>
      <c r="K1821" s="1">
        <f>'[1]Electricity and CHPs_CAP'!G$68</f>
        <v>5.2761068948058321E-2</v>
      </c>
      <c r="L1821" s="1">
        <f>'[1]Electricity and CHPs_CAP'!H$68</f>
        <v>5.5135130461641993E-2</v>
      </c>
      <c r="M1821" s="1">
        <f>'[1]Electricity and CHPs_CAP'!I$68</f>
        <v>5.617847304569229E-2</v>
      </c>
      <c r="N1821" s="1">
        <f>'[1]Electricity and CHPs_CAP'!J$68</f>
        <v>5.9507871078430127E-2</v>
      </c>
      <c r="O1821" s="1">
        <f>'[1]Electricity and CHPs_CAP'!K$68</f>
        <v>5.8744012387340713E-2</v>
      </c>
      <c r="P1821" s="1">
        <f>'[1]Electricity and CHPs_CAP'!L$68</f>
        <v>5.3127109523169902E-2</v>
      </c>
      <c r="Q1821" s="1">
        <f>'[1]Electricity and CHPs_CAP'!M$68</f>
        <v>6.0461487443405522E-2</v>
      </c>
      <c r="S1821" s="3"/>
    </row>
    <row r="1822" spans="2:19" x14ac:dyDescent="0.5">
      <c r="B1822" s="5" t="str">
        <f t="shared" si="2006"/>
        <v>SPS1</v>
      </c>
      <c r="C1822" s="5" t="str">
        <f t="shared" si="2006"/>
        <v>CH</v>
      </c>
      <c r="D1822" t="s">
        <v>1851</v>
      </c>
      <c r="E1822" t="str">
        <f t="shared" si="1979"/>
        <v>GWe/yr.</v>
      </c>
      <c r="F1822" s="1">
        <f>'[1]Electricity and CHPs_CAP'!B$69</f>
        <v>4.1746826339704234E-4</v>
      </c>
      <c r="G1822" s="1">
        <f>'[1]Electricity and CHPs_CAP'!C$69</f>
        <v>4.1790083669635751E-4</v>
      </c>
      <c r="H1822" s="1">
        <f>'[1]Electricity and CHPs_CAP'!D$69</f>
        <v>4.1924251891268177E-4</v>
      </c>
      <c r="I1822" s="1">
        <f>'[1]Electricity and CHPs_CAP'!E$69</f>
        <v>2.4653496985350611E-2</v>
      </c>
      <c r="J1822" s="1">
        <f>'[1]Electricity and CHPs_CAP'!F$69</f>
        <v>2.8604486817574739E-2</v>
      </c>
      <c r="K1822" s="1">
        <f>'[1]Electricity and CHPs_CAP'!G$69</f>
        <v>3.5191649273731855E-2</v>
      </c>
      <c r="L1822" s="1">
        <f>'[1]Electricity and CHPs_CAP'!H$69</f>
        <v>3.5400945183721763E-2</v>
      </c>
      <c r="M1822" s="1">
        <f>'[1]Electricity and CHPs_CAP'!I$69</f>
        <v>3.6919275150932643E-2</v>
      </c>
      <c r="N1822" s="1">
        <f>'[1]Electricity and CHPs_CAP'!J$69</f>
        <v>3.8801425067076657E-2</v>
      </c>
      <c r="O1822" s="1">
        <f>'[1]Electricity and CHPs_CAP'!K$69</f>
        <v>3.8364338597427564E-2</v>
      </c>
      <c r="P1822" s="1">
        <f>'[1]Electricity and CHPs_CAP'!L$69</f>
        <v>3.4759291358506458E-2</v>
      </c>
      <c r="Q1822" s="1">
        <f>'[1]Electricity and CHPs_CAP'!M$69</f>
        <v>4.011658541922488E-2</v>
      </c>
      <c r="S1822" s="3"/>
    </row>
    <row r="1823" spans="2:19" x14ac:dyDescent="0.5">
      <c r="B1823" s="5" t="str">
        <f t="shared" ref="B1823:C1823" si="2007">B1822</f>
        <v>SPS1</v>
      </c>
      <c r="C1823" s="5" t="str">
        <f t="shared" si="2007"/>
        <v>CH</v>
      </c>
      <c r="D1823" s="2" t="s">
        <v>1860</v>
      </c>
      <c r="E1823" s="2" t="s">
        <v>1858</v>
      </c>
      <c r="F1823" s="3">
        <f>SUM(F1824,F1843)</f>
        <v>11.164135411603654</v>
      </c>
      <c r="G1823" s="3">
        <f t="shared" ref="G1823:K1823" si="2008">SUM(G1824,G1843)</f>
        <v>11.927196344039848</v>
      </c>
      <c r="H1823" s="3">
        <f t="shared" si="2008"/>
        <v>12.045591858134348</v>
      </c>
      <c r="I1823" s="3">
        <f t="shared" si="2008"/>
        <v>12.37381567348053</v>
      </c>
      <c r="J1823" s="3">
        <f t="shared" si="2008"/>
        <v>11.096759247963975</v>
      </c>
      <c r="K1823" s="3">
        <f t="shared" si="2008"/>
        <v>10.738885929684418</v>
      </c>
      <c r="L1823" s="3">
        <f t="shared" ref="L1823:O1823" si="2009">SUM(L1824,L1843)</f>
        <v>10.793866745092577</v>
      </c>
      <c r="M1823" s="3">
        <f t="shared" si="2009"/>
        <v>10.142773632704726</v>
      </c>
      <c r="N1823" s="3">
        <f t="shared" si="2009"/>
        <v>9.808711058093655</v>
      </c>
      <c r="O1823" s="3">
        <f t="shared" si="2009"/>
        <v>9.5499945727364803</v>
      </c>
      <c r="P1823" s="3">
        <f>SUM(P1824,P1843)</f>
        <v>9.0885488330264224</v>
      </c>
      <c r="Q1823" s="3">
        <f>SUM(Q1824,Q1843)</f>
        <v>8.0020245789189861</v>
      </c>
      <c r="S1823" s="3"/>
    </row>
    <row r="1824" spans="2:19" x14ac:dyDescent="0.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9.3031457582876911</v>
      </c>
      <c r="G1824" s="1">
        <f t="shared" ref="G1824:K1824" si="2010">SUM(G1825,G1828,G1830,G1833,G1835,G1837,G1839,G1841)</f>
        <v>9.9084446508167687</v>
      </c>
      <c r="H1824" s="1">
        <f t="shared" si="2010"/>
        <v>10.054936555674917</v>
      </c>
      <c r="I1824" s="1">
        <f t="shared" si="2010"/>
        <v>10.302875865700951</v>
      </c>
      <c r="J1824" s="1">
        <f t="shared" si="2010"/>
        <v>9.3111906896932783</v>
      </c>
      <c r="K1824" s="1">
        <f t="shared" si="2010"/>
        <v>8.9935584717602914</v>
      </c>
      <c r="L1824" s="1">
        <f t="shared" ref="L1824:O1824" si="2011">SUM(L1825,L1828,L1830,L1833,L1835,L1837,L1839,L1841)</f>
        <v>9.0321289719251521</v>
      </c>
      <c r="M1824" s="1">
        <f t="shared" si="2011"/>
        <v>8.4566914862952327</v>
      </c>
      <c r="N1824" s="1">
        <f t="shared" si="2011"/>
        <v>8.0845096513295918</v>
      </c>
      <c r="O1824" s="1">
        <f t="shared" si="2011"/>
        <v>7.8730395013681074</v>
      </c>
      <c r="P1824" s="1">
        <f>SUM(P1825,P1828,P1830,P1833,P1835,P1837,P1839,P1841)</f>
        <v>7.4453696241039156</v>
      </c>
      <c r="Q1824" s="1">
        <f>SUM(Q1825,Q1828,Q1830,Q1833,Q1835,Q1837,Q1839,Q1841)</f>
        <v>6.39409500932575</v>
      </c>
      <c r="S1824" s="3"/>
    </row>
    <row r="1825" spans="2:19" x14ac:dyDescent="0.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2.1116624165749069</v>
      </c>
      <c r="G1825" s="1">
        <f t="shared" ref="G1825:K1825" si="2012">SUM(G1826:G1827)</f>
        <v>2.4212890050093976</v>
      </c>
      <c r="H1825" s="1">
        <f t="shared" si="2012"/>
        <v>2.5670181286664771</v>
      </c>
      <c r="I1825" s="1">
        <f t="shared" si="2012"/>
        <v>2.7388087796235689</v>
      </c>
      <c r="J1825" s="1">
        <f t="shared" si="2012"/>
        <v>2.786246664098456</v>
      </c>
      <c r="K1825" s="1">
        <f t="shared" si="2012"/>
        <v>2.7132321324047926</v>
      </c>
      <c r="L1825" s="1">
        <f t="shared" ref="L1825:O1825" si="2013">SUM(L1826:L1827)</f>
        <v>2.7457508665296704</v>
      </c>
      <c r="M1825" s="1">
        <f t="shared" si="2013"/>
        <v>2.5554459859889289</v>
      </c>
      <c r="N1825" s="1">
        <f t="shared" si="2013"/>
        <v>2.4267537133073596</v>
      </c>
      <c r="O1825" s="1">
        <f t="shared" si="2013"/>
        <v>2.4197067792704963</v>
      </c>
      <c r="P1825" s="1">
        <f>SUM(P1826:P1827)</f>
        <v>2.4118793557975429</v>
      </c>
      <c r="Q1825" s="1">
        <f>SUM(Q1826:Q1827)</f>
        <v>2.4070914823167309</v>
      </c>
      <c r="S1825" s="3"/>
    </row>
    <row r="1826" spans="2:19" x14ac:dyDescent="0.5">
      <c r="B1826" s="5" t="str">
        <f t="shared" ref="B1826:C1826" si="2014">B1825</f>
        <v>SPS1</v>
      </c>
      <c r="C1826" s="5" t="str">
        <f t="shared" si="2014"/>
        <v>CH</v>
      </c>
      <c r="D1826" t="s">
        <v>1862</v>
      </c>
      <c r="E1826" t="str">
        <f t="shared" ref="E1826:E1889" si="2015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0.6725719057206313</v>
      </c>
      <c r="G1826" s="1" cm="1">
        <f t="array" ref="G1826">SUMPRODUCT(([1]OUT_FinalEnergyCons!$B$4:$B$10000="var_cap")*1,(ISNUMBER(SEARCH("RH*-SHELCBR",[1]OUT_FinalEnergyCons!$A$4:$A$10000)))*1,[1]OUT_FinalEnergyCons!E$4:E$10000)</f>
        <v>0.70930980397536025</v>
      </c>
      <c r="H1826" s="1" cm="1">
        <f t="array" ref="H1826">SUMPRODUCT(([1]OUT_FinalEnergyCons!$B$4:$B$10000="var_cap")*1,(ISNUMBER(SEARCH("RH*-SHELCBR",[1]OUT_FinalEnergyCons!$A$4:$A$10000)))*1,[1]OUT_FinalEnergyCons!F$4:F$10000)</f>
        <v>0.70931012711886321</v>
      </c>
      <c r="I1826" s="1" cm="1">
        <f t="array" ref="I1826">SUMPRODUCT(([1]OUT_FinalEnergyCons!$B$4:$B$10000="var_cap")*1,(ISNUMBER(SEARCH("RH*-SHELCBR",[1]OUT_FinalEnergyCons!$A$4:$A$10000)))*1,[1]OUT_FinalEnergyCons!G$4:G$10000)</f>
        <v>0.70930590443789787</v>
      </c>
      <c r="J1826" s="1" cm="1">
        <f t="array" ref="J1826">SUMPRODUCT(([1]OUT_FinalEnergyCons!$B$4:$B$10000="var_cap")*1,(ISNUMBER(SEARCH("RH*-SHELCBR",[1]OUT_FinalEnergyCons!$A$4:$A$10000)))*1,[1]OUT_FinalEnergyCons!H$4:H$10000)</f>
        <v>0.4402175157676399</v>
      </c>
      <c r="K1826" s="1" cm="1">
        <f t="array" ref="K1826">SUMPRODUCT(([1]OUT_FinalEnergyCons!$B$4:$B$10000="var_cap")*1,(ISNUMBER(SEARCH("RH*-SHELCBR",[1]OUT_FinalEnergyCons!$A$4:$A$10000)))*1,[1]OUT_FinalEnergyCons!I$4:I$10000)</f>
        <v>0.3688198132344212</v>
      </c>
      <c r="L1826" s="1" cm="1">
        <f t="array" ref="L1826">SUMPRODUCT(([1]OUT_FinalEnergyCons!$B$4:$B$10000="var_cap")*1,(ISNUMBER(SEARCH("RH*-SHELCBR",[1]OUT_FinalEnergyCons!$A$4:$A$10000)))*1,[1]OUT_FinalEnergyCons!J$4:J$10000)</f>
        <v>0.40134469466175671</v>
      </c>
      <c r="M1826" s="1" cm="1">
        <f t="array" ref="M1826">SUMPRODUCT(([1]OUT_FinalEnergyCons!$B$4:$B$10000="var_cap")*1,(ISNUMBER(SEARCH("RH*-SHELCBR",[1]OUT_FinalEnergyCons!$A$4:$A$10000)))*1,[1]OUT_FinalEnergyCons!K$4:K$10000)</f>
        <v>0.19014275327300645</v>
      </c>
      <c r="N1826" s="1" cm="1">
        <f t="array" ref="N1826">SUMPRODUCT(([1]OUT_FinalEnergyCons!$B$4:$B$10000="var_cap")*1,(ISNUMBER(SEARCH("RH*-SHELCBR",[1]OUT_FinalEnergyCons!$A$4:$A$10000)))*1,[1]OUT_FinalEnergyCons!L$4:L$10000)</f>
        <v>6.1532889457219381E-2</v>
      </c>
      <c r="O1826" s="1" cm="1">
        <f t="array" ref="O1826">SUMPRODUCT(([1]OUT_FinalEnergyCons!$B$4:$B$10000="var_cap")*1,(ISNUMBER(SEARCH("RH*-SHELCBR",[1]OUT_FinalEnergyCons!$A$4:$A$10000)))*1,[1]OUT_FinalEnergyCons!M$4:M$10000)</f>
        <v>5.4384286380345093E-2</v>
      </c>
      <c r="P1826" s="1" cm="1">
        <f t="array" ref="P1826">SUMPRODUCT(([1]OUT_FinalEnergyCons!$B$4:$B$10000="var_cap")*1,(ISNUMBER(SEARCH("RH*-SHELCBR",[1]OUT_FinalEnergyCons!$A$4:$A$10000)))*1,[1]OUT_FinalEnergyCons!N$4:N$10000)</f>
        <v>4.655139059394342E-2</v>
      </c>
      <c r="Q1826" s="1" cm="1">
        <f t="array" ref="Q1826">SUMPRODUCT(([1]OUT_FinalEnergyCons!$B$4:$B$10000="var_cap")*1,(ISNUMBER(SEARCH("RH*-SHELCBR",[1]OUT_FinalEnergyCons!$A$4:$A$10000)))*1,[1]OUT_FinalEnergyCons!O$4:O$10000)</f>
        <v>4.1539179080715714E-2</v>
      </c>
      <c r="S1826" s="3"/>
    </row>
    <row r="1827" spans="2:19" x14ac:dyDescent="0.5">
      <c r="B1827" s="5" t="str">
        <f t="shared" ref="B1827:C1827" si="2016">B1826</f>
        <v>SPS1</v>
      </c>
      <c r="C1827" s="5" t="str">
        <f t="shared" si="2016"/>
        <v>CH</v>
      </c>
      <c r="D1827" t="s">
        <v>1863</v>
      </c>
      <c r="E1827" t="str">
        <f t="shared" si="2015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1.4390905108542755</v>
      </c>
      <c r="G1827" s="1" cm="1">
        <f t="array" ref="G1827">SUMPRODUCT(([1]OUT_FinalEnergyCons!$B$4:$B$10000="var_cap")*1,ISNUMBER(SEARCH("RH*-SHELCHP",[1]OUT_FinalEnergyCons!$A$4:$A$10000))*1,[1]OUT_FinalEnergyCons!E$4:E$10000)</f>
        <v>1.7119792010340373</v>
      </c>
      <c r="H1827" s="1" cm="1">
        <f t="array" ref="H1827">SUMPRODUCT(([1]OUT_FinalEnergyCons!$B$4:$B$10000="var_cap")*1,ISNUMBER(SEARCH("RH*-SHELCHP",[1]OUT_FinalEnergyCons!$A$4:$A$10000))*1,[1]OUT_FinalEnergyCons!F$4:F$10000)</f>
        <v>1.8577080015476137</v>
      </c>
      <c r="I1827" s="1" cm="1">
        <f t="array" ref="I1827">SUMPRODUCT(([1]OUT_FinalEnergyCons!$B$4:$B$10000="var_cap")*1,ISNUMBER(SEARCH("RH*-SHELCHP",[1]OUT_FinalEnergyCons!$A$4:$A$10000))*1,[1]OUT_FinalEnergyCons!G$4:G$10000)</f>
        <v>2.029502875185671</v>
      </c>
      <c r="J1827" s="1" cm="1">
        <f t="array" ref="J1827">SUMPRODUCT(([1]OUT_FinalEnergyCons!$B$4:$B$10000="var_cap")*1,ISNUMBER(SEARCH("RH*-SHELCHP",[1]OUT_FinalEnergyCons!$A$4:$A$10000))*1,[1]OUT_FinalEnergyCons!H$4:H$10000)</f>
        <v>2.3460291483308162</v>
      </c>
      <c r="K1827" s="1" cm="1">
        <f t="array" ref="K1827">SUMPRODUCT(([1]OUT_FinalEnergyCons!$B$4:$B$10000="var_cap")*1,ISNUMBER(SEARCH("RH*-SHELCHP",[1]OUT_FinalEnergyCons!$A$4:$A$10000))*1,[1]OUT_FinalEnergyCons!I$4:I$10000)</f>
        <v>2.3444123191703712</v>
      </c>
      <c r="L1827" s="1" cm="1">
        <f t="array" ref="L1827">SUMPRODUCT(([1]OUT_FinalEnergyCons!$B$4:$B$10000="var_cap")*1,ISNUMBER(SEARCH("RH*-SHELCHP",[1]OUT_FinalEnergyCons!$A$4:$A$10000))*1,[1]OUT_FinalEnergyCons!J$4:J$10000)</f>
        <v>2.3444061718679134</v>
      </c>
      <c r="M1827" s="1" cm="1">
        <f t="array" ref="M1827">SUMPRODUCT(([1]OUT_FinalEnergyCons!$B$4:$B$10000="var_cap")*1,ISNUMBER(SEARCH("RH*-SHELCHP",[1]OUT_FinalEnergyCons!$A$4:$A$10000))*1,[1]OUT_FinalEnergyCons!K$4:K$10000)</f>
        <v>2.3653032327159225</v>
      </c>
      <c r="N1827" s="1" cm="1">
        <f t="array" ref="N1827">SUMPRODUCT(([1]OUT_FinalEnergyCons!$B$4:$B$10000="var_cap")*1,ISNUMBER(SEARCH("RH*-SHELCHP",[1]OUT_FinalEnergyCons!$A$4:$A$10000))*1,[1]OUT_FinalEnergyCons!L$4:L$10000)</f>
        <v>2.36522082385014</v>
      </c>
      <c r="O1827" s="1" cm="1">
        <f t="array" ref="O1827">SUMPRODUCT(([1]OUT_FinalEnergyCons!$B$4:$B$10000="var_cap")*1,ISNUMBER(SEARCH("RH*-SHELCHP",[1]OUT_FinalEnergyCons!$A$4:$A$10000))*1,[1]OUT_FinalEnergyCons!M$4:M$10000)</f>
        <v>2.3653224928901513</v>
      </c>
      <c r="P1827" s="1" cm="1">
        <f t="array" ref="P1827">SUMPRODUCT(([1]OUT_FinalEnergyCons!$B$4:$B$10000="var_cap")*1,ISNUMBER(SEARCH("RH*-SHELCHP",[1]OUT_FinalEnergyCons!$A$4:$A$10000))*1,[1]OUT_FinalEnergyCons!N$4:N$10000)</f>
        <v>2.3653279652035994</v>
      </c>
      <c r="Q1827" s="1" cm="1">
        <f t="array" ref="Q1827">SUMPRODUCT(([1]OUT_FinalEnergyCons!$B$4:$B$10000="var_cap")*1,ISNUMBER(SEARCH("RH*-SHELCHP",[1]OUT_FinalEnergyCons!$A$4:$A$10000))*1,[1]OUT_FinalEnergyCons!O$4:O$10000)</f>
        <v>2.3655523032360151</v>
      </c>
      <c r="S1827" s="3"/>
    </row>
    <row r="1828" spans="2:19" x14ac:dyDescent="0.5">
      <c r="B1828" s="5" t="str">
        <f t="shared" ref="B1828:C1828" si="2017">B1827</f>
        <v>SPS1</v>
      </c>
      <c r="C1828" s="5" t="str">
        <f t="shared" si="2017"/>
        <v>CH</v>
      </c>
      <c r="D1828" t="s">
        <v>1864</v>
      </c>
      <c r="E1828" t="str">
        <f t="shared" si="2015"/>
        <v>GWth/yr.</v>
      </c>
      <c r="F1828" s="1">
        <f>F1829</f>
        <v>3.4074053831106799</v>
      </c>
      <c r="G1828" s="1">
        <f t="shared" ref="G1828:O1828" si="2018">G1829</f>
        <v>3.4074014188348172</v>
      </c>
      <c r="H1828" s="1">
        <f t="shared" si="2018"/>
        <v>3.4073976182763341</v>
      </c>
      <c r="I1828" s="1">
        <f t="shared" si="2018"/>
        <v>3.4073927540444284</v>
      </c>
      <c r="J1828" s="1">
        <f t="shared" si="2018"/>
        <v>2.4437614011748403</v>
      </c>
      <c r="K1828" s="1">
        <f t="shared" si="2018"/>
        <v>2.291296243381491</v>
      </c>
      <c r="L1828" s="1">
        <f t="shared" si="2018"/>
        <v>2.2912097096900279</v>
      </c>
      <c r="M1828" s="1">
        <f t="shared" si="2018"/>
        <v>1.8829895520642632</v>
      </c>
      <c r="N1828" s="1">
        <f t="shared" si="2018"/>
        <v>1.7546011616925037</v>
      </c>
      <c r="O1828" s="1">
        <f t="shared" si="2018"/>
        <v>1.6422450228296797</v>
      </c>
      <c r="P1828" s="1">
        <f>P1829</f>
        <v>1.1083360384698111</v>
      </c>
      <c r="Q1828" s="1">
        <f>Q1829</f>
        <v>0.56936043793938462</v>
      </c>
      <c r="S1828" s="3"/>
    </row>
    <row r="1829" spans="2:19" x14ac:dyDescent="0.5">
      <c r="B1829" s="5" t="str">
        <f t="shared" ref="B1829:C1829" si="2019">B1828</f>
        <v>SPS1</v>
      </c>
      <c r="C1829" s="5" t="str">
        <f t="shared" si="2019"/>
        <v>CH</v>
      </c>
      <c r="D1829" t="s">
        <v>1865</v>
      </c>
      <c r="E1829" t="str">
        <f t="shared" si="2015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3.4074014188348172</v>
      </c>
      <c r="H1829" s="1" cm="1">
        <f t="array" ref="H1829">SUMPRODUCT(([1]OUT_FinalEnergyCons!$B$4:$B$10000="var_cap")*1, (ISNUMBER(SEARCH("RH*-SHLFOBR",[1]OUT_FinalEnergyCons!$A$4:$A$10000)))*1,[1]OUT_FinalEnergyCons!F$4:F$10000)</f>
        <v>3.4073976182763341</v>
      </c>
      <c r="I1829" s="1" cm="1">
        <f t="array" ref="I1829">SUMPRODUCT(([1]OUT_FinalEnergyCons!$B$4:$B$10000="var_cap")*1, (ISNUMBER(SEARCH("RH*-SHLFOBR",[1]OUT_FinalEnergyCons!$A$4:$A$10000)))*1,[1]OUT_FinalEnergyCons!G$4:G$10000)</f>
        <v>3.4073927540444284</v>
      </c>
      <c r="J1829" s="1" cm="1">
        <f t="array" ref="J1829">SUMPRODUCT(([1]OUT_FinalEnergyCons!$B$4:$B$10000="var_cap")*1, (ISNUMBER(SEARCH("RH*-SHLFOBR",[1]OUT_FinalEnergyCons!$A$4:$A$10000)))*1,[1]OUT_FinalEnergyCons!H$4:H$10000)</f>
        <v>2.4437614011748403</v>
      </c>
      <c r="K1829" s="1" cm="1">
        <f t="array" ref="K1829">SUMPRODUCT(([1]OUT_FinalEnergyCons!$B$4:$B$10000="var_cap")*1, (ISNUMBER(SEARCH("RH*-SHLFOBR",[1]OUT_FinalEnergyCons!$A$4:$A$10000)))*1,[1]OUT_FinalEnergyCons!I$4:I$10000)</f>
        <v>2.291296243381491</v>
      </c>
      <c r="L1829" s="1" cm="1">
        <f t="array" ref="L1829">SUMPRODUCT(([1]OUT_FinalEnergyCons!$B$4:$B$10000="var_cap")*1, (ISNUMBER(SEARCH("RH*-SHLFOBR",[1]OUT_FinalEnergyCons!$A$4:$A$10000)))*1,[1]OUT_FinalEnergyCons!J$4:J$10000)</f>
        <v>2.2912097096900279</v>
      </c>
      <c r="M1829" s="1" cm="1">
        <f t="array" ref="M1829">SUMPRODUCT(([1]OUT_FinalEnergyCons!$B$4:$B$10000="var_cap")*1, (ISNUMBER(SEARCH("RH*-SHLFOBR",[1]OUT_FinalEnergyCons!$A$4:$A$10000)))*1,[1]OUT_FinalEnergyCons!K$4:K$10000)</f>
        <v>1.8829895520642632</v>
      </c>
      <c r="N1829" s="1" cm="1">
        <f t="array" ref="N1829">SUMPRODUCT(([1]OUT_FinalEnergyCons!$B$4:$B$10000="var_cap")*1, (ISNUMBER(SEARCH("RH*-SHLFOBR",[1]OUT_FinalEnergyCons!$A$4:$A$10000)))*1,[1]OUT_FinalEnergyCons!L$4:L$10000)</f>
        <v>1.7546011616925037</v>
      </c>
      <c r="O1829" s="1" cm="1">
        <f t="array" ref="O1829">SUMPRODUCT(([1]OUT_FinalEnergyCons!$B$4:$B$10000="var_cap")*1, (ISNUMBER(SEARCH("RH*-SHLFOBR",[1]OUT_FinalEnergyCons!$A$4:$A$10000)))*1,[1]OUT_FinalEnergyCons!M$4:M$10000)</f>
        <v>1.6422450228296797</v>
      </c>
      <c r="P1829" s="1" cm="1">
        <f t="array" ref="P1829">SUMPRODUCT(([1]OUT_FinalEnergyCons!$B$4:$B$10000="var_cap")*1, (ISNUMBER(SEARCH("RH*-SHLFOBR",[1]OUT_FinalEnergyCons!$A$4:$A$10000)))*1,[1]OUT_FinalEnergyCons!N$4:N$10000)</f>
        <v>1.1083360384698111</v>
      </c>
      <c r="Q1829" s="1" cm="1">
        <f t="array" ref="Q1829">SUMPRODUCT(([1]OUT_FinalEnergyCons!$B$4:$B$10000="var_cap")*1, (ISNUMBER(SEARCH("RH*-SHLFOBR",[1]OUT_FinalEnergyCons!$A$4:$A$10000)))*1,[1]OUT_FinalEnergyCons!O$4:O$10000)</f>
        <v>0.56936043793938462</v>
      </c>
      <c r="S1829" s="3"/>
    </row>
    <row r="1830" spans="2:19" x14ac:dyDescent="0.5">
      <c r="B1830" s="5" t="str">
        <f t="shared" ref="B1830:C1830" si="2020">B1829</f>
        <v>SPS1</v>
      </c>
      <c r="C1830" s="5" t="str">
        <f t="shared" si="2020"/>
        <v>CH</v>
      </c>
      <c r="D1830" t="s">
        <v>1866</v>
      </c>
      <c r="E1830" t="str">
        <f t="shared" si="2015"/>
        <v>GWth/yr.</v>
      </c>
      <c r="F1830" s="1">
        <f>SUM(F1831:F1832)</f>
        <v>2.7687541266975635</v>
      </c>
      <c r="G1830" s="1">
        <f t="shared" ref="G1830:K1830" si="2021">SUM(G1831:G1832)</f>
        <v>2.9973603245562761</v>
      </c>
      <c r="H1830" s="1">
        <f t="shared" si="2021"/>
        <v>2.9984854934230074</v>
      </c>
      <c r="I1830" s="1">
        <f t="shared" si="2021"/>
        <v>3.0638643605000904</v>
      </c>
      <c r="J1830" s="1">
        <f t="shared" si="2021"/>
        <v>3.2191379176301336</v>
      </c>
      <c r="K1830" s="1">
        <f t="shared" si="2021"/>
        <v>3.1845436772087279</v>
      </c>
      <c r="L1830" s="1">
        <f t="shared" ref="L1830:O1830" si="2022">SUM(L1831:L1832)</f>
        <v>3.1951635494280044</v>
      </c>
      <c r="M1830" s="1">
        <f t="shared" si="2022"/>
        <v>3.3140286269030113</v>
      </c>
      <c r="N1830" s="1">
        <f t="shared" si="2022"/>
        <v>3.2129624969117314</v>
      </c>
      <c r="O1830" s="1">
        <f t="shared" si="2022"/>
        <v>3.1469839209282044</v>
      </c>
      <c r="P1830" s="1">
        <f>SUM(P1831:P1832)</f>
        <v>3.2931519158053382</v>
      </c>
      <c r="Q1830" s="1">
        <f>SUM(Q1831:Q1832)</f>
        <v>2.8694419178065429</v>
      </c>
      <c r="S1830" s="3"/>
    </row>
    <row r="1831" spans="2:19" x14ac:dyDescent="0.5">
      <c r="B1831" s="5" t="str">
        <f t="shared" ref="B1831:C1831" si="2023">B1830</f>
        <v>SPS1</v>
      </c>
      <c r="C1831" s="5" t="str">
        <f t="shared" si="2023"/>
        <v>CH</v>
      </c>
      <c r="D1831" t="s">
        <v>1867</v>
      </c>
      <c r="E1831" t="str">
        <f t="shared" si="2015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2.997360019399153</v>
      </c>
      <c r="H1831" s="1" cm="1">
        <f t="array" ref="H1831">SUMPRODUCT(([1]OUT_FinalEnergyCons!$B$4:$B$10000="var_cap")*1, (ISNUMBER(SEARCH("RH*-SHNGABR",[1]OUT_FinalEnergyCons!$A$4:$A$10000)))*1,[1]OUT_FinalEnergyCons!F$4:F$10000)</f>
        <v>2.9973621379970279</v>
      </c>
      <c r="I1831" s="1" cm="1">
        <f t="array" ref="I1831">SUMPRODUCT(([1]OUT_FinalEnergyCons!$B$4:$B$10000="var_cap")*1, (ISNUMBER(SEARCH("RH*-SHNGABR",[1]OUT_FinalEnergyCons!$A$4:$A$10000)))*1,[1]OUT_FinalEnergyCons!G$4:G$10000)</f>
        <v>3.0627351538868441</v>
      </c>
      <c r="J1831" s="1" cm="1">
        <f t="array" ref="J1831">SUMPRODUCT(([1]OUT_FinalEnergyCons!$B$4:$B$10000="var_cap")*1, (ISNUMBER(SEARCH("RH*-SHNGABR",[1]OUT_FinalEnergyCons!$A$4:$A$10000)))*1,[1]OUT_FinalEnergyCons!H$4:H$10000)</f>
        <v>3.0268465625361731</v>
      </c>
      <c r="K1831" s="1" cm="1">
        <f t="array" ref="K1831">SUMPRODUCT(([1]OUT_FinalEnergyCons!$B$4:$B$10000="var_cap")*1, (ISNUMBER(SEARCH("RH*-SHNGABR",[1]OUT_FinalEnergyCons!$A$4:$A$10000)))*1,[1]OUT_FinalEnergyCons!I$4:I$10000)</f>
        <v>2.8237784803136403</v>
      </c>
      <c r="L1831" s="1" cm="1">
        <f t="array" ref="L1831">SUMPRODUCT(([1]OUT_FinalEnergyCons!$B$4:$B$10000="var_cap")*1, (ISNUMBER(SEARCH("RH*-SHNGABR",[1]OUT_FinalEnergyCons!$A$4:$A$10000)))*1,[1]OUT_FinalEnergyCons!J$4:J$10000)</f>
        <v>2.7533653903214255</v>
      </c>
      <c r="M1831" s="1" cm="1">
        <f t="array" ref="M1831">SUMPRODUCT(([1]OUT_FinalEnergyCons!$B$4:$B$10000="var_cap")*1, (ISNUMBER(SEARCH("RH*-SHNGABR",[1]OUT_FinalEnergyCons!$A$4:$A$10000)))*1,[1]OUT_FinalEnergyCons!K$4:K$10000)</f>
        <v>2.6603782728538956</v>
      </c>
      <c r="N1831" s="1" cm="1">
        <f t="array" ref="N1831">SUMPRODUCT(([1]OUT_FinalEnergyCons!$B$4:$B$10000="var_cap")*1, (ISNUMBER(SEARCH("RH*-SHNGABR",[1]OUT_FinalEnergyCons!$A$4:$A$10000)))*1,[1]OUT_FinalEnergyCons!L$4:L$10000)</f>
        <v>2.5141647919548209</v>
      </c>
      <c r="O1831" s="1" cm="1">
        <f t="array" ref="O1831">SUMPRODUCT(([1]OUT_FinalEnergyCons!$B$4:$B$10000="var_cap")*1, (ISNUMBER(SEARCH("RH*-SHNGABR",[1]OUT_FinalEnergyCons!$A$4:$A$10000)))*1,[1]OUT_FinalEnergyCons!M$4:M$10000)</f>
        <v>2.4151022706619241</v>
      </c>
      <c r="P1831" s="1" cm="1">
        <f t="array" ref="P1831">SUMPRODUCT(([1]OUT_FinalEnergyCons!$B$4:$B$10000="var_cap")*1, (ISNUMBER(SEARCH("RH*-SHNGABR",[1]OUT_FinalEnergyCons!$A$4:$A$10000)))*1,[1]OUT_FinalEnergyCons!N$4:N$10000)</f>
        <v>2.2802952842418467</v>
      </c>
      <c r="Q1831" s="1" cm="1">
        <f t="array" ref="Q1831">SUMPRODUCT(([1]OUT_FinalEnergyCons!$B$4:$B$10000="var_cap")*1, (ISNUMBER(SEARCH("RH*-SHNGABR",[1]OUT_FinalEnergyCons!$A$4:$A$10000)))*1,[1]OUT_FinalEnergyCons!O$4:O$10000)</f>
        <v>1.8559020929940235</v>
      </c>
      <c r="S1831" s="3"/>
    </row>
    <row r="1832" spans="2:19" x14ac:dyDescent="0.5">
      <c r="B1832" s="5" t="str">
        <f t="shared" ref="B1832:C1832" si="2024">B1831</f>
        <v>SPS1</v>
      </c>
      <c r="C1832" s="5" t="str">
        <f t="shared" si="2024"/>
        <v>CH</v>
      </c>
      <c r="D1832" t="s">
        <v>1868</v>
      </c>
      <c r="E1832" t="str">
        <f t="shared" si="2015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7.54592135734625E-8</v>
      </c>
      <c r="G1832" s="1" cm="1">
        <f t="array" ref="G1832">SUMPRODUCT(([1]OUT_FinalEnergyCons!$B$4:$B$10000="var_cap")*1,ISNUMBER(SEARCH("RH*-SHngahp",[1]OUT_FinalEnergyCons!$A$4:$A$10000))*1,[1]OUT_FinalEnergyCons!E$4:E$10000)</f>
        <v>3.0515712330929202E-7</v>
      </c>
      <c r="H1832" s="1" cm="1">
        <f t="array" ref="H1832">SUMPRODUCT(([1]OUT_FinalEnergyCons!$B$4:$B$10000="var_cap")*1,ISNUMBER(SEARCH("RH*-SHngahp",[1]OUT_FinalEnergyCons!$A$4:$A$10000))*1,[1]OUT_FinalEnergyCons!F$4:F$10000)</f>
        <v>1.1233554259793721E-3</v>
      </c>
      <c r="I1832" s="1" cm="1">
        <f t="array" ref="I1832">SUMPRODUCT(([1]OUT_FinalEnergyCons!$B$4:$B$10000="var_cap")*1,ISNUMBER(SEARCH("RH*-SHngahp",[1]OUT_FinalEnergyCons!$A$4:$A$10000))*1,[1]OUT_FinalEnergyCons!G$4:G$10000)</f>
        <v>1.1292066132464048E-3</v>
      </c>
      <c r="J1832" s="1" cm="1">
        <f t="array" ref="J1832">SUMPRODUCT(([1]OUT_FinalEnergyCons!$B$4:$B$10000="var_cap")*1,ISNUMBER(SEARCH("RH*-SHngahp",[1]OUT_FinalEnergyCons!$A$4:$A$10000))*1,[1]OUT_FinalEnergyCons!H$4:H$10000)</f>
        <v>0.19229135509396023</v>
      </c>
      <c r="K1832" s="1" cm="1">
        <f t="array" ref="K1832">SUMPRODUCT(([1]OUT_FinalEnergyCons!$B$4:$B$10000="var_cap")*1,ISNUMBER(SEARCH("RH*-SHngahp",[1]OUT_FinalEnergyCons!$A$4:$A$10000))*1,[1]OUT_FinalEnergyCons!I$4:I$10000)</f>
        <v>0.36076519689508768</v>
      </c>
      <c r="L1832" s="1" cm="1">
        <f t="array" ref="L1832">SUMPRODUCT(([1]OUT_FinalEnergyCons!$B$4:$B$10000="var_cap")*1,ISNUMBER(SEARCH("RH*-SHngahp",[1]OUT_FinalEnergyCons!$A$4:$A$10000))*1,[1]OUT_FinalEnergyCons!J$4:J$10000)</f>
        <v>0.44179815910657882</v>
      </c>
      <c r="M1832" s="1" cm="1">
        <f t="array" ref="M1832">SUMPRODUCT(([1]OUT_FinalEnergyCons!$B$4:$B$10000="var_cap")*1,ISNUMBER(SEARCH("RH*-SHngahp",[1]OUT_FinalEnergyCons!$A$4:$A$10000))*1,[1]OUT_FinalEnergyCons!K$4:K$10000)</f>
        <v>0.65365035404911576</v>
      </c>
      <c r="N1832" s="1" cm="1">
        <f t="array" ref="N1832">SUMPRODUCT(([1]OUT_FinalEnergyCons!$B$4:$B$10000="var_cap")*1,ISNUMBER(SEARCH("RH*-SHngahp",[1]OUT_FinalEnergyCons!$A$4:$A$10000))*1,[1]OUT_FinalEnergyCons!L$4:L$10000)</f>
        <v>0.69879770495691063</v>
      </c>
      <c r="O1832" s="1" cm="1">
        <f t="array" ref="O1832">SUMPRODUCT(([1]OUT_FinalEnergyCons!$B$4:$B$10000="var_cap")*1,ISNUMBER(SEARCH("RH*-SHngahp",[1]OUT_FinalEnergyCons!$A$4:$A$10000))*1,[1]OUT_FinalEnergyCons!M$4:M$10000)</f>
        <v>0.73188165026628016</v>
      </c>
      <c r="P1832" s="1" cm="1">
        <f t="array" ref="P1832">SUMPRODUCT(([1]OUT_FinalEnergyCons!$B$4:$B$10000="var_cap")*1,ISNUMBER(SEARCH("RH*-SHngahp",[1]OUT_FinalEnergyCons!$A$4:$A$10000))*1,[1]OUT_FinalEnergyCons!N$4:N$10000)</f>
        <v>1.0128566315634913</v>
      </c>
      <c r="Q1832" s="1" cm="1">
        <f t="array" ref="Q1832">SUMPRODUCT(([1]OUT_FinalEnergyCons!$B$4:$B$10000="var_cap")*1,ISNUMBER(SEARCH("RH*-SHngahp",[1]OUT_FinalEnergyCons!$A$4:$A$10000))*1,[1]OUT_FinalEnergyCons!O$4:O$10000)</f>
        <v>1.0135398248125196</v>
      </c>
      <c r="S1832" s="3"/>
    </row>
    <row r="1833" spans="2:19" x14ac:dyDescent="0.5">
      <c r="B1833" s="5" t="str">
        <f t="shared" ref="B1833:C1833" si="2025">B1832</f>
        <v>SPS1</v>
      </c>
      <c r="C1833" s="5" t="str">
        <f t="shared" si="2025"/>
        <v>CH</v>
      </c>
      <c r="D1833" t="s">
        <v>1869</v>
      </c>
      <c r="E1833" t="str">
        <f t="shared" si="2015"/>
        <v>GWth/yr.</v>
      </c>
      <c r="F1833" s="1">
        <f>F1834</f>
        <v>7.0000000000000001E-3</v>
      </c>
      <c r="G1833" s="1">
        <f t="shared" ref="G1833:O1833" si="2026">G1834</f>
        <v>6.6212267449170794E-3</v>
      </c>
      <c r="H1833" s="1">
        <f t="shared" si="2026"/>
        <v>2.1194270579638023E-4</v>
      </c>
      <c r="I1833" s="1">
        <f t="shared" si="2026"/>
        <v>1.9738861844841027E-4</v>
      </c>
      <c r="J1833" s="1">
        <f t="shared" si="2026"/>
        <v>5.1250138306999831E-5</v>
      </c>
      <c r="K1833" s="1">
        <f t="shared" si="2026"/>
        <v>0</v>
      </c>
      <c r="L1833" s="1">
        <f t="shared" si="2026"/>
        <v>0</v>
      </c>
      <c r="M1833" s="1">
        <f t="shared" si="2026"/>
        <v>0</v>
      </c>
      <c r="N1833" s="1">
        <f t="shared" si="2026"/>
        <v>0</v>
      </c>
      <c r="O1833" s="1">
        <f t="shared" si="2026"/>
        <v>0</v>
      </c>
      <c r="P1833" s="1">
        <f>P1834</f>
        <v>0</v>
      </c>
      <c r="Q1833" s="1">
        <f>Q1834</f>
        <v>0</v>
      </c>
      <c r="S1833" s="3"/>
    </row>
    <row r="1834" spans="2:19" x14ac:dyDescent="0.5">
      <c r="B1834" s="5" t="str">
        <f t="shared" ref="B1834:C1834" si="2027">B1833</f>
        <v>SPS1</v>
      </c>
      <c r="C1834" s="5" t="str">
        <f t="shared" si="2027"/>
        <v>CH</v>
      </c>
      <c r="D1834" t="s">
        <v>1870</v>
      </c>
      <c r="E1834" t="str">
        <f t="shared" si="2015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6.6212267449170794E-3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2.1194270579638023E-4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1.9738861844841027E-4</v>
      </c>
      <c r="J1834" s="1" cm="1">
        <f t="array" ref="J1834">IF(SUMPRODUCT(([1]OUT_FinalEnergyCons!$B$4:$B$10000="var_cap")*1, (ISNUMBER(SEARCH("RH*-SHCOABR",[1]OUT_FinalEnergyCons!$A$4:$A$10000)))*1,[1]OUT_FinalEnergyCons!H$4:H$10000)&lt;0,0,SUMPRODUCT(([1]OUT_FinalEnergyCons!$B$4:$B$10000="var_cap")*1, (ISNUMBER(SEARCH("RH*-SHCOABR",[1]OUT_FinalEnergyCons!$A$4:$A$10000)))*1,[1]OUT_FinalEnergyCons!H$4:H$10000))</f>
        <v>5.1250138306999831E-5</v>
      </c>
      <c r="K1834" s="1" cm="1">
        <f t="array" ref="K1834">IF(SUMPRODUCT(([1]OUT_FinalEnergyCons!$B$4:$B$10000="var_cap")*1, (ISNUMBER(SEARCH("RH*-SHCOABR",[1]OUT_FinalEnergyCons!$A$4:$A$10000)))*1,[1]OUT_FinalEnergyCons!I$4:I$10000)&lt;0,0,SUMPRODUCT(([1]OUT_FinalEnergyCons!$B$4:$B$10000="var_cap")*1, (ISNUMBER(SEARCH("RH*-SHCOABR",[1]OUT_FinalEnergyCons!$A$4:$A$10000)))*1,[1]OUT_FinalEnergyCons!I$4:I$10000))</f>
        <v>0</v>
      </c>
      <c r="L1834" s="1" cm="1">
        <f t="array" ref="L1834">IF(SUMPRODUCT(([1]OUT_FinalEnergyCons!$B$4:$B$10000="var_cap")*1, (ISNUMBER(SEARCH("RH*-SHCOABR",[1]OUT_FinalEnergyCons!$A$4:$A$10000)))*1,[1]OUT_FinalEnergyCons!J$4:J$10000)&lt;0,0,SUMPRODUCT(([1]OUT_FinalEnergyCons!$B$4:$B$10000="var_cap")*1, (ISNUMBER(SEARCH("RH*-SHCOABR",[1]OUT_FinalEnergyCons!$A$4:$A$10000)))*1,[1]OUT_FinalEnergyCons!J$4:J$10000))</f>
        <v>0</v>
      </c>
      <c r="M1834" s="1" cm="1">
        <f t="array" ref="M1834">IF(SUMPRODUCT(([1]OUT_FinalEnergyCons!$B$4:$B$10000="var_cap")*1, (ISNUMBER(SEARCH("RH*-SHCOABR",[1]OUT_FinalEnergyCons!$A$4:$A$10000)))*1,[1]OUT_FinalEnergyCons!K$4:K$10000)&lt;0,0,SUMPRODUCT(([1]OUT_FinalEnergyCons!$B$4:$B$10000="var_cap")*1, (ISNUMBER(SEARCH("RH*-SHCOABR",[1]OUT_FinalEnergyCons!$A$4:$A$10000)))*1,[1]OUT_FinalEnergyCons!K$4:K$10000))</f>
        <v>0</v>
      </c>
      <c r="N1834" s="1" cm="1">
        <f t="array" ref="N1834">IF(SUMPRODUCT(([1]OUT_FinalEnergyCons!$B$4:$B$10000="var_cap")*1, (ISNUMBER(SEARCH("RH*-SHCOABR",[1]OUT_FinalEnergyCons!$A$4:$A$10000)))*1,[1]OUT_FinalEnergyCons!L$4:L$10000)&lt;0,0,SUMPRODUCT(([1]OUT_FinalEnergyCons!$B$4:$B$10000="var_cap")*1, (ISNUMBER(SEARCH("RH*-SHCOABR",[1]OUT_FinalEnergyCons!$A$4:$A$10000)))*1,[1]OUT_FinalEnergyCons!L$4:L$10000))</f>
        <v>0</v>
      </c>
      <c r="O1834" s="1" cm="1">
        <f t="array" ref="O1834">IF(SUMPRODUCT(([1]OUT_FinalEnergyCons!$B$4:$B$10000="var_cap")*1, (ISNUMBER(SEARCH("RH*-SHCOABR",[1]OUT_FinalEnergyCons!$A$4:$A$10000)))*1,[1]OUT_FinalEnergyCons!M$4:M$10000)&lt;0,0,SUMPRODUCT(([1]OUT_FinalEnergyCons!$B$4:$B$10000="var_cap")*1, (ISNUMBER(SEARCH("RH*-SHCOABR",[1]OUT_FinalEnergyCons!$A$4:$A$10000)))*1,[1]OUT_FinalEnergyCons!M$4:M$10000))</f>
        <v>0</v>
      </c>
      <c r="P1834" s="1" cm="1">
        <f t="array" ref="P1834">IF(SUMPRODUCT(([1]OUT_FinalEnergyCons!$B$4:$B$10000="var_cap")*1, (ISNUMBER(SEARCH("RH*-SHCOABR",[1]OUT_FinalEnergyCons!$A$4:$A$10000)))*1,[1]OUT_FinalEnergyCons!N$4:N$10000)&lt;0,0,SUMPRODUCT(([1]OUT_FinalEnergyCons!$B$4:$B$10000="var_cap")*1, (ISNUMBER(SEARCH("RH*-SHCOABR",[1]OUT_FinalEnergyCons!$A$4:$A$10000)))*1,[1]OUT_FinalEnergyCons!N$4:N$10000))</f>
        <v>0</v>
      </c>
      <c r="Q1834" s="1" cm="1">
        <f t="array" ref="Q1834">IF(SUMPRODUCT(([1]OUT_FinalEnergyCons!$B$4:$B$10000="var_cap")*1, (ISNUMBER(SEARCH("RH*-SHCOABR",[1]OUT_FinalEnergyCons!$A$4:$A$10000)))*1,[1]OUT_FinalEnergyCons!O$4:O$10000)&lt;0,0,SUMPRODUCT(([1]OUT_FinalEnergyCons!$B$4:$B$10000="var_cap")*1, (ISNUMBER(SEARCH("RH*-SHCOABR",[1]OUT_FinalEnergyCons!$A$4:$A$10000)))*1,[1]OUT_FinalEnergyCons!O$4:O$10000))</f>
        <v>0</v>
      </c>
      <c r="S1834" s="3"/>
    </row>
    <row r="1835" spans="2:19" x14ac:dyDescent="0.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0.68965307389039632</v>
      </c>
      <c r="G1835" s="1">
        <f t="shared" ref="G1835:O1835" si="2028">G1836</f>
        <v>0.69811700261832188</v>
      </c>
      <c r="H1835" s="1">
        <f t="shared" si="2028"/>
        <v>0.70386107192548386</v>
      </c>
      <c r="I1835" s="1">
        <f t="shared" si="2028"/>
        <v>0.70385978091718926</v>
      </c>
      <c r="J1835" s="1">
        <f t="shared" si="2028"/>
        <v>0.4685595501799048</v>
      </c>
      <c r="K1835" s="1">
        <f t="shared" si="2028"/>
        <v>0.40870791407361939</v>
      </c>
      <c r="L1835" s="1">
        <f t="shared" si="2028"/>
        <v>0.39827096349779439</v>
      </c>
      <c r="M1835" s="1">
        <f t="shared" si="2028"/>
        <v>0.29962121728640512</v>
      </c>
      <c r="N1835" s="1">
        <f t="shared" si="2028"/>
        <v>0.28456455987830348</v>
      </c>
      <c r="O1835" s="1">
        <f t="shared" si="2028"/>
        <v>0.25520501279919067</v>
      </c>
      <c r="P1835" s="1">
        <f>P1836</f>
        <v>0.22604701078264736</v>
      </c>
      <c r="Q1835" s="1">
        <f>Q1836</f>
        <v>0.14381291241484465</v>
      </c>
      <c r="S1835" s="3"/>
    </row>
    <row r="1836" spans="2:19" x14ac:dyDescent="0.5">
      <c r="B1836" s="5" t="str">
        <f t="shared" ref="B1836:C1836" si="2029">B1835</f>
        <v>SPS1</v>
      </c>
      <c r="C1836" s="5" t="str">
        <f t="shared" si="2029"/>
        <v>CH</v>
      </c>
      <c r="D1836" t="s">
        <v>1872</v>
      </c>
      <c r="E1836" t="str">
        <f t="shared" si="2015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0.68965307389039632</v>
      </c>
      <c r="G1836" s="1" cm="1">
        <f t="array" ref="G1836">SUMPRODUCT(([1]OUT_FinalEnergyCons!$B$4:$B$10000="var_cap")*1, (ISNUMBER(SEARCH("RH*-SHWODBR",[1]OUT_FinalEnergyCons!$A$4:$A$10000)))*1,[1]OUT_FinalEnergyCons!E$4:E$10000)</f>
        <v>0.69811700261832188</v>
      </c>
      <c r="H1836" s="1" cm="1">
        <f t="array" ref="H1836">SUMPRODUCT(([1]OUT_FinalEnergyCons!$B$4:$B$10000="var_cap")*1, (ISNUMBER(SEARCH("RH*-SHWODBR",[1]OUT_FinalEnergyCons!$A$4:$A$10000)))*1,[1]OUT_FinalEnergyCons!F$4:F$10000)</f>
        <v>0.70386107192548386</v>
      </c>
      <c r="I1836" s="1" cm="1">
        <f t="array" ref="I1836">SUMPRODUCT(([1]OUT_FinalEnergyCons!$B$4:$B$10000="var_cap")*1, (ISNUMBER(SEARCH("RH*-SHWODBR",[1]OUT_FinalEnergyCons!$A$4:$A$10000)))*1,[1]OUT_FinalEnergyCons!G$4:G$10000)</f>
        <v>0.70385978091718926</v>
      </c>
      <c r="J1836" s="1" cm="1">
        <f t="array" ref="J1836">SUMPRODUCT(([1]OUT_FinalEnergyCons!$B$4:$B$10000="var_cap")*1, (ISNUMBER(SEARCH("RH*-SHWODBR",[1]OUT_FinalEnergyCons!$A$4:$A$10000)))*1,[1]OUT_FinalEnergyCons!H$4:H$10000)</f>
        <v>0.4685595501799048</v>
      </c>
      <c r="K1836" s="1" cm="1">
        <f t="array" ref="K1836">SUMPRODUCT(([1]OUT_FinalEnergyCons!$B$4:$B$10000="var_cap")*1, (ISNUMBER(SEARCH("RH*-SHWODBR",[1]OUT_FinalEnergyCons!$A$4:$A$10000)))*1,[1]OUT_FinalEnergyCons!I$4:I$10000)</f>
        <v>0.40870791407361939</v>
      </c>
      <c r="L1836" s="1" cm="1">
        <f t="array" ref="L1836">SUMPRODUCT(([1]OUT_FinalEnergyCons!$B$4:$B$10000="var_cap")*1, (ISNUMBER(SEARCH("RH*-SHWODBR",[1]OUT_FinalEnergyCons!$A$4:$A$10000)))*1,[1]OUT_FinalEnergyCons!J$4:J$10000)</f>
        <v>0.39827096349779439</v>
      </c>
      <c r="M1836" s="1" cm="1">
        <f t="array" ref="M1836">SUMPRODUCT(([1]OUT_FinalEnergyCons!$B$4:$B$10000="var_cap")*1, (ISNUMBER(SEARCH("RH*-SHWODBR",[1]OUT_FinalEnergyCons!$A$4:$A$10000)))*1,[1]OUT_FinalEnergyCons!K$4:K$10000)</f>
        <v>0.29962121728640512</v>
      </c>
      <c r="N1836" s="1" cm="1">
        <f t="array" ref="N1836">SUMPRODUCT(([1]OUT_FinalEnergyCons!$B$4:$B$10000="var_cap")*1, (ISNUMBER(SEARCH("RH*-SHWODBR",[1]OUT_FinalEnergyCons!$A$4:$A$10000)))*1,[1]OUT_FinalEnergyCons!L$4:L$10000)</f>
        <v>0.28456455987830348</v>
      </c>
      <c r="O1836" s="1" cm="1">
        <f t="array" ref="O1836">SUMPRODUCT(([1]OUT_FinalEnergyCons!$B$4:$B$10000="var_cap")*1, (ISNUMBER(SEARCH("RH*-SHWODBR",[1]OUT_FinalEnergyCons!$A$4:$A$10000)))*1,[1]OUT_FinalEnergyCons!M$4:M$10000)</f>
        <v>0.25520501279919067</v>
      </c>
      <c r="P1836" s="1" cm="1">
        <f t="array" ref="P1836">SUMPRODUCT(([1]OUT_FinalEnergyCons!$B$4:$B$10000="var_cap")*1, (ISNUMBER(SEARCH("RH*-SHWODBR",[1]OUT_FinalEnergyCons!$A$4:$A$10000)))*1,[1]OUT_FinalEnergyCons!N$4:N$10000)</f>
        <v>0.22604701078264736</v>
      </c>
      <c r="Q1836" s="1" cm="1">
        <f t="array" ref="Q1836">SUMPRODUCT(([1]OUT_FinalEnergyCons!$B$4:$B$10000="var_cap")*1, (ISNUMBER(SEARCH("RH*-SHWODBR",[1]OUT_FinalEnergyCons!$A$4:$A$10000)))*1,[1]OUT_FinalEnergyCons!O$4:O$10000)</f>
        <v>0.14381291241484465</v>
      </c>
      <c r="S1836" s="3"/>
    </row>
    <row r="1837" spans="2:19" x14ac:dyDescent="0.5">
      <c r="B1837" s="5" t="str">
        <f t="shared" ref="B1837:C1837" si="2030">B1836</f>
        <v>SPS1</v>
      </c>
      <c r="C1837" s="5" t="str">
        <f t="shared" si="2030"/>
        <v>CH</v>
      </c>
      <c r="D1837" t="s">
        <v>1873</v>
      </c>
      <c r="E1837" t="str">
        <f t="shared" si="2015"/>
        <v>GWth/yr.</v>
      </c>
      <c r="F1837" s="1">
        <f>F1838</f>
        <v>0.20446424163624682</v>
      </c>
      <c r="G1837" s="1">
        <f t="shared" ref="G1837:O1837" si="2031">G1838</f>
        <v>0.24041775220450923</v>
      </c>
      <c r="H1837" s="1">
        <f t="shared" si="2031"/>
        <v>0.24049254124247241</v>
      </c>
      <c r="I1837" s="1">
        <f t="shared" si="2031"/>
        <v>0.25125909060596396</v>
      </c>
      <c r="J1837" s="1">
        <f t="shared" si="2031"/>
        <v>0.25950548646903521</v>
      </c>
      <c r="K1837" s="1">
        <f t="shared" si="2031"/>
        <v>0.26534663338788506</v>
      </c>
      <c r="L1837" s="1">
        <f t="shared" si="2031"/>
        <v>0.27134479787545118</v>
      </c>
      <c r="M1837" s="1">
        <f t="shared" si="2031"/>
        <v>0.27528627652172516</v>
      </c>
      <c r="N1837" s="1">
        <f t="shared" si="2031"/>
        <v>0.27833819227744949</v>
      </c>
      <c r="O1837" s="1">
        <f t="shared" si="2031"/>
        <v>0.28180901230062005</v>
      </c>
      <c r="P1837" s="1">
        <f>P1838</f>
        <v>0.28117985259184441</v>
      </c>
      <c r="Q1837" s="1">
        <f>Q1838</f>
        <v>0.28139083409062243</v>
      </c>
      <c r="S1837" s="3"/>
    </row>
    <row r="1838" spans="2:19" x14ac:dyDescent="0.5">
      <c r="B1838" s="5" t="str">
        <f t="shared" ref="B1838:C1838" si="2032">B1837</f>
        <v>SPS1</v>
      </c>
      <c r="C1838" s="5" t="str">
        <f t="shared" si="2032"/>
        <v>CH</v>
      </c>
      <c r="D1838" t="s">
        <v>1874</v>
      </c>
      <c r="E1838" t="str">
        <f t="shared" si="2015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0.20446424163624682</v>
      </c>
      <c r="G1838" s="1" cm="1">
        <f t="array" ref="G1838">SUMPRODUCT(([1]OUT_FinalEnergyCons!$B$4:$B$10000="var_cap")*1, (ISNUMBER(SEARCH("RH*-SHPLTBR",[1]OUT_FinalEnergyCons!$A$4:$A$10000)))*1,[1]OUT_FinalEnergyCons!E$4:E$10000)</f>
        <v>0.24041775220450923</v>
      </c>
      <c r="H1838" s="1" cm="1">
        <f t="array" ref="H1838">SUMPRODUCT(([1]OUT_FinalEnergyCons!$B$4:$B$10000="var_cap")*1, (ISNUMBER(SEARCH("RH*-SHPLTBR",[1]OUT_FinalEnergyCons!$A$4:$A$10000)))*1,[1]OUT_FinalEnergyCons!F$4:F$10000)</f>
        <v>0.24049254124247241</v>
      </c>
      <c r="I1838" s="1" cm="1">
        <f t="array" ref="I1838">SUMPRODUCT(([1]OUT_FinalEnergyCons!$B$4:$B$10000="var_cap")*1, (ISNUMBER(SEARCH("RH*-SHPLTBR",[1]OUT_FinalEnergyCons!$A$4:$A$10000)))*1,[1]OUT_FinalEnergyCons!G$4:G$10000)</f>
        <v>0.25125909060596396</v>
      </c>
      <c r="J1838" s="1" cm="1">
        <f t="array" ref="J1838">SUMPRODUCT(([1]OUT_FinalEnergyCons!$B$4:$B$10000="var_cap")*1, (ISNUMBER(SEARCH("RH*-SHPLTBR",[1]OUT_FinalEnergyCons!$A$4:$A$10000)))*1,[1]OUT_FinalEnergyCons!H$4:H$10000)</f>
        <v>0.25950548646903521</v>
      </c>
      <c r="K1838" s="1" cm="1">
        <f t="array" ref="K1838">SUMPRODUCT(([1]OUT_FinalEnergyCons!$B$4:$B$10000="var_cap")*1, (ISNUMBER(SEARCH("RH*-SHPLTBR",[1]OUT_FinalEnergyCons!$A$4:$A$10000)))*1,[1]OUT_FinalEnergyCons!I$4:I$10000)</f>
        <v>0.26534663338788506</v>
      </c>
      <c r="L1838" s="1" cm="1">
        <f t="array" ref="L1838">SUMPRODUCT(([1]OUT_FinalEnergyCons!$B$4:$B$10000="var_cap")*1, (ISNUMBER(SEARCH("RH*-SHPLTBR",[1]OUT_FinalEnergyCons!$A$4:$A$10000)))*1,[1]OUT_FinalEnergyCons!J$4:J$10000)</f>
        <v>0.27134479787545118</v>
      </c>
      <c r="M1838" s="1" cm="1">
        <f t="array" ref="M1838">SUMPRODUCT(([1]OUT_FinalEnergyCons!$B$4:$B$10000="var_cap")*1, (ISNUMBER(SEARCH("RH*-SHPLTBR",[1]OUT_FinalEnergyCons!$A$4:$A$10000)))*1,[1]OUT_FinalEnergyCons!K$4:K$10000)</f>
        <v>0.27528627652172516</v>
      </c>
      <c r="N1838" s="1" cm="1">
        <f t="array" ref="N1838">SUMPRODUCT(([1]OUT_FinalEnergyCons!$B$4:$B$10000="var_cap")*1, (ISNUMBER(SEARCH("RH*-SHPLTBR",[1]OUT_FinalEnergyCons!$A$4:$A$10000)))*1,[1]OUT_FinalEnergyCons!L$4:L$10000)</f>
        <v>0.27833819227744949</v>
      </c>
      <c r="O1838" s="1" cm="1">
        <f t="array" ref="O1838">SUMPRODUCT(([1]OUT_FinalEnergyCons!$B$4:$B$10000="var_cap")*1, (ISNUMBER(SEARCH("RH*-SHPLTBR",[1]OUT_FinalEnergyCons!$A$4:$A$10000)))*1,[1]OUT_FinalEnergyCons!M$4:M$10000)</f>
        <v>0.28180901230062005</v>
      </c>
      <c r="P1838" s="1" cm="1">
        <f t="array" ref="P1838">SUMPRODUCT(([1]OUT_FinalEnergyCons!$B$4:$B$10000="var_cap")*1, (ISNUMBER(SEARCH("RH*-SHPLTBR",[1]OUT_FinalEnergyCons!$A$4:$A$10000)))*1,[1]OUT_FinalEnergyCons!N$4:N$10000)</f>
        <v>0.28117985259184441</v>
      </c>
      <c r="Q1838" s="1" cm="1">
        <f t="array" ref="Q1838">SUMPRODUCT(([1]OUT_FinalEnergyCons!$B$4:$B$10000="var_cap")*1, (ISNUMBER(SEARCH("RH*-SHPLTBR",[1]OUT_FinalEnergyCons!$A$4:$A$10000)))*1,[1]OUT_FinalEnergyCons!O$4:O$10000)</f>
        <v>0.28139083409062243</v>
      </c>
      <c r="S1838" s="3"/>
    </row>
    <row r="1839" spans="2:19" x14ac:dyDescent="0.5">
      <c r="B1839" s="5" t="str">
        <f t="shared" ref="B1839:C1839" si="2033">B1838</f>
        <v>SPS1</v>
      </c>
      <c r="C1839" s="5" t="str">
        <f t="shared" si="2033"/>
        <v>CH</v>
      </c>
      <c r="D1839" t="s">
        <v>1875</v>
      </c>
      <c r="E1839" t="str">
        <f t="shared" si="2015"/>
        <v>GWth/yr.</v>
      </c>
      <c r="F1839" s="1">
        <f>F1840</f>
        <v>0.11420651637789805</v>
      </c>
      <c r="G1839" s="1">
        <f t="shared" ref="G1839:O1839" si="2034">G1840</f>
        <v>0.13723792084853048</v>
      </c>
      <c r="H1839" s="1">
        <f t="shared" si="2034"/>
        <v>0.13746975943534651</v>
      </c>
      <c r="I1839" s="1">
        <f t="shared" si="2034"/>
        <v>0.13749371139126193</v>
      </c>
      <c r="J1839" s="1">
        <f t="shared" si="2034"/>
        <v>0.13392842000260247</v>
      </c>
      <c r="K1839" s="1">
        <f t="shared" si="2034"/>
        <v>0.13043187130377443</v>
      </c>
      <c r="L1839" s="1">
        <f t="shared" si="2034"/>
        <v>0.13038908490420378</v>
      </c>
      <c r="M1839" s="1">
        <f t="shared" si="2034"/>
        <v>0.1293198275308971</v>
      </c>
      <c r="N1839" s="1">
        <f t="shared" si="2034"/>
        <v>0.1272895272622443</v>
      </c>
      <c r="O1839" s="1">
        <f t="shared" si="2034"/>
        <v>0.12708975323991639</v>
      </c>
      <c r="P1839" s="1">
        <f>P1840</f>
        <v>0.12477545065673185</v>
      </c>
      <c r="Q1839" s="1">
        <f>Q1840</f>
        <v>0.12299742475762479</v>
      </c>
      <c r="S1839" s="3"/>
    </row>
    <row r="1840" spans="2:19" x14ac:dyDescent="0.5">
      <c r="B1840" s="5" t="str">
        <f t="shared" ref="B1840:C1840" si="2035">B1839</f>
        <v>SPS1</v>
      </c>
      <c r="C1840" s="5" t="str">
        <f t="shared" si="2035"/>
        <v>CH</v>
      </c>
      <c r="D1840" t="s">
        <v>1876</v>
      </c>
      <c r="E1840" t="str">
        <f t="shared" si="2015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0.11420651637789805</v>
      </c>
      <c r="G1840" s="1" cm="1">
        <f t="array" ref="G1840">SUMPRODUCT(([1]OUT_FinalEnergyCons!$B$4:$B$10000="var_cap")*1, (ISNUMBER(SEARCH("RH*-SHSOLBR",[1]OUT_FinalEnergyCons!$A$4:$A$10000)))*1,[1]OUT_FinalEnergyCons!E$4:E$10000)</f>
        <v>0.13723792084853048</v>
      </c>
      <c r="H1840" s="1" cm="1">
        <f t="array" ref="H1840">SUMPRODUCT(([1]OUT_FinalEnergyCons!$B$4:$B$10000="var_cap")*1, (ISNUMBER(SEARCH("RH*-SHSOLBR",[1]OUT_FinalEnergyCons!$A$4:$A$10000)))*1,[1]OUT_FinalEnergyCons!F$4:F$10000)</f>
        <v>0.13746975943534651</v>
      </c>
      <c r="I1840" s="1" cm="1">
        <f t="array" ref="I1840">SUMPRODUCT(([1]OUT_FinalEnergyCons!$B$4:$B$10000="var_cap")*1, (ISNUMBER(SEARCH("RH*-SHSOLBR",[1]OUT_FinalEnergyCons!$A$4:$A$10000)))*1,[1]OUT_FinalEnergyCons!G$4:G$10000)</f>
        <v>0.13749371139126193</v>
      </c>
      <c r="J1840" s="1" cm="1">
        <f t="array" ref="J1840">SUMPRODUCT(([1]OUT_FinalEnergyCons!$B$4:$B$10000="var_cap")*1, (ISNUMBER(SEARCH("RH*-SHSOLBR",[1]OUT_FinalEnergyCons!$A$4:$A$10000)))*1,[1]OUT_FinalEnergyCons!H$4:H$10000)</f>
        <v>0.13392842000260247</v>
      </c>
      <c r="K1840" s="1" cm="1">
        <f t="array" ref="K1840">SUMPRODUCT(([1]OUT_FinalEnergyCons!$B$4:$B$10000="var_cap")*1, (ISNUMBER(SEARCH("RH*-SHSOLBR",[1]OUT_FinalEnergyCons!$A$4:$A$10000)))*1,[1]OUT_FinalEnergyCons!I$4:I$10000)</f>
        <v>0.13043187130377443</v>
      </c>
      <c r="L1840" s="1" cm="1">
        <f t="array" ref="L1840">SUMPRODUCT(([1]OUT_FinalEnergyCons!$B$4:$B$10000="var_cap")*1, (ISNUMBER(SEARCH("RH*-SHSOLBR",[1]OUT_FinalEnergyCons!$A$4:$A$10000)))*1,[1]OUT_FinalEnergyCons!J$4:J$10000)</f>
        <v>0.13038908490420378</v>
      </c>
      <c r="M1840" s="1" cm="1">
        <f t="array" ref="M1840">SUMPRODUCT(([1]OUT_FinalEnergyCons!$B$4:$B$10000="var_cap")*1, (ISNUMBER(SEARCH("RH*-SHSOLBR",[1]OUT_FinalEnergyCons!$A$4:$A$10000)))*1,[1]OUT_FinalEnergyCons!K$4:K$10000)</f>
        <v>0.1293198275308971</v>
      </c>
      <c r="N1840" s="1" cm="1">
        <f t="array" ref="N1840">SUMPRODUCT(([1]OUT_FinalEnergyCons!$B$4:$B$10000="var_cap")*1, (ISNUMBER(SEARCH("RH*-SHSOLBR",[1]OUT_FinalEnergyCons!$A$4:$A$10000)))*1,[1]OUT_FinalEnergyCons!L$4:L$10000)</f>
        <v>0.1272895272622443</v>
      </c>
      <c r="O1840" s="1" cm="1">
        <f t="array" ref="O1840">SUMPRODUCT(([1]OUT_FinalEnergyCons!$B$4:$B$10000="var_cap")*1, (ISNUMBER(SEARCH("RH*-SHSOLBR",[1]OUT_FinalEnergyCons!$A$4:$A$10000)))*1,[1]OUT_FinalEnergyCons!M$4:M$10000)</f>
        <v>0.12708975323991639</v>
      </c>
      <c r="P1840" s="1" cm="1">
        <f t="array" ref="P1840">SUMPRODUCT(([1]OUT_FinalEnergyCons!$B$4:$B$10000="var_cap")*1, (ISNUMBER(SEARCH("RH*-SHSOLBR",[1]OUT_FinalEnergyCons!$A$4:$A$10000)))*1,[1]OUT_FinalEnergyCons!N$4:N$10000)</f>
        <v>0.12477545065673185</v>
      </c>
      <c r="Q1840" s="1" cm="1">
        <f t="array" ref="Q1840">SUMPRODUCT(([1]OUT_FinalEnergyCons!$B$4:$B$10000="var_cap")*1, (ISNUMBER(SEARCH("RH*-SHSOLBR",[1]OUT_FinalEnergyCons!$A$4:$A$10000)))*1,[1]OUT_FinalEnergyCons!O$4:O$10000)</f>
        <v>0.12299742475762479</v>
      </c>
      <c r="S1840" s="3"/>
    </row>
    <row r="1841" spans="2:19" x14ac:dyDescent="0.5">
      <c r="B1841" s="5" t="str">
        <f t="shared" ref="B1841:C1841" si="2036">B1840</f>
        <v>SPS1</v>
      </c>
      <c r="C1841" s="5" t="str">
        <f t="shared" si="2036"/>
        <v>CH</v>
      </c>
      <c r="D1841" t="s">
        <v>1877</v>
      </c>
      <c r="E1841" t="str">
        <f t="shared" si="2015"/>
        <v>GWth/yr.</v>
      </c>
      <c r="F1841" s="1">
        <f>F1842</f>
        <v>0</v>
      </c>
      <c r="G1841" s="1">
        <f t="shared" ref="G1841:O1841" si="2037">G1842</f>
        <v>0</v>
      </c>
      <c r="H1841" s="1">
        <f t="shared" si="2037"/>
        <v>0</v>
      </c>
      <c r="I1841" s="1">
        <f t="shared" si="2037"/>
        <v>0</v>
      </c>
      <c r="J1841" s="1">
        <f t="shared" si="2037"/>
        <v>0</v>
      </c>
      <c r="K1841" s="1">
        <f t="shared" si="2037"/>
        <v>0</v>
      </c>
      <c r="L1841" s="1">
        <f t="shared" si="2037"/>
        <v>0</v>
      </c>
      <c r="M1841" s="1">
        <f t="shared" si="2037"/>
        <v>0</v>
      </c>
      <c r="N1841" s="1">
        <f t="shared" si="2037"/>
        <v>0</v>
      </c>
      <c r="O1841" s="1">
        <f t="shared" si="2037"/>
        <v>0</v>
      </c>
      <c r="P1841" s="1">
        <f>P1842</f>
        <v>0</v>
      </c>
      <c r="Q1841" s="1">
        <f>Q1842</f>
        <v>0</v>
      </c>
      <c r="S1841" s="3"/>
    </row>
    <row r="1842" spans="2:19" x14ac:dyDescent="0.5">
      <c r="B1842" s="5" t="str">
        <f t="shared" ref="B1842:C1842" si="2038">B1841</f>
        <v>SPS1</v>
      </c>
      <c r="C1842" s="5" t="str">
        <f t="shared" si="2038"/>
        <v>CH</v>
      </c>
      <c r="D1842" t="s">
        <v>1878</v>
      </c>
      <c r="E1842" t="str">
        <f t="shared" si="2015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SUMPRODUCT(([1]OUT_FinalEnergyCons!$B$4:$B$10000="var_cap")*1, (ISNUMBER(SEARCH("RH*-SHH2BR",[1]OUT_FinalEnergyCons!$A$4:$A$10000)))*1,[1]OUT_FinalEnergyCons!H$4:H$10000)</f>
        <v>0</v>
      </c>
      <c r="K1842" s="1" cm="1">
        <f t="array" ref="K1842">SUMPRODUCT(([1]OUT_FinalEnergyCons!$B$4:$B$10000="var_cap")*1, (ISNUMBER(SEARCH("RH*-SHH2BR",[1]OUT_FinalEnergyCons!$A$4:$A$10000)))*1,[1]OUT_FinalEnergyCons!I$4:I$10000)</f>
        <v>0</v>
      </c>
      <c r="L1842" s="1" cm="1">
        <f t="array" ref="L1842">SUMPRODUCT(([1]OUT_FinalEnergyCons!$B$4:$B$10000="var_cap")*1, (ISNUMBER(SEARCH("RH*-SHH2BR",[1]OUT_FinalEnergyCons!$A$4:$A$10000)))*1,[1]OUT_FinalEnergyCons!J$4:J$10000)</f>
        <v>0</v>
      </c>
      <c r="M1842" s="1" cm="1">
        <f t="array" ref="M1842">SUMPRODUCT(([1]OUT_FinalEnergyCons!$B$4:$B$10000="var_cap")*1, (ISNUMBER(SEARCH("RH*-SHH2BR",[1]OUT_FinalEnergyCons!$A$4:$A$10000)))*1,[1]OUT_FinalEnergyCons!K$4:K$10000)</f>
        <v>0</v>
      </c>
      <c r="N1842" s="1" cm="1">
        <f t="array" ref="N1842">SUMPRODUCT(([1]OUT_FinalEnergyCons!$B$4:$B$10000="var_cap")*1, (ISNUMBER(SEARCH("RH*-SHH2BR",[1]OUT_FinalEnergyCons!$A$4:$A$10000)))*1,[1]OUT_FinalEnergyCons!L$4:L$10000)</f>
        <v>0</v>
      </c>
      <c r="O1842" s="1" cm="1">
        <f t="array" ref="O1842">SUMPRODUCT(([1]OUT_FinalEnergyCons!$B$4:$B$10000="var_cap")*1, (ISNUMBER(SEARCH("RH*-SHH2BR",[1]OUT_FinalEnergyCons!$A$4:$A$10000)))*1,[1]OUT_FinalEnergyCons!M$4:M$10000)</f>
        <v>0</v>
      </c>
      <c r="P1842" s="1" cm="1">
        <f t="array" ref="P1842">SUMPRODUCT(([1]OUT_FinalEnergyCons!$B$4:$B$10000="var_cap")*1, (ISNUMBER(SEARCH("RH*-SHH2BR",[1]OUT_FinalEnergyCons!$A$4:$A$10000)))*1,[1]OUT_FinalEnergyCons!N$4:N$10000)</f>
        <v>0</v>
      </c>
      <c r="Q1842" s="1" cm="1">
        <f t="array" ref="Q1842">SUMPRODUCT(([1]OUT_FinalEnergyCons!$B$4:$B$10000="var_cap")*1, (ISNUMBER(SEARCH("RH*-SHH2BR",[1]OUT_FinalEnergyCons!$A$4:$A$10000)))*1,[1]OUT_FinalEnergyCons!O$4:O$10000)</f>
        <v>0</v>
      </c>
      <c r="S1842" s="3"/>
    </row>
    <row r="1843" spans="2:19" x14ac:dyDescent="0.5">
      <c r="B1843" s="5" t="str">
        <f t="shared" ref="B1843:C1843" si="2039">B1842</f>
        <v>SPS1</v>
      </c>
      <c r="C1843" s="5" t="str">
        <f t="shared" si="2039"/>
        <v>CH</v>
      </c>
      <c r="D1843" t="s">
        <v>1879</v>
      </c>
      <c r="E1843" t="str">
        <f t="shared" si="2015"/>
        <v>GWth/yr.</v>
      </c>
      <c r="F1843" s="1">
        <f>SUM(F1844,F1847,F1849,F1852,F1854,F1856,F1858,F1860)</f>
        <v>1.8609896533159633</v>
      </c>
      <c r="G1843" s="1">
        <f t="shared" ref="G1843" si="2040">SUM(G1844,G1847,G1849,G1852,G1854,G1856,G1858,G1860)</f>
        <v>2.0187516932230789</v>
      </c>
      <c r="H1843" s="1">
        <f t="shared" ref="H1843" si="2041">SUM(H1844,H1847,H1849,H1852,H1854,H1856,H1858,H1860)</f>
        <v>1.9906553024594302</v>
      </c>
      <c r="I1843" s="1">
        <f t="shared" ref="I1843" si="2042">SUM(I1844,I1847,I1849,I1852,I1854,I1856,I1858,I1860)</f>
        <v>2.0709398077795789</v>
      </c>
      <c r="J1843" s="1">
        <f t="shared" ref="J1843" si="2043">SUM(J1844,J1847,J1849,J1852,J1854,J1856,J1858,J1860)</f>
        <v>1.7855685582706966</v>
      </c>
      <c r="K1843" s="1">
        <f t="shared" ref="K1843" si="2044">SUM(K1844,K1847,K1849,K1852,K1854,K1856,K1858,K1860)</f>
        <v>1.7453274579241274</v>
      </c>
      <c r="L1843" s="1">
        <f t="shared" ref="L1843:O1843" si="2045">SUM(L1844,L1847,L1849,L1852,L1854,L1856,L1858,L1860)</f>
        <v>1.7617377731674253</v>
      </c>
      <c r="M1843" s="1">
        <f t="shared" si="2045"/>
        <v>1.6860821464094933</v>
      </c>
      <c r="N1843" s="1">
        <f t="shared" si="2045"/>
        <v>1.724201406764063</v>
      </c>
      <c r="O1843" s="1">
        <f t="shared" si="2045"/>
        <v>1.6769550713683723</v>
      </c>
      <c r="P1843" s="1">
        <f>SUM(P1844,P1847,P1849,P1852,P1854,P1856,P1858,P1860)</f>
        <v>1.6431792089225077</v>
      </c>
      <c r="Q1843" s="1">
        <f>SUM(Q1844,Q1847,Q1849,Q1852,Q1854,Q1856,Q1858,Q1860)</f>
        <v>1.6079295695932365</v>
      </c>
      <c r="S1843" s="3"/>
    </row>
    <row r="1844" spans="2:19" x14ac:dyDescent="0.5">
      <c r="B1844" s="5" t="str">
        <f t="shared" ref="B1844:C1844" si="2046">B1843</f>
        <v>SPS1</v>
      </c>
      <c r="C1844" s="5" t="str">
        <f t="shared" si="2046"/>
        <v>CH</v>
      </c>
      <c r="D1844" t="s">
        <v>1880</v>
      </c>
      <c r="E1844" t="str">
        <f t="shared" si="2015"/>
        <v>GWth/yr.</v>
      </c>
      <c r="F1844" s="1">
        <f>SUM(F1845:F1846)</f>
        <v>0.65093154479381887</v>
      </c>
      <c r="G1844" s="1">
        <f t="shared" ref="G1844" si="2047">SUM(G1845:G1846)</f>
        <v>0.71898543007654281</v>
      </c>
      <c r="H1844" s="1">
        <f t="shared" ref="H1844" si="2048">SUM(H1845:H1846)</f>
        <v>0.8103605580222667</v>
      </c>
      <c r="I1844" s="1">
        <f t="shared" ref="I1844" si="2049">SUM(I1845:I1846)</f>
        <v>0.88241445205805269</v>
      </c>
      <c r="J1844" s="1">
        <f t="shared" ref="J1844" si="2050">SUM(J1845:J1846)</f>
        <v>0.81062864088823439</v>
      </c>
      <c r="K1844" s="1">
        <f t="shared" ref="K1844" si="2051">SUM(K1845:K1846)</f>
        <v>0.79577410199864396</v>
      </c>
      <c r="L1844" s="1">
        <f t="shared" ref="L1844:O1844" si="2052">SUM(L1845:L1846)</f>
        <v>0.81738908441381208</v>
      </c>
      <c r="M1844" s="1">
        <f t="shared" si="2052"/>
        <v>0.70065764842139799</v>
      </c>
      <c r="N1844" s="1">
        <f t="shared" si="2052"/>
        <v>0.75754576569430676</v>
      </c>
      <c r="O1844" s="1">
        <f t="shared" si="2052"/>
        <v>0.75670445075185322</v>
      </c>
      <c r="P1844" s="1">
        <f>SUM(P1845:P1846)</f>
        <v>0.65242881680006415</v>
      </c>
      <c r="Q1844" s="1">
        <f>SUM(Q1845:Q1846)</f>
        <v>0.73726304796582176</v>
      </c>
      <c r="S1844" s="3"/>
    </row>
    <row r="1845" spans="2:19" x14ac:dyDescent="0.5">
      <c r="B1845" s="5" t="str">
        <f t="shared" ref="B1845:C1845" si="2053">B1844</f>
        <v>SPS1</v>
      </c>
      <c r="C1845" s="5" t="str">
        <f t="shared" si="2053"/>
        <v>CH</v>
      </c>
      <c r="D1845" t="s">
        <v>1881</v>
      </c>
      <c r="E1845" t="str">
        <f t="shared" si="2015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0.43757681063791781</v>
      </c>
      <c r="G1845" s="1" cm="1">
        <f t="array" ref="G1845">SUMPRODUCT(([1]OUT_FinalEnergyCons!$B$4:$B$10000="var_cap")*1,(ISNUMBER(SEARCH("RH*-WHELCBR",[1]OUT_FinalEnergyCons!$A$4:$A$10000)))*1,[1]OUT_FinalEnergyCons!E$4:E$10000)</f>
        <v>0.47285677117867825</v>
      </c>
      <c r="H1845" s="1" cm="1">
        <f t="array" ref="H1845">SUMPRODUCT(([1]OUT_FinalEnergyCons!$B$4:$B$10000="var_cap")*1,(ISNUMBER(SEARCH("RH*-WHELCBR",[1]OUT_FinalEnergyCons!$A$4:$A$10000)))*1,[1]OUT_FinalEnergyCons!F$4:F$10000)</f>
        <v>0.47285794730622499</v>
      </c>
      <c r="I1845" s="1" cm="1">
        <f t="array" ref="I1845">SUMPRODUCT(([1]OUT_FinalEnergyCons!$B$4:$B$10000="var_cap")*1,(ISNUMBER(SEARCH("RH*-WHELCBR",[1]OUT_FinalEnergyCons!$A$4:$A$10000)))*1,[1]OUT_FinalEnergyCons!G$4:G$10000)</f>
        <v>0.47285704295354269</v>
      </c>
      <c r="J1845" s="1" cm="1">
        <f t="array" ref="J1845">SUMPRODUCT(([1]OUT_FinalEnergyCons!$B$4:$B$10000="var_cap")*1,(ISNUMBER(SEARCH("RH*-WHELCBR",[1]OUT_FinalEnergyCons!$A$4:$A$10000)))*1,[1]OUT_FinalEnergyCons!H$4:H$10000)</f>
        <v>0.28067360163502147</v>
      </c>
      <c r="K1845" s="1" cm="1">
        <f t="array" ref="K1845">SUMPRODUCT(([1]OUT_FinalEnergyCons!$B$4:$B$10000="var_cap")*1,(ISNUMBER(SEARCH("RH*-WHELCBR",[1]OUT_FinalEnergyCons!$A$4:$A$10000)))*1,[1]OUT_FinalEnergyCons!I$4:I$10000)</f>
        <v>0.24851051031888433</v>
      </c>
      <c r="L1845" s="1" cm="1">
        <f t="array" ref="L1845">SUMPRODUCT(([1]OUT_FinalEnergyCons!$B$4:$B$10000="var_cap")*1,(ISNUMBER(SEARCH("RH*-WHELCBR",[1]OUT_FinalEnergyCons!$A$4:$A$10000)))*1,[1]OUT_FinalEnergyCons!J$4:J$10000)</f>
        <v>0.24851293250154088</v>
      </c>
      <c r="M1845" s="1" cm="1">
        <f t="array" ref="M1845">SUMPRODUCT(([1]OUT_FinalEnergyCons!$B$4:$B$10000="var_cap")*1,(ISNUMBER(SEARCH("RH*-WHELCBR",[1]OUT_FinalEnergyCons!$A$4:$A$10000)))*1,[1]OUT_FinalEnergyCons!K$4:K$10000)</f>
        <v>0.12949141993830512</v>
      </c>
      <c r="N1845" s="1" cm="1">
        <f t="array" ref="N1845">SUMPRODUCT(([1]OUT_FinalEnergyCons!$B$4:$B$10000="var_cap")*1,(ISNUMBER(SEARCH("RH*-WHELCBR",[1]OUT_FinalEnergyCons!$A$4:$A$10000)))*1,[1]OUT_FinalEnergyCons!L$4:L$10000)</f>
        <v>4.5374864382657067E-2</v>
      </c>
      <c r="O1845" s="1" cm="1">
        <f t="array" ref="O1845">SUMPRODUCT(([1]OUT_FinalEnergyCons!$B$4:$B$10000="var_cap")*1,(ISNUMBER(SEARCH("RH*-WHELCBR",[1]OUT_FinalEnergyCons!$A$4:$A$10000)))*1,[1]OUT_FinalEnergyCons!M$4:M$10000)</f>
        <v>3.5373764607939749E-2</v>
      </c>
      <c r="P1845" s="1" cm="1">
        <f t="array" ref="P1845">SUMPRODUCT(([1]OUT_FinalEnergyCons!$B$4:$B$10000="var_cap")*1,(ISNUMBER(SEARCH("RH*-WHELCBR",[1]OUT_FinalEnergyCons!$A$4:$A$10000)))*1,[1]OUT_FinalEnergyCons!N$4:N$10000)</f>
        <v>3.1665992603014045E-2</v>
      </c>
      <c r="Q1845" s="1" cm="1">
        <f t="array" ref="Q1845">SUMPRODUCT(([1]OUT_FinalEnergyCons!$B$4:$B$10000="var_cap")*1,(ISNUMBER(SEARCH("RH*-WHELCBR",[1]OUT_FinalEnergyCons!$A$4:$A$10000)))*1,[1]OUT_FinalEnergyCons!O$4:O$10000)</f>
        <v>2.6517592680273955E-2</v>
      </c>
      <c r="S1845" s="3"/>
    </row>
    <row r="1846" spans="2:19" x14ac:dyDescent="0.5">
      <c r="B1846" s="5" t="str">
        <f t="shared" ref="B1846:C1846" si="2054">B1845</f>
        <v>SPS1</v>
      </c>
      <c r="C1846" s="5" t="str">
        <f t="shared" si="2054"/>
        <v>CH</v>
      </c>
      <c r="D1846" t="s">
        <v>1882</v>
      </c>
      <c r="E1846" t="str">
        <f t="shared" si="2015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0.213354734155901</v>
      </c>
      <c r="G1846" s="1" cm="1">
        <f t="array" ref="G1846">SUMPRODUCT(([1]OUT_FinalEnergyCons!$B$4:$B$10000="var_cap")*1,ISNUMBER(SEARCH("RH*-WHELCHP",[1]OUT_FinalEnergyCons!$A$4:$A$10000))*1,[1]OUT_FinalEnergyCons!E$4:E$10000)</f>
        <v>0.24612865889786453</v>
      </c>
      <c r="H1846" s="1" cm="1">
        <f t="array" ref="H1846">SUMPRODUCT(([1]OUT_FinalEnergyCons!$B$4:$B$10000="var_cap")*1,ISNUMBER(SEARCH("RH*-WHELCHP",[1]OUT_FinalEnergyCons!$A$4:$A$10000))*1,[1]OUT_FinalEnergyCons!F$4:F$10000)</f>
        <v>0.33750261071604171</v>
      </c>
      <c r="I1846" s="1" cm="1">
        <f t="array" ref="I1846">SUMPRODUCT(([1]OUT_FinalEnergyCons!$B$4:$B$10000="var_cap")*1,ISNUMBER(SEARCH("RH*-WHELCHP",[1]OUT_FinalEnergyCons!$A$4:$A$10000))*1,[1]OUT_FinalEnergyCons!G$4:G$10000)</f>
        <v>0.40955740910451</v>
      </c>
      <c r="J1846" s="1" cm="1">
        <f t="array" ref="J1846">SUMPRODUCT(([1]OUT_FinalEnergyCons!$B$4:$B$10000="var_cap")*1,ISNUMBER(SEARCH("RH*-WHELCHP",[1]OUT_FinalEnergyCons!$A$4:$A$10000))*1,[1]OUT_FinalEnergyCons!H$4:H$10000)</f>
        <v>0.52995503925321297</v>
      </c>
      <c r="K1846" s="1" cm="1">
        <f t="array" ref="K1846">SUMPRODUCT(([1]OUT_FinalEnergyCons!$B$4:$B$10000="var_cap")*1,ISNUMBER(SEARCH("RH*-WHELCHP",[1]OUT_FinalEnergyCons!$A$4:$A$10000))*1,[1]OUT_FinalEnergyCons!I$4:I$10000)</f>
        <v>0.54726359167975958</v>
      </c>
      <c r="L1846" s="1" cm="1">
        <f t="array" ref="L1846">SUMPRODUCT(([1]OUT_FinalEnergyCons!$B$4:$B$10000="var_cap")*1,ISNUMBER(SEARCH("RH*-WHELCHP",[1]OUT_FinalEnergyCons!$A$4:$A$10000))*1,[1]OUT_FinalEnergyCons!J$4:J$10000)</f>
        <v>0.56887615191227126</v>
      </c>
      <c r="M1846" s="1" cm="1">
        <f t="array" ref="M1846">SUMPRODUCT(([1]OUT_FinalEnergyCons!$B$4:$B$10000="var_cap")*1,ISNUMBER(SEARCH("RH*-WHELCHP",[1]OUT_FinalEnergyCons!$A$4:$A$10000))*1,[1]OUT_FinalEnergyCons!K$4:K$10000)</f>
        <v>0.57116622848309284</v>
      </c>
      <c r="N1846" s="1" cm="1">
        <f t="array" ref="N1846">SUMPRODUCT(([1]OUT_FinalEnergyCons!$B$4:$B$10000="var_cap")*1,ISNUMBER(SEARCH("RH*-WHELCHP",[1]OUT_FinalEnergyCons!$A$4:$A$10000))*1,[1]OUT_FinalEnergyCons!L$4:L$10000)</f>
        <v>0.71217090131164973</v>
      </c>
      <c r="O1846" s="1" cm="1">
        <f t="array" ref="O1846">SUMPRODUCT(([1]OUT_FinalEnergyCons!$B$4:$B$10000="var_cap")*1,ISNUMBER(SEARCH("RH*-WHELCHP",[1]OUT_FinalEnergyCons!$A$4:$A$10000))*1,[1]OUT_FinalEnergyCons!M$4:M$10000)</f>
        <v>0.72133068614391349</v>
      </c>
      <c r="P1846" s="1" cm="1">
        <f t="array" ref="P1846">SUMPRODUCT(([1]OUT_FinalEnergyCons!$B$4:$B$10000="var_cap")*1,ISNUMBER(SEARCH("RH*-WHELCHP",[1]OUT_FinalEnergyCons!$A$4:$A$10000))*1,[1]OUT_FinalEnergyCons!N$4:N$10000)</f>
        <v>0.62076282419705009</v>
      </c>
      <c r="Q1846" s="1" cm="1">
        <f t="array" ref="Q1846">SUMPRODUCT(([1]OUT_FinalEnergyCons!$B$4:$B$10000="var_cap")*1,ISNUMBER(SEARCH("RH*-WHELCHP",[1]OUT_FinalEnergyCons!$A$4:$A$10000))*1,[1]OUT_FinalEnergyCons!O$4:O$10000)</f>
        <v>0.71074545528554778</v>
      </c>
      <c r="S1846" s="3"/>
    </row>
    <row r="1847" spans="2:19" x14ac:dyDescent="0.5">
      <c r="B1847" s="5" t="str">
        <f t="shared" ref="B1847:C1847" si="2055">B1846</f>
        <v>SPS1</v>
      </c>
      <c r="C1847" s="5" t="str">
        <f t="shared" si="2055"/>
        <v>CH</v>
      </c>
      <c r="D1847" t="s">
        <v>1883</v>
      </c>
      <c r="E1847" t="str">
        <f t="shared" si="2015"/>
        <v>GWth/yr.</v>
      </c>
      <c r="F1847" s="1">
        <f>F1848</f>
        <v>0.47738433216181703</v>
      </c>
      <c r="G1847" s="1">
        <f t="shared" ref="G1847" si="2056">G1848</f>
        <v>0.47738171662534123</v>
      </c>
      <c r="H1847" s="1">
        <f t="shared" ref="H1847" si="2057">H1848</f>
        <v>0.17961585648191875</v>
      </c>
      <c r="I1847" s="1">
        <f t="shared" ref="I1847" si="2058">I1848</f>
        <v>0.17960576926884642</v>
      </c>
      <c r="J1847" s="1">
        <f t="shared" ref="J1847" si="2059">J1848</f>
        <v>4.6578133917268921E-2</v>
      </c>
      <c r="K1847" s="1">
        <f t="shared" ref="K1847:O1847" si="2060">K1848</f>
        <v>3.9298924588965201E-4</v>
      </c>
      <c r="L1847" s="1">
        <f t="shared" si="2060"/>
        <v>4.0234138730914246E-4</v>
      </c>
      <c r="M1847" s="1">
        <f t="shared" si="2060"/>
        <v>4.0117790495197703E-4</v>
      </c>
      <c r="N1847" s="1">
        <f t="shared" si="2060"/>
        <v>5.0949715917667491E-4</v>
      </c>
      <c r="O1847" s="1">
        <f t="shared" si="2060"/>
        <v>7.7513597106907534E-4</v>
      </c>
      <c r="P1847" s="1">
        <f>P1848</f>
        <v>6.5177087963371957E-4</v>
      </c>
      <c r="Q1847" s="1">
        <f>Q1848</f>
        <v>1.8011777483259936E-3</v>
      </c>
      <c r="S1847" s="3"/>
    </row>
    <row r="1848" spans="2:19" x14ac:dyDescent="0.5">
      <c r="B1848" s="5" t="str">
        <f t="shared" ref="B1848:C1848" si="2061">B1847</f>
        <v>SPS1</v>
      </c>
      <c r="C1848" s="5" t="str">
        <f t="shared" si="2061"/>
        <v>CH</v>
      </c>
      <c r="D1848" t="s">
        <v>1884</v>
      </c>
      <c r="E1848" t="str">
        <f t="shared" si="2015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0.47738171662534123</v>
      </c>
      <c r="H1848" s="1" cm="1">
        <f t="array" ref="H1848">SUMPRODUCT(([1]OUT_FinalEnergyCons!$B$4:$B$10000="var_cap")*1, (ISNUMBER(SEARCH("RH*-WHLFOBR",[1]OUT_FinalEnergyCons!$A$4:$A$10000)))*1,[1]OUT_FinalEnergyCons!F$4:F$10000)</f>
        <v>0.17961585648191875</v>
      </c>
      <c r="I1848" s="1" cm="1">
        <f t="array" ref="I1848">SUMPRODUCT(([1]OUT_FinalEnergyCons!$B$4:$B$10000="var_cap")*1, (ISNUMBER(SEARCH("RH*-WHLFOBR",[1]OUT_FinalEnergyCons!$A$4:$A$10000)))*1,[1]OUT_FinalEnergyCons!G$4:G$10000)</f>
        <v>0.17960576926884642</v>
      </c>
      <c r="J1848" s="1" cm="1">
        <f t="array" ref="J1848">SUMPRODUCT(([1]OUT_FinalEnergyCons!$B$4:$B$10000="var_cap")*1, (ISNUMBER(SEARCH("RH*-WHLFOBR",[1]OUT_FinalEnergyCons!$A$4:$A$10000)))*1,[1]OUT_FinalEnergyCons!H$4:H$10000)</f>
        <v>4.6578133917268921E-2</v>
      </c>
      <c r="K1848" s="1" cm="1">
        <f t="array" ref="K1848">SUMPRODUCT(([1]OUT_FinalEnergyCons!$B$4:$B$10000="var_cap")*1, (ISNUMBER(SEARCH("RH*-WHLFOBR",[1]OUT_FinalEnergyCons!$A$4:$A$10000)))*1,[1]OUT_FinalEnergyCons!I$4:I$10000)</f>
        <v>3.9298924588965201E-4</v>
      </c>
      <c r="L1848" s="1" cm="1">
        <f t="array" ref="L1848">SUMPRODUCT(([1]OUT_FinalEnergyCons!$B$4:$B$10000="var_cap")*1, (ISNUMBER(SEARCH("RH*-WHLFOBR",[1]OUT_FinalEnergyCons!$A$4:$A$10000)))*1,[1]OUT_FinalEnergyCons!J$4:J$10000)</f>
        <v>4.0234138730914246E-4</v>
      </c>
      <c r="M1848" s="1" cm="1">
        <f t="array" ref="M1848">SUMPRODUCT(([1]OUT_FinalEnergyCons!$B$4:$B$10000="var_cap")*1, (ISNUMBER(SEARCH("RH*-WHLFOBR",[1]OUT_FinalEnergyCons!$A$4:$A$10000)))*1,[1]OUT_FinalEnergyCons!K$4:K$10000)</f>
        <v>4.0117790495197703E-4</v>
      </c>
      <c r="N1848" s="1" cm="1">
        <f t="array" ref="N1848">SUMPRODUCT(([1]OUT_FinalEnergyCons!$B$4:$B$10000="var_cap")*1, (ISNUMBER(SEARCH("RH*-WHLFOBR",[1]OUT_FinalEnergyCons!$A$4:$A$10000)))*1,[1]OUT_FinalEnergyCons!L$4:L$10000)</f>
        <v>5.0949715917667491E-4</v>
      </c>
      <c r="O1848" s="1" cm="1">
        <f t="array" ref="O1848">SUMPRODUCT(([1]OUT_FinalEnergyCons!$B$4:$B$10000="var_cap")*1, (ISNUMBER(SEARCH("RH*-WHLFOBR",[1]OUT_FinalEnergyCons!$A$4:$A$10000)))*1,[1]OUT_FinalEnergyCons!M$4:M$10000)</f>
        <v>7.7513597106907534E-4</v>
      </c>
      <c r="P1848" s="1" cm="1">
        <f t="array" ref="P1848">SUMPRODUCT(([1]OUT_FinalEnergyCons!$B$4:$B$10000="var_cap")*1, (ISNUMBER(SEARCH("RH*-WHLFOBR",[1]OUT_FinalEnergyCons!$A$4:$A$10000)))*1,[1]OUT_FinalEnergyCons!N$4:N$10000)</f>
        <v>6.5177087963371957E-4</v>
      </c>
      <c r="Q1848" s="1" cm="1">
        <f t="array" ref="Q1848">SUMPRODUCT(([1]OUT_FinalEnergyCons!$B$4:$B$10000="var_cap")*1, (ISNUMBER(SEARCH("RH*-WHLFOBR",[1]OUT_FinalEnergyCons!$A$4:$A$10000)))*1,[1]OUT_FinalEnergyCons!O$4:O$10000)</f>
        <v>1.8011777483259936E-3</v>
      </c>
      <c r="S1848" s="3"/>
    </row>
    <row r="1849" spans="2:19" x14ac:dyDescent="0.5">
      <c r="B1849" s="5" t="str">
        <f t="shared" ref="B1849:C1849" si="2062">B1848</f>
        <v>SPS1</v>
      </c>
      <c r="C1849" s="5" t="str">
        <f t="shared" si="2062"/>
        <v>CH</v>
      </c>
      <c r="D1849" t="s">
        <v>1885</v>
      </c>
      <c r="E1849" t="str">
        <f t="shared" si="2015"/>
        <v>GWth/yr.</v>
      </c>
      <c r="F1849" s="1">
        <f>SUM(F1850:F1851)</f>
        <v>0.43610075806793741</v>
      </c>
      <c r="G1849" s="1">
        <f t="shared" ref="G1849" si="2063">SUM(G1850:G1851)</f>
        <v>0.43610052285947554</v>
      </c>
      <c r="H1849" s="1">
        <f t="shared" ref="H1849" si="2064">SUM(H1850:H1851)</f>
        <v>0.61635325381255412</v>
      </c>
      <c r="I1849" s="1">
        <f t="shared" ref="I1849" si="2065">SUM(I1850:I1851)</f>
        <v>0.62461236731753833</v>
      </c>
      <c r="J1849" s="1">
        <f t="shared" ref="J1849" si="2066">SUM(J1850:J1851)</f>
        <v>0.72362120324328383</v>
      </c>
      <c r="K1849" s="1">
        <f t="shared" ref="K1849" si="2067">SUM(K1850:K1851)</f>
        <v>0.76601939397185848</v>
      </c>
      <c r="L1849" s="1">
        <f t="shared" ref="L1849:O1849" si="2068">SUM(L1850:L1851)</f>
        <v>0.76047506933397968</v>
      </c>
      <c r="M1849" s="1">
        <f t="shared" si="2068"/>
        <v>0.81434425469295291</v>
      </c>
      <c r="N1849" s="1">
        <f t="shared" si="2068"/>
        <v>0.79549578136307408</v>
      </c>
      <c r="O1849" s="1">
        <f t="shared" si="2068"/>
        <v>0.76241015389225264</v>
      </c>
      <c r="P1849" s="1">
        <f>SUM(P1850:P1851)</f>
        <v>0.83213380421273309</v>
      </c>
      <c r="Q1849" s="1">
        <f>SUM(Q1850:Q1851)</f>
        <v>0.73463406520106389</v>
      </c>
      <c r="S1849" s="3"/>
    </row>
    <row r="1850" spans="2:19" x14ac:dyDescent="0.5">
      <c r="B1850" s="5" t="str">
        <f t="shared" ref="B1850:C1850" si="2069">B1849</f>
        <v>SPS1</v>
      </c>
      <c r="C1850" s="5" t="str">
        <f t="shared" si="2069"/>
        <v>CH</v>
      </c>
      <c r="D1850" t="s">
        <v>1886</v>
      </c>
      <c r="E1850" t="str">
        <f t="shared" si="2015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0.4361008411330215</v>
      </c>
      <c r="H1850" s="1" cm="1">
        <f t="array" ref="H1850">SUMPRODUCT(([1]OUT_FinalEnergyCons!$B$4:$B$10000="var_cap")*1, (ISNUMBER(SEARCH("RH*-WHNGABR",[1]OUT_FinalEnergyCons!$A$4:$A$10000)))*1,[1]OUT_FinalEnergyCons!F$4:F$10000)</f>
        <v>0.61612969535346762</v>
      </c>
      <c r="I1850" s="1" cm="1">
        <f t="array" ref="I1850">SUMPRODUCT(([1]OUT_FinalEnergyCons!$B$4:$B$10000="var_cap")*1, (ISNUMBER(SEARCH("RH*-WHNGABR",[1]OUT_FinalEnergyCons!$A$4:$A$10000)))*1,[1]OUT_FinalEnergyCons!G$4:G$10000)</f>
        <v>0.62438483585686522</v>
      </c>
      <c r="J1850" s="1" cm="1">
        <f t="array" ref="J1850">SUMPRODUCT(([1]OUT_FinalEnergyCons!$B$4:$B$10000="var_cap")*1, (ISNUMBER(SEARCH("RH*-WHNGABR",[1]OUT_FinalEnergyCons!$A$4:$A$10000)))*1,[1]OUT_FinalEnergyCons!H$4:H$10000)</f>
        <v>0.68949089698848631</v>
      </c>
      <c r="K1850" s="1" cm="1">
        <f t="array" ref="K1850">SUMPRODUCT(([1]OUT_FinalEnergyCons!$B$4:$B$10000="var_cap")*1, (ISNUMBER(SEARCH("RH*-WHNGABR",[1]OUT_FinalEnergyCons!$A$4:$A$10000)))*1,[1]OUT_FinalEnergyCons!I$4:I$10000)</f>
        <v>0.67728526925676513</v>
      </c>
      <c r="L1850" s="1" cm="1">
        <f t="array" ref="L1850">SUMPRODUCT(([1]OUT_FinalEnergyCons!$B$4:$B$10000="var_cap")*1, (ISNUMBER(SEARCH("RH*-WHNGABR",[1]OUT_FinalEnergyCons!$A$4:$A$10000)))*1,[1]OUT_FinalEnergyCons!J$4:J$10000)</f>
        <v>0.63902397544853473</v>
      </c>
      <c r="M1850" s="1" cm="1">
        <f t="array" ref="M1850">SUMPRODUCT(([1]OUT_FinalEnergyCons!$B$4:$B$10000="var_cap")*1, (ISNUMBER(SEARCH("RH*-WHNGABR",[1]OUT_FinalEnergyCons!$A$4:$A$10000)))*1,[1]OUT_FinalEnergyCons!K$4:K$10000)</f>
        <v>0.61723397705201621</v>
      </c>
      <c r="N1850" s="1" cm="1">
        <f t="array" ref="N1850">SUMPRODUCT(([1]OUT_FinalEnergyCons!$B$4:$B$10000="var_cap")*1, (ISNUMBER(SEARCH("RH*-WHNGABR",[1]OUT_FinalEnergyCons!$A$4:$A$10000)))*1,[1]OUT_FinalEnergyCons!L$4:L$10000)</f>
        <v>0.58513107888851623</v>
      </c>
      <c r="O1850" s="1" cm="1">
        <f t="array" ref="O1850">SUMPRODUCT(([1]OUT_FinalEnergyCons!$B$4:$B$10000="var_cap")*1, (ISNUMBER(SEARCH("RH*-WHNGABR",[1]OUT_FinalEnergyCons!$A$4:$A$10000)))*1,[1]OUT_FinalEnergyCons!M$4:M$10000)</f>
        <v>0.54217436150156817</v>
      </c>
      <c r="P1850" s="1" cm="1">
        <f t="array" ref="P1850">SUMPRODUCT(([1]OUT_FinalEnergyCons!$B$4:$B$10000="var_cap")*1, (ISNUMBER(SEARCH("RH*-WHNGABR",[1]OUT_FinalEnergyCons!$A$4:$A$10000)))*1,[1]OUT_FinalEnergyCons!N$4:N$10000)</f>
        <v>0.53100066697449921</v>
      </c>
      <c r="Q1850" s="1" cm="1">
        <f t="array" ref="Q1850">SUMPRODUCT(([1]OUT_FinalEnergyCons!$B$4:$B$10000="var_cap")*1, (ISNUMBER(SEARCH("RH*-WHNGABR",[1]OUT_FinalEnergyCons!$A$4:$A$10000)))*1,[1]OUT_FinalEnergyCons!O$4:O$10000)</f>
        <v>0.43310093987356468</v>
      </c>
      <c r="S1850" s="3"/>
    </row>
    <row r="1851" spans="2:19" x14ac:dyDescent="0.5">
      <c r="B1851" s="5" t="str">
        <f t="shared" ref="B1851:C1851" si="2070">B1850</f>
        <v>SPS1</v>
      </c>
      <c r="C1851" s="5" t="str">
        <f t="shared" si="2070"/>
        <v>CH</v>
      </c>
      <c r="D1851" t="s">
        <v>1887</v>
      </c>
      <c r="E1851" t="str">
        <f t="shared" si="2015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-3.182735459501168E-7</v>
      </c>
      <c r="H1851" s="1" cm="1">
        <f t="array" ref="H1851">SUMPRODUCT(([1]OUT_FinalEnergyCons!$B$4:$B$10000="var_cap")*1,ISNUMBER(SEARCH("RH*-WHngahp",[1]OUT_FinalEnergyCons!$A$4:$A$10000))*1,[1]OUT_FinalEnergyCons!F$4:F$10000)</f>
        <v>2.2355845908655621E-4</v>
      </c>
      <c r="I1851" s="1" cm="1">
        <f t="array" ref="I1851">SUMPRODUCT(([1]OUT_FinalEnergyCons!$B$4:$B$10000="var_cap")*1,ISNUMBER(SEARCH("RH*-WHngahp",[1]OUT_FinalEnergyCons!$A$4:$A$10000))*1,[1]OUT_FinalEnergyCons!G$4:G$10000)</f>
        <v>2.2753146067316384E-4</v>
      </c>
      <c r="J1851" s="1" cm="1">
        <f t="array" ref="J1851">SUMPRODUCT(([1]OUT_FinalEnergyCons!$B$4:$B$10000="var_cap")*1,ISNUMBER(SEARCH("RH*-WHngahp",[1]OUT_FinalEnergyCons!$A$4:$A$10000))*1,[1]OUT_FinalEnergyCons!H$4:H$10000)</f>
        <v>3.4130306254797481E-2</v>
      </c>
      <c r="K1851" s="1" cm="1">
        <f t="array" ref="K1851">SUMPRODUCT(([1]OUT_FinalEnergyCons!$B$4:$B$10000="var_cap")*1,ISNUMBER(SEARCH("RH*-WHngahp",[1]OUT_FinalEnergyCons!$A$4:$A$10000))*1,[1]OUT_FinalEnergyCons!I$4:I$10000)</f>
        <v>8.8734124715093371E-2</v>
      </c>
      <c r="L1851" s="1" cm="1">
        <f t="array" ref="L1851">SUMPRODUCT(([1]OUT_FinalEnergyCons!$B$4:$B$10000="var_cap")*1,ISNUMBER(SEARCH("RH*-WHngahp",[1]OUT_FinalEnergyCons!$A$4:$A$10000))*1,[1]OUT_FinalEnergyCons!J$4:J$10000)</f>
        <v>0.12145109388544501</v>
      </c>
      <c r="M1851" s="1" cm="1">
        <f t="array" ref="M1851">SUMPRODUCT(([1]OUT_FinalEnergyCons!$B$4:$B$10000="var_cap")*1,ISNUMBER(SEARCH("RH*-WHngahp",[1]OUT_FinalEnergyCons!$A$4:$A$10000))*1,[1]OUT_FinalEnergyCons!K$4:K$10000)</f>
        <v>0.19711027764093672</v>
      </c>
      <c r="N1851" s="1" cm="1">
        <f t="array" ref="N1851">SUMPRODUCT(([1]OUT_FinalEnergyCons!$B$4:$B$10000="var_cap")*1,ISNUMBER(SEARCH("RH*-WHngahp",[1]OUT_FinalEnergyCons!$A$4:$A$10000))*1,[1]OUT_FinalEnergyCons!L$4:L$10000)</f>
        <v>0.21036470247455791</v>
      </c>
      <c r="O1851" s="1" cm="1">
        <f t="array" ref="O1851">SUMPRODUCT(([1]OUT_FinalEnergyCons!$B$4:$B$10000="var_cap")*1,ISNUMBER(SEARCH("RH*-WHngahp",[1]OUT_FinalEnergyCons!$A$4:$A$10000))*1,[1]OUT_FinalEnergyCons!M$4:M$10000)</f>
        <v>0.22023579239068447</v>
      </c>
      <c r="P1851" s="1" cm="1">
        <f t="array" ref="P1851">SUMPRODUCT(([1]OUT_FinalEnergyCons!$B$4:$B$10000="var_cap")*1,ISNUMBER(SEARCH("RH*-WHngahp",[1]OUT_FinalEnergyCons!$A$4:$A$10000))*1,[1]OUT_FinalEnergyCons!N$4:N$10000)</f>
        <v>0.30113313723823387</v>
      </c>
      <c r="Q1851" s="1" cm="1">
        <f t="array" ref="Q1851">SUMPRODUCT(([1]OUT_FinalEnergyCons!$B$4:$B$10000="var_cap")*1,ISNUMBER(SEARCH("RH*-WHngahp",[1]OUT_FinalEnergyCons!$A$4:$A$10000))*1,[1]OUT_FinalEnergyCons!O$4:O$10000)</f>
        <v>0.30153312532749921</v>
      </c>
      <c r="S1851" s="3"/>
    </row>
    <row r="1852" spans="2:19" x14ac:dyDescent="0.5">
      <c r="B1852" s="5" t="str">
        <f t="shared" ref="B1852:C1852" si="2071">B1851</f>
        <v>SPS1</v>
      </c>
      <c r="C1852" s="5" t="str">
        <f t="shared" si="2071"/>
        <v>CH</v>
      </c>
      <c r="D1852" t="s">
        <v>1888</v>
      </c>
      <c r="E1852" t="str">
        <f t="shared" si="2015"/>
        <v>GWth/yr.</v>
      </c>
      <c r="F1852" s="1">
        <f>F1853</f>
        <v>0</v>
      </c>
      <c r="G1852" s="1">
        <f t="shared" ref="G1852" si="2072">G1853</f>
        <v>0</v>
      </c>
      <c r="H1852" s="1">
        <f t="shared" ref="H1852" si="2073">H1853</f>
        <v>0</v>
      </c>
      <c r="I1852" s="1">
        <f t="shared" ref="I1852" si="2074">I1853</f>
        <v>0</v>
      </c>
      <c r="J1852" s="1">
        <f t="shared" ref="J1852" si="2075">J1853</f>
        <v>0</v>
      </c>
      <c r="K1852" s="1">
        <f t="shared" ref="K1852:O1852" si="2076">K1853</f>
        <v>0</v>
      </c>
      <c r="L1852" s="1">
        <f t="shared" si="2076"/>
        <v>0</v>
      </c>
      <c r="M1852" s="1">
        <f t="shared" si="2076"/>
        <v>0</v>
      </c>
      <c r="N1852" s="1">
        <f t="shared" si="2076"/>
        <v>0</v>
      </c>
      <c r="O1852" s="1">
        <f t="shared" si="2076"/>
        <v>0</v>
      </c>
      <c r="P1852" s="1">
        <f>P1853</f>
        <v>0</v>
      </c>
      <c r="Q1852" s="1">
        <f>Q1853</f>
        <v>0</v>
      </c>
      <c r="S1852" s="3"/>
    </row>
    <row r="1853" spans="2:19" x14ac:dyDescent="0.5">
      <c r="B1853" s="5" t="str">
        <f t="shared" ref="B1853:C1853" si="2077">B1852</f>
        <v>SPS1</v>
      </c>
      <c r="C1853" s="5" t="str">
        <f t="shared" si="2077"/>
        <v>CH</v>
      </c>
      <c r="D1853" t="s">
        <v>1889</v>
      </c>
      <c r="E1853" t="str">
        <f t="shared" si="2015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SUMPRODUCT(([1]OUT_FinalEnergyCons!$B$4:$B$10000="var_cap")*1, (ISNUMBER(SEARCH("RH*-WHCOABR",[1]OUT_FinalEnergyCons!$A$4:$A$10000)))*1,[1]OUT_FinalEnergyCons!H$4:H$10000)</f>
        <v>0</v>
      </c>
      <c r="K1853" s="1" cm="1">
        <f t="array" ref="K1853">SUMPRODUCT(([1]OUT_FinalEnergyCons!$B$4:$B$10000="var_cap")*1, (ISNUMBER(SEARCH("RH*-WHCOABR",[1]OUT_FinalEnergyCons!$A$4:$A$10000)))*1,[1]OUT_FinalEnergyCons!I$4:I$10000)</f>
        <v>0</v>
      </c>
      <c r="L1853" s="1" cm="1">
        <f t="array" ref="L1853">SUMPRODUCT(([1]OUT_FinalEnergyCons!$B$4:$B$10000="var_cap")*1, (ISNUMBER(SEARCH("RH*-WHCOABR",[1]OUT_FinalEnergyCons!$A$4:$A$10000)))*1,[1]OUT_FinalEnergyCons!J$4:J$10000)</f>
        <v>0</v>
      </c>
      <c r="M1853" s="1" cm="1">
        <f t="array" ref="M1853">SUMPRODUCT(([1]OUT_FinalEnergyCons!$B$4:$B$10000="var_cap")*1, (ISNUMBER(SEARCH("RH*-WHCOABR",[1]OUT_FinalEnergyCons!$A$4:$A$10000)))*1,[1]OUT_FinalEnergyCons!K$4:K$10000)</f>
        <v>0</v>
      </c>
      <c r="N1853" s="1" cm="1">
        <f t="array" ref="N1853">SUMPRODUCT(([1]OUT_FinalEnergyCons!$B$4:$B$10000="var_cap")*1, (ISNUMBER(SEARCH("RH*-WHCOABR",[1]OUT_FinalEnergyCons!$A$4:$A$10000)))*1,[1]OUT_FinalEnergyCons!L$4:L$10000)</f>
        <v>0</v>
      </c>
      <c r="O1853" s="1" cm="1">
        <f t="array" ref="O1853">SUMPRODUCT(([1]OUT_FinalEnergyCons!$B$4:$B$10000="var_cap")*1, (ISNUMBER(SEARCH("RH*-WHCOABR",[1]OUT_FinalEnergyCons!$A$4:$A$10000)))*1,[1]OUT_FinalEnergyCons!M$4:M$10000)</f>
        <v>0</v>
      </c>
      <c r="P1853" s="1" cm="1">
        <f t="array" ref="P1853">SUMPRODUCT(([1]OUT_FinalEnergyCons!$B$4:$B$10000="var_cap")*1, (ISNUMBER(SEARCH("RH*-WHCOABR",[1]OUT_FinalEnergyCons!$A$4:$A$10000)))*1,[1]OUT_FinalEnergyCons!N$4:N$10000)</f>
        <v>0</v>
      </c>
      <c r="Q1853" s="1" cm="1">
        <f t="array" ref="Q1853">SUMPRODUCT(([1]OUT_FinalEnergyCons!$B$4:$B$10000="var_cap")*1, (ISNUMBER(SEARCH("RH*-WHCOABR",[1]OUT_FinalEnergyCons!$A$4:$A$10000)))*1,[1]OUT_FinalEnergyCons!O$4:O$10000)</f>
        <v>0</v>
      </c>
      <c r="S1853" s="3"/>
    </row>
    <row r="1854" spans="2:19" x14ac:dyDescent="0.5">
      <c r="B1854" s="5" t="str">
        <f t="shared" ref="B1854:C1854" si="2078">B1853</f>
        <v>SPS1</v>
      </c>
      <c r="C1854" s="5" t="str">
        <f t="shared" si="2078"/>
        <v>CH</v>
      </c>
      <c r="D1854" t="s">
        <v>1890</v>
      </c>
      <c r="E1854" t="str">
        <f t="shared" si="2015"/>
        <v>GWth/yr.</v>
      </c>
      <c r="F1854" s="1">
        <f>F1855</f>
        <v>3.5322010722483803E-2</v>
      </c>
      <c r="G1854" s="1">
        <f t="shared" ref="G1854" si="2079">G1855</f>
        <v>4.0437174986762907E-2</v>
      </c>
      <c r="H1854" s="1">
        <f t="shared" ref="H1854" si="2080">H1855</f>
        <v>3.8479651898856868E-2</v>
      </c>
      <c r="I1854" s="1">
        <f t="shared" ref="I1854" si="2081">I1855</f>
        <v>3.845768552629273E-2</v>
      </c>
      <c r="J1854" s="1">
        <f t="shared" ref="J1854" si="2082">J1855</f>
        <v>1.6817749536484024E-2</v>
      </c>
      <c r="K1854" s="1">
        <f t="shared" ref="K1854:O1854" si="2083">K1855</f>
        <v>1.4615496352032563E-2</v>
      </c>
      <c r="L1854" s="1">
        <f t="shared" si="2083"/>
        <v>1.4611746494761508E-2</v>
      </c>
      <c r="M1854" s="1">
        <f t="shared" si="2083"/>
        <v>1.0809561614659045E-2</v>
      </c>
      <c r="N1854" s="1">
        <f t="shared" si="2083"/>
        <v>1.0248775745201964E-2</v>
      </c>
      <c r="O1854" s="1">
        <f t="shared" si="2083"/>
        <v>8.8631677955387216E-3</v>
      </c>
      <c r="P1854" s="1">
        <f>P1855</f>
        <v>8.0908154086737141E-3</v>
      </c>
      <c r="Q1854" s="1">
        <f>Q1855</f>
        <v>5.1112841905662076E-3</v>
      </c>
      <c r="S1854" s="3"/>
    </row>
    <row r="1855" spans="2:19" x14ac:dyDescent="0.5">
      <c r="B1855" s="5" t="str">
        <f t="shared" ref="B1855:C1855" si="2084">B1854</f>
        <v>SPS1</v>
      </c>
      <c r="C1855" s="5" t="str">
        <f t="shared" si="2084"/>
        <v>CH</v>
      </c>
      <c r="D1855" t="s">
        <v>1891</v>
      </c>
      <c r="E1855" t="str">
        <f t="shared" si="2015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4.0437174986762907E-2</v>
      </c>
      <c r="H1855" s="1" cm="1">
        <f t="array" ref="H1855">SUMPRODUCT(([1]OUT_FinalEnergyCons!$B$4:$B$10000="var_cap")*1, (ISNUMBER(SEARCH("RH*-WHWODBR",[1]OUT_FinalEnergyCons!$A$4:$A$10000)))*1,[1]OUT_FinalEnergyCons!F$4:F$10000)</f>
        <v>3.8479651898856868E-2</v>
      </c>
      <c r="I1855" s="1" cm="1">
        <f t="array" ref="I1855">SUMPRODUCT(([1]OUT_FinalEnergyCons!$B$4:$B$10000="var_cap")*1, (ISNUMBER(SEARCH("RH*-WHWODBR",[1]OUT_FinalEnergyCons!$A$4:$A$10000)))*1,[1]OUT_FinalEnergyCons!G$4:G$10000)</f>
        <v>3.845768552629273E-2</v>
      </c>
      <c r="J1855" s="1" cm="1">
        <f t="array" ref="J1855">SUMPRODUCT(([1]OUT_FinalEnergyCons!$B$4:$B$10000="var_cap")*1, (ISNUMBER(SEARCH("RH*-WHWODBR",[1]OUT_FinalEnergyCons!$A$4:$A$10000)))*1,[1]OUT_FinalEnergyCons!H$4:H$10000)</f>
        <v>1.6817749536484024E-2</v>
      </c>
      <c r="K1855" s="1" cm="1">
        <f t="array" ref="K1855">SUMPRODUCT(([1]OUT_FinalEnergyCons!$B$4:$B$10000="var_cap")*1, (ISNUMBER(SEARCH("RH*-WHWODBR",[1]OUT_FinalEnergyCons!$A$4:$A$10000)))*1,[1]OUT_FinalEnergyCons!I$4:I$10000)</f>
        <v>1.4615496352032563E-2</v>
      </c>
      <c r="L1855" s="1" cm="1">
        <f t="array" ref="L1855">SUMPRODUCT(([1]OUT_FinalEnergyCons!$B$4:$B$10000="var_cap")*1, (ISNUMBER(SEARCH("RH*-WHWODBR",[1]OUT_FinalEnergyCons!$A$4:$A$10000)))*1,[1]OUT_FinalEnergyCons!J$4:J$10000)</f>
        <v>1.4611746494761508E-2</v>
      </c>
      <c r="M1855" s="1" cm="1">
        <f t="array" ref="M1855">SUMPRODUCT(([1]OUT_FinalEnergyCons!$B$4:$B$10000="var_cap")*1, (ISNUMBER(SEARCH("RH*-WHWODBR",[1]OUT_FinalEnergyCons!$A$4:$A$10000)))*1,[1]OUT_FinalEnergyCons!K$4:K$10000)</f>
        <v>1.0809561614659045E-2</v>
      </c>
      <c r="N1855" s="1" cm="1">
        <f t="array" ref="N1855">SUMPRODUCT(([1]OUT_FinalEnergyCons!$B$4:$B$10000="var_cap")*1, (ISNUMBER(SEARCH("RH*-WHWODBR",[1]OUT_FinalEnergyCons!$A$4:$A$10000)))*1,[1]OUT_FinalEnergyCons!L$4:L$10000)</f>
        <v>1.0248775745201964E-2</v>
      </c>
      <c r="O1855" s="1" cm="1">
        <f t="array" ref="O1855">SUMPRODUCT(([1]OUT_FinalEnergyCons!$B$4:$B$10000="var_cap")*1, (ISNUMBER(SEARCH("RH*-WHWODBR",[1]OUT_FinalEnergyCons!$A$4:$A$10000)))*1,[1]OUT_FinalEnergyCons!M$4:M$10000)</f>
        <v>8.8631677955387216E-3</v>
      </c>
      <c r="P1855" s="1" cm="1">
        <f t="array" ref="P1855">SUMPRODUCT(([1]OUT_FinalEnergyCons!$B$4:$B$10000="var_cap")*1, (ISNUMBER(SEARCH("RH*-WHWODBR",[1]OUT_FinalEnergyCons!$A$4:$A$10000)))*1,[1]OUT_FinalEnergyCons!N$4:N$10000)</f>
        <v>8.0908154086737141E-3</v>
      </c>
      <c r="Q1855" s="1" cm="1">
        <f t="array" ref="Q1855">SUMPRODUCT(([1]OUT_FinalEnergyCons!$B$4:$B$10000="var_cap")*1, (ISNUMBER(SEARCH("RH*-WHWODBR",[1]OUT_FinalEnergyCons!$A$4:$A$10000)))*1,[1]OUT_FinalEnergyCons!O$4:O$10000)</f>
        <v>5.1112841905662076E-3</v>
      </c>
      <c r="S1855" s="3"/>
    </row>
    <row r="1856" spans="2:19" x14ac:dyDescent="0.5">
      <c r="B1856" s="5" t="str">
        <f t="shared" ref="B1856:C1856" si="2085">B1855</f>
        <v>SPS1</v>
      </c>
      <c r="C1856" s="5" t="str">
        <f t="shared" si="2085"/>
        <v>CH</v>
      </c>
      <c r="D1856" t="s">
        <v>1892</v>
      </c>
      <c r="E1856" t="str">
        <f t="shared" si="2015"/>
        <v>GWth/yr.</v>
      </c>
      <c r="F1856" s="1">
        <f>F1857</f>
        <v>1.12410901121583E-2</v>
      </c>
      <c r="G1856" s="1">
        <f t="shared" ref="G1856" si="2086">G1857</f>
        <v>1.3194138048644929E-2</v>
      </c>
      <c r="H1856" s="1">
        <f t="shared" ref="H1856" si="2087">H1857</f>
        <v>1.3192245978430927E-2</v>
      </c>
      <c r="I1856" s="1">
        <f t="shared" ref="I1856" si="2088">I1857</f>
        <v>1.3191537700020258E-2</v>
      </c>
      <c r="J1856" s="1">
        <f t="shared" ref="J1856" si="2089">J1857</f>
        <v>9.4403011456140676E-3</v>
      </c>
      <c r="K1856" s="1">
        <f t="shared" ref="K1856:O1856" si="2090">K1857</f>
        <v>9.6829501947125578E-3</v>
      </c>
      <c r="L1856" s="1">
        <f t="shared" si="2090"/>
        <v>9.851500143750986E-3</v>
      </c>
      <c r="M1856" s="1">
        <f t="shared" si="2090"/>
        <v>1.0027552022417299E-2</v>
      </c>
      <c r="N1856" s="1">
        <f t="shared" si="2090"/>
        <v>1.0112383766254372E-2</v>
      </c>
      <c r="O1856" s="1">
        <f t="shared" si="2090"/>
        <v>1.0232299929353539E-2</v>
      </c>
      <c r="P1856" s="1">
        <f>P1857</f>
        <v>1.022503247124115E-2</v>
      </c>
      <c r="Q1856" s="1">
        <f>Q1857</f>
        <v>1.0262961384050671E-2</v>
      </c>
      <c r="S1856" s="3"/>
    </row>
    <row r="1857" spans="2:19" x14ac:dyDescent="0.5">
      <c r="B1857" s="5" t="str">
        <f t="shared" ref="B1857:C1857" si="2091">B1856</f>
        <v>SPS1</v>
      </c>
      <c r="C1857" s="5" t="str">
        <f t="shared" si="2091"/>
        <v>CH</v>
      </c>
      <c r="D1857" t="s">
        <v>1893</v>
      </c>
      <c r="E1857" t="str">
        <f t="shared" si="2015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1.3194138048644929E-2</v>
      </c>
      <c r="H1857" s="1" cm="1">
        <f t="array" ref="H1857">SUMPRODUCT(([1]OUT_FinalEnergyCons!$B$4:$B$10000="var_cap")*1, (ISNUMBER(SEARCH("RH*-WHPLTBR",[1]OUT_FinalEnergyCons!$A$4:$A$10000)))*1,[1]OUT_FinalEnergyCons!F$4:F$10000)</f>
        <v>1.3192245978430927E-2</v>
      </c>
      <c r="I1857" s="1" cm="1">
        <f t="array" ref="I1857">SUMPRODUCT(([1]OUT_FinalEnergyCons!$B$4:$B$10000="var_cap")*1, (ISNUMBER(SEARCH("RH*-WHPLTBR",[1]OUT_FinalEnergyCons!$A$4:$A$10000)))*1,[1]OUT_FinalEnergyCons!G$4:G$10000)</f>
        <v>1.3191537700020258E-2</v>
      </c>
      <c r="J1857" s="1" cm="1">
        <f t="array" ref="J1857">SUMPRODUCT(([1]OUT_FinalEnergyCons!$B$4:$B$10000="var_cap")*1, (ISNUMBER(SEARCH("RH*-WHPLTBR",[1]OUT_FinalEnergyCons!$A$4:$A$10000)))*1,[1]OUT_FinalEnergyCons!H$4:H$10000)</f>
        <v>9.4403011456140676E-3</v>
      </c>
      <c r="K1857" s="1" cm="1">
        <f t="array" ref="K1857">SUMPRODUCT(([1]OUT_FinalEnergyCons!$B$4:$B$10000="var_cap")*1, (ISNUMBER(SEARCH("RH*-WHPLTBR",[1]OUT_FinalEnergyCons!$A$4:$A$10000)))*1,[1]OUT_FinalEnergyCons!I$4:I$10000)</f>
        <v>9.6829501947125578E-3</v>
      </c>
      <c r="L1857" s="1" cm="1">
        <f t="array" ref="L1857">SUMPRODUCT(([1]OUT_FinalEnergyCons!$B$4:$B$10000="var_cap")*1, (ISNUMBER(SEARCH("RH*-WHPLTBR",[1]OUT_FinalEnergyCons!$A$4:$A$10000)))*1,[1]OUT_FinalEnergyCons!J$4:J$10000)</f>
        <v>9.851500143750986E-3</v>
      </c>
      <c r="M1857" s="1" cm="1">
        <f t="array" ref="M1857">SUMPRODUCT(([1]OUT_FinalEnergyCons!$B$4:$B$10000="var_cap")*1, (ISNUMBER(SEARCH("RH*-WHPLTBR",[1]OUT_FinalEnergyCons!$A$4:$A$10000)))*1,[1]OUT_FinalEnergyCons!K$4:K$10000)</f>
        <v>1.0027552022417299E-2</v>
      </c>
      <c r="N1857" s="1" cm="1">
        <f t="array" ref="N1857">SUMPRODUCT(([1]OUT_FinalEnergyCons!$B$4:$B$10000="var_cap")*1, (ISNUMBER(SEARCH("RH*-WHPLTBR",[1]OUT_FinalEnergyCons!$A$4:$A$10000)))*1,[1]OUT_FinalEnergyCons!L$4:L$10000)</f>
        <v>1.0112383766254372E-2</v>
      </c>
      <c r="O1857" s="1" cm="1">
        <f t="array" ref="O1857">SUMPRODUCT(([1]OUT_FinalEnergyCons!$B$4:$B$10000="var_cap")*1, (ISNUMBER(SEARCH("RH*-WHPLTBR",[1]OUT_FinalEnergyCons!$A$4:$A$10000)))*1,[1]OUT_FinalEnergyCons!M$4:M$10000)</f>
        <v>1.0232299929353539E-2</v>
      </c>
      <c r="P1857" s="1" cm="1">
        <f t="array" ref="P1857">SUMPRODUCT(([1]OUT_FinalEnergyCons!$B$4:$B$10000="var_cap")*1, (ISNUMBER(SEARCH("RH*-WHPLTBR",[1]OUT_FinalEnergyCons!$A$4:$A$10000)))*1,[1]OUT_FinalEnergyCons!N$4:N$10000)</f>
        <v>1.022503247124115E-2</v>
      </c>
      <c r="Q1857" s="1" cm="1">
        <f t="array" ref="Q1857">SUMPRODUCT(([1]OUT_FinalEnergyCons!$B$4:$B$10000="var_cap")*1, (ISNUMBER(SEARCH("RH*-WHPLTBR",[1]OUT_FinalEnergyCons!$A$4:$A$10000)))*1,[1]OUT_FinalEnergyCons!O$4:O$10000)</f>
        <v>1.0262961384050671E-2</v>
      </c>
      <c r="S1857" s="3"/>
    </row>
    <row r="1858" spans="2:19" x14ac:dyDescent="0.5">
      <c r="B1858" s="5" t="str">
        <f t="shared" ref="B1858:C1858" si="2092">B1857</f>
        <v>SPS1</v>
      </c>
      <c r="C1858" s="5" t="str">
        <f t="shared" si="2092"/>
        <v>CH</v>
      </c>
      <c r="D1858" t="s">
        <v>1894</v>
      </c>
      <c r="E1858" t="str">
        <f t="shared" si="2015"/>
        <v>GWth/yr.</v>
      </c>
      <c r="F1858" s="1">
        <f>F1859</f>
        <v>0.25000991745774798</v>
      </c>
      <c r="G1858" s="1">
        <f t="shared" ref="G1858" si="2093">G1859</f>
        <v>0.33265271062631174</v>
      </c>
      <c r="H1858" s="1">
        <f t="shared" ref="H1858" si="2094">H1859</f>
        <v>0.33265373626540329</v>
      </c>
      <c r="I1858" s="1">
        <f t="shared" ref="I1858" si="2095">I1859</f>
        <v>0.33265799590882839</v>
      </c>
      <c r="J1858" s="1">
        <f t="shared" ref="J1858" si="2096">J1859</f>
        <v>0.17848252953981142</v>
      </c>
      <c r="K1858" s="1">
        <f t="shared" ref="K1858:O1858" si="2097">K1859</f>
        <v>0.15884252616099001</v>
      </c>
      <c r="L1858" s="1">
        <f t="shared" si="2097"/>
        <v>0.159008031393812</v>
      </c>
      <c r="M1858" s="1">
        <f t="shared" si="2097"/>
        <v>0.14984195175311399</v>
      </c>
      <c r="N1858" s="1">
        <f t="shared" si="2097"/>
        <v>0.15028920303604901</v>
      </c>
      <c r="O1858" s="1">
        <f t="shared" si="2097"/>
        <v>0.137969863028305</v>
      </c>
      <c r="P1858" s="1">
        <f>P1859</f>
        <v>0.13964896915016201</v>
      </c>
      <c r="Q1858" s="1">
        <f>Q1859</f>
        <v>0.11885703310340801</v>
      </c>
      <c r="S1858" s="3"/>
    </row>
    <row r="1859" spans="2:19" x14ac:dyDescent="0.5">
      <c r="B1859" s="5" t="str">
        <f t="shared" ref="B1859:C1859" si="2098">B1858</f>
        <v>SPS1</v>
      </c>
      <c r="C1859" s="5" t="str">
        <f t="shared" si="2098"/>
        <v>CH</v>
      </c>
      <c r="D1859" t="s">
        <v>1895</v>
      </c>
      <c r="E1859" t="str">
        <f t="shared" si="2015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0.33265271062631174</v>
      </c>
      <c r="H1859" s="1" cm="1">
        <f t="array" ref="H1859">SUMPRODUCT(([1]OUT_FinalEnergyCons!$B$4:$B$10000="var_cap")*1, (ISNUMBER(SEARCH("RH*-WHSOLBR",[1]OUT_FinalEnergyCons!$A$4:$A$10000)))*1,[1]OUT_FinalEnergyCons!F$4:F$10000)</f>
        <v>0.33265373626540329</v>
      </c>
      <c r="I1859" s="1" cm="1">
        <f t="array" ref="I1859">SUMPRODUCT(([1]OUT_FinalEnergyCons!$B$4:$B$10000="var_cap")*1, (ISNUMBER(SEARCH("RH*-WHSOLBR",[1]OUT_FinalEnergyCons!$A$4:$A$10000)))*1,[1]OUT_FinalEnergyCons!G$4:G$10000)</f>
        <v>0.33265799590882839</v>
      </c>
      <c r="J1859" s="1" cm="1">
        <f t="array" ref="J1859">SUMPRODUCT(([1]OUT_FinalEnergyCons!$B$4:$B$10000="var_cap")*1, (ISNUMBER(SEARCH("RH*-WHSOLBR",[1]OUT_FinalEnergyCons!$A$4:$A$10000)))*1,[1]OUT_FinalEnergyCons!H$4:H$10000)</f>
        <v>0.17848252953981142</v>
      </c>
      <c r="K1859" s="1" cm="1">
        <f t="array" ref="K1859">SUMPRODUCT(([1]OUT_FinalEnergyCons!$B$4:$B$10000="var_cap")*1, (ISNUMBER(SEARCH("RH*-WHSOLBR",[1]OUT_FinalEnergyCons!$A$4:$A$10000)))*1,[1]OUT_FinalEnergyCons!I$4:I$10000)</f>
        <v>0.15884252616099001</v>
      </c>
      <c r="L1859" s="1" cm="1">
        <f t="array" ref="L1859">SUMPRODUCT(([1]OUT_FinalEnergyCons!$B$4:$B$10000="var_cap")*1, (ISNUMBER(SEARCH("RH*-WHSOLBR",[1]OUT_FinalEnergyCons!$A$4:$A$10000)))*1,[1]OUT_FinalEnergyCons!J$4:J$10000)</f>
        <v>0.159008031393812</v>
      </c>
      <c r="M1859" s="1" cm="1">
        <f t="array" ref="M1859">SUMPRODUCT(([1]OUT_FinalEnergyCons!$B$4:$B$10000="var_cap")*1, (ISNUMBER(SEARCH("RH*-WHSOLBR",[1]OUT_FinalEnergyCons!$A$4:$A$10000)))*1,[1]OUT_FinalEnergyCons!K$4:K$10000)</f>
        <v>0.14984195175311399</v>
      </c>
      <c r="N1859" s="1" cm="1">
        <f t="array" ref="N1859">SUMPRODUCT(([1]OUT_FinalEnergyCons!$B$4:$B$10000="var_cap")*1, (ISNUMBER(SEARCH("RH*-WHSOLBR",[1]OUT_FinalEnergyCons!$A$4:$A$10000)))*1,[1]OUT_FinalEnergyCons!L$4:L$10000)</f>
        <v>0.15028920303604901</v>
      </c>
      <c r="O1859" s="1" cm="1">
        <f t="array" ref="O1859">SUMPRODUCT(([1]OUT_FinalEnergyCons!$B$4:$B$10000="var_cap")*1, (ISNUMBER(SEARCH("RH*-WHSOLBR",[1]OUT_FinalEnergyCons!$A$4:$A$10000)))*1,[1]OUT_FinalEnergyCons!M$4:M$10000)</f>
        <v>0.137969863028305</v>
      </c>
      <c r="P1859" s="1" cm="1">
        <f t="array" ref="P1859">SUMPRODUCT(([1]OUT_FinalEnergyCons!$B$4:$B$10000="var_cap")*1, (ISNUMBER(SEARCH("RH*-WHSOLBR",[1]OUT_FinalEnergyCons!$A$4:$A$10000)))*1,[1]OUT_FinalEnergyCons!N$4:N$10000)</f>
        <v>0.13964896915016201</v>
      </c>
      <c r="Q1859" s="1" cm="1">
        <f t="array" ref="Q1859">SUMPRODUCT(([1]OUT_FinalEnergyCons!$B$4:$B$10000="var_cap")*1, (ISNUMBER(SEARCH("RH*-WHSOLBR",[1]OUT_FinalEnergyCons!$A$4:$A$10000)))*1,[1]OUT_FinalEnergyCons!O$4:O$10000)</f>
        <v>0.11885703310340801</v>
      </c>
      <c r="S1859" s="3"/>
    </row>
    <row r="1860" spans="2:19" x14ac:dyDescent="0.5">
      <c r="B1860" s="5" t="str">
        <f t="shared" ref="B1860:C1860" si="2099">B1859</f>
        <v>SPS1</v>
      </c>
      <c r="C1860" s="5" t="str">
        <f t="shared" si="2099"/>
        <v>CH</v>
      </c>
      <c r="D1860" t="s">
        <v>1896</v>
      </c>
      <c r="E1860" t="str">
        <f t="shared" si="2015"/>
        <v>GWth/yr.</v>
      </c>
      <c r="F1860" s="1">
        <f>F1861</f>
        <v>0</v>
      </c>
      <c r="G1860" s="1">
        <f t="shared" ref="G1860" si="2100">G1861</f>
        <v>0</v>
      </c>
      <c r="H1860" s="1">
        <f t="shared" ref="H1860" si="2101">H1861</f>
        <v>0</v>
      </c>
      <c r="I1860" s="1">
        <f t="shared" ref="I1860" si="2102">I1861</f>
        <v>0</v>
      </c>
      <c r="J1860" s="1">
        <f t="shared" ref="J1860" si="2103">J1861</f>
        <v>0</v>
      </c>
      <c r="K1860" s="1">
        <f t="shared" ref="K1860:O1860" si="2104">K1861</f>
        <v>0</v>
      </c>
      <c r="L1860" s="1">
        <f t="shared" si="2104"/>
        <v>0</v>
      </c>
      <c r="M1860" s="1">
        <f t="shared" si="2104"/>
        <v>0</v>
      </c>
      <c r="N1860" s="1">
        <f t="shared" si="2104"/>
        <v>0</v>
      </c>
      <c r="O1860" s="1">
        <f t="shared" si="2104"/>
        <v>0</v>
      </c>
      <c r="P1860" s="1">
        <f>P1861</f>
        <v>0</v>
      </c>
      <c r="Q1860" s="1">
        <f>Q1861</f>
        <v>0</v>
      </c>
      <c r="S1860" s="3"/>
    </row>
    <row r="1861" spans="2:19" x14ac:dyDescent="0.5">
      <c r="B1861" s="5" t="str">
        <f t="shared" ref="B1861:C1865" si="2105">B1860</f>
        <v>SPS1</v>
      </c>
      <c r="C1861" s="5" t="str">
        <f t="shared" si="2105"/>
        <v>CH</v>
      </c>
      <c r="D1861" t="s">
        <v>1897</v>
      </c>
      <c r="E1861" t="str">
        <f t="shared" si="2015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SUMPRODUCT(([1]OUT_FinalEnergyCons!$B$4:$B$10000="var_cap")*1, (ISNUMBER(SEARCH("RH*-WHH2BR",[1]OUT_FinalEnergyCons!$A$4:$A$10000)))*1,[1]OUT_FinalEnergyCons!H$4:H$10000)</f>
        <v>0</v>
      </c>
      <c r="K1861" s="1" cm="1">
        <f t="array" ref="K1861">SUMPRODUCT(([1]OUT_FinalEnergyCons!$B$4:$B$10000="var_cap")*1, (ISNUMBER(SEARCH("RH*-WHH2BR",[1]OUT_FinalEnergyCons!$A$4:$A$10000)))*1,[1]OUT_FinalEnergyCons!I$4:I$10000)</f>
        <v>0</v>
      </c>
      <c r="L1861" s="1" cm="1">
        <f t="array" ref="L1861">SUMPRODUCT(([1]OUT_FinalEnergyCons!$B$4:$B$10000="var_cap")*1, (ISNUMBER(SEARCH("RH*-WHH2BR",[1]OUT_FinalEnergyCons!$A$4:$A$10000)))*1,[1]OUT_FinalEnergyCons!J$4:J$10000)</f>
        <v>0</v>
      </c>
      <c r="M1861" s="1" cm="1">
        <f t="array" ref="M1861">SUMPRODUCT(([1]OUT_FinalEnergyCons!$B$4:$B$10000="var_cap")*1, (ISNUMBER(SEARCH("RH*-WHH2BR",[1]OUT_FinalEnergyCons!$A$4:$A$10000)))*1,[1]OUT_FinalEnergyCons!K$4:K$10000)</f>
        <v>0</v>
      </c>
      <c r="N1861" s="1" cm="1">
        <f t="array" ref="N1861">SUMPRODUCT(([1]OUT_FinalEnergyCons!$B$4:$B$10000="var_cap")*1, (ISNUMBER(SEARCH("RH*-WHH2BR",[1]OUT_FinalEnergyCons!$A$4:$A$10000)))*1,[1]OUT_FinalEnergyCons!L$4:L$10000)</f>
        <v>0</v>
      </c>
      <c r="O1861" s="1" cm="1">
        <f t="array" ref="O1861">SUMPRODUCT(([1]OUT_FinalEnergyCons!$B$4:$B$10000="var_cap")*1, (ISNUMBER(SEARCH("RH*-WHH2BR",[1]OUT_FinalEnergyCons!$A$4:$A$10000)))*1,[1]OUT_FinalEnergyCons!M$4:M$10000)</f>
        <v>0</v>
      </c>
      <c r="P1861" s="1" cm="1">
        <f t="array" ref="P1861">SUMPRODUCT(([1]OUT_FinalEnergyCons!$B$4:$B$10000="var_cap")*1, (ISNUMBER(SEARCH("RH*-WHH2BR",[1]OUT_FinalEnergyCons!$A$4:$A$10000)))*1,[1]OUT_FinalEnergyCons!N$4:N$10000)</f>
        <v>0</v>
      </c>
      <c r="Q1861" s="1" cm="1">
        <f t="array" ref="Q1861">SUMPRODUCT(([1]OUT_FinalEnergyCons!$B$4:$B$10000="var_cap")*1, (ISNUMBER(SEARCH("RH*-WHH2BR",[1]OUT_FinalEnergyCons!$A$4:$A$10000)))*1,[1]OUT_FinalEnergyCons!O$4:O$10000)</f>
        <v>0</v>
      </c>
      <c r="S1861" s="3"/>
    </row>
    <row r="1862" spans="2:19" x14ac:dyDescent="0.5">
      <c r="B1862" s="9" t="str">
        <f t="shared" si="2105"/>
        <v>SPS1</v>
      </c>
      <c r="C1862" s="9" t="str">
        <f t="shared" si="2105"/>
        <v>CH</v>
      </c>
      <c r="D1862" s="2" t="s">
        <v>1899</v>
      </c>
      <c r="E1862" s="9" t="str">
        <f t="shared" si="2015"/>
        <v>GWth/yr.</v>
      </c>
      <c r="F1862" s="17">
        <f>SUM(F1863,F1866,F1869,F1873,F1875,F1877,F1879,F1881,F1883)</f>
        <v>3.6005360531230202</v>
      </c>
      <c r="G1862" s="17">
        <f t="shared" ref="G1862:K1862" si="2106">SUM(G1863,G1866,G1869,G1873,G1875,G1877,G1879,G1881,G1883)</f>
        <v>3.811912023638063</v>
      </c>
      <c r="H1862" s="17">
        <f t="shared" si="2106"/>
        <v>3.7833644685327714</v>
      </c>
      <c r="I1862" s="17">
        <f t="shared" si="2106"/>
        <v>3.8405096556545986</v>
      </c>
      <c r="J1862" s="17">
        <f t="shared" si="2106"/>
        <v>3.4884479223828255</v>
      </c>
      <c r="K1862" s="17">
        <f t="shared" si="2106"/>
        <v>3.5327955137470202</v>
      </c>
      <c r="L1862" s="17">
        <f t="shared" ref="L1862:O1862" si="2107">SUM(L1863,L1866,L1869,L1873,L1875,L1877,L1879,L1881,L1883)</f>
        <v>3.6389532696688294</v>
      </c>
      <c r="M1862" s="17">
        <f t="shared" si="2107"/>
        <v>3.4431952656223865</v>
      </c>
      <c r="N1862" s="17">
        <f t="shared" si="2107"/>
        <v>3.3018683133440532</v>
      </c>
      <c r="O1862" s="17">
        <f t="shared" si="2107"/>
        <v>3.5306251491450791</v>
      </c>
      <c r="P1862" s="17">
        <f>SUM(P1863,P1866,P1869,P1873,P1875,P1877,P1879,P1881,P1883)</f>
        <v>3.2668888636616944</v>
      </c>
      <c r="Q1862" s="17">
        <f>SUM(Q1863,Q1866,Q1869,Q1873,Q1875,Q1877,Q1879,Q1881,Q1883)</f>
        <v>3.2595435173422387</v>
      </c>
      <c r="S1862" s="3"/>
    </row>
    <row r="1863" spans="2:19" x14ac:dyDescent="0.5">
      <c r="B1863" s="5" t="str">
        <f>B1862</f>
        <v>SPS1</v>
      </c>
      <c r="C1863" s="5" t="str">
        <f t="shared" si="2105"/>
        <v>CH</v>
      </c>
      <c r="D1863" t="s">
        <v>2093</v>
      </c>
      <c r="E1863" t="str">
        <f t="shared" si="2015"/>
        <v>GWth/yr.</v>
      </c>
      <c r="F1863" s="18">
        <f>SUM(F1864:F1865)</f>
        <v>0.61671309762324311</v>
      </c>
      <c r="G1863" s="18">
        <f t="shared" ref="G1863:K1863" si="2108">SUM(G1864:G1865)</f>
        <v>0.85209840426634187</v>
      </c>
      <c r="H1863" s="18">
        <f t="shared" si="2108"/>
        <v>0.96930391538956417</v>
      </c>
      <c r="I1863" s="18">
        <f t="shared" si="2108"/>
        <v>1.1444789152039889</v>
      </c>
      <c r="J1863" s="18">
        <f t="shared" si="2108"/>
        <v>1.3391251506132715</v>
      </c>
      <c r="K1863" s="18">
        <f t="shared" si="2108"/>
        <v>1.4562890227637078</v>
      </c>
      <c r="L1863" s="18">
        <f t="shared" ref="L1863:O1863" si="2109">SUM(L1864:L1865)</f>
        <v>1.5295790089825316</v>
      </c>
      <c r="M1863" s="18">
        <f t="shared" si="2109"/>
        <v>1.4887961168677746</v>
      </c>
      <c r="N1863" s="18">
        <f t="shared" si="2109"/>
        <v>1.4608051717934938</v>
      </c>
      <c r="O1863" s="18">
        <f t="shared" si="2109"/>
        <v>1.5711183321675124</v>
      </c>
      <c r="P1863" s="18">
        <f>SUM(P1864:P1865)</f>
        <v>1.549309839867496</v>
      </c>
      <c r="Q1863" s="18">
        <f>SUM(Q1864:Q1865)</f>
        <v>1.5662628604896403</v>
      </c>
      <c r="S1863" s="3"/>
    </row>
    <row r="1864" spans="2:19" x14ac:dyDescent="0.5">
      <c r="B1864" s="5" t="str">
        <f t="shared" ref="B1864:B1865" si="2110">B1863</f>
        <v>SPS1</v>
      </c>
      <c r="C1864" s="5" t="str">
        <f t="shared" si="2105"/>
        <v>CH</v>
      </c>
      <c r="D1864" t="s">
        <v>2094</v>
      </c>
      <c r="E1864" t="str">
        <f t="shared" si="2015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0.77578319502261484</v>
      </c>
      <c r="H1864" s="1" cm="1">
        <f t="array" ref="H1864">SUMPRODUCT(([1]OUT_FinalEnergyCons!$B$4:$B$10000="Var_cap")*1,  (ISNUMBER(SEARCH("ITOT-SWHELCBR",[1]OUT_FinalEnergyCons!$A$4:$A$10000)))*1,[1]OUT_FinalEnergyCons!F$4:F$10000)</f>
        <v>0.77615415977299729</v>
      </c>
      <c r="I1864" s="1" cm="1">
        <f t="array" ref="I1864">SUMPRODUCT(([1]OUT_FinalEnergyCons!$B$4:$B$10000="Var_cap")*1,  (ISNUMBER(SEARCH("ITOT-SWHELCBR",[1]OUT_FinalEnergyCons!$A$4:$A$10000)))*1,[1]OUT_FinalEnergyCons!G$4:G$10000)</f>
        <v>0.82804498808419214</v>
      </c>
      <c r="J1864" s="1" cm="1">
        <f t="array" ref="J1864">SUMPRODUCT(([1]OUT_FinalEnergyCons!$B$4:$B$10000="Var_cap")*1,  (ISNUMBER(SEARCH("ITOT-SWHELCBR",[1]OUT_FinalEnergyCons!$A$4:$A$10000)))*1,[1]OUT_FinalEnergyCons!H$4:H$10000)</f>
        <v>0.89233815475252598</v>
      </c>
      <c r="K1864" s="1" cm="1">
        <f t="array" ref="K1864">SUMPRODUCT(([1]OUT_FinalEnergyCons!$B$4:$B$10000="Var_cap")*1,  (ISNUMBER(SEARCH("ITOT-SWHELCBR",[1]OUT_FinalEnergyCons!$A$4:$A$10000)))*1,[1]OUT_FinalEnergyCons!I$4:I$10000)</f>
        <v>0.97409926555063342</v>
      </c>
      <c r="L1864" s="1" cm="1">
        <f t="array" ref="L1864">SUMPRODUCT(([1]OUT_FinalEnergyCons!$B$4:$B$10000="Var_cap")*1,  (ISNUMBER(SEARCH("ITOT-SWHELCBR",[1]OUT_FinalEnergyCons!$A$4:$A$10000)))*1,[1]OUT_FinalEnergyCons!J$4:J$10000)</f>
        <v>1.0474293563564181</v>
      </c>
      <c r="M1864" s="1" cm="1">
        <f t="array" ref="M1864">SUMPRODUCT(([1]OUT_FinalEnergyCons!$B$4:$B$10000="Var_cap")*1,  (ISNUMBER(SEARCH("ITOT-SWHELCBR",[1]OUT_FinalEnergyCons!$A$4:$A$10000)))*1,[1]OUT_FinalEnergyCons!K$4:K$10000)</f>
        <v>1.0075526212110879</v>
      </c>
      <c r="N1864" s="1" cm="1">
        <f t="array" ref="N1864">SUMPRODUCT(([1]OUT_FinalEnergyCons!$B$4:$B$10000="Var_cap")*1,  (ISNUMBER(SEARCH("ITOT-SWHELCBR",[1]OUT_FinalEnergyCons!$A$4:$A$10000)))*1,[1]OUT_FinalEnergyCons!L$4:L$10000)</f>
        <v>0.97932053099635374</v>
      </c>
      <c r="O1864" s="1" cm="1">
        <f t="array" ref="O1864">SUMPRODUCT(([1]OUT_FinalEnergyCons!$B$4:$B$10000="Var_cap")*1,  (ISNUMBER(SEARCH("ITOT-SWHELCBR",[1]OUT_FinalEnergyCons!$A$4:$A$10000)))*1,[1]OUT_FinalEnergyCons!M$4:M$10000)</f>
        <v>1.0299072817932378</v>
      </c>
      <c r="P1864" s="1" cm="1">
        <f t="array" ref="P1864">SUMPRODUCT(([1]OUT_FinalEnergyCons!$B$4:$B$10000="Var_cap")*1,  (ISNUMBER(SEARCH("ITOT-SWHELCBR",[1]OUT_FinalEnergyCons!$A$4:$A$10000)))*1,[1]OUT_FinalEnergyCons!N$4:N$10000)</f>
        <v>1.0093267597249109</v>
      </c>
      <c r="Q1864" s="1" cm="1">
        <f t="array" ref="Q1864">SUMPRODUCT(([1]OUT_FinalEnergyCons!$B$4:$B$10000="Var_cap")*1,  (ISNUMBER(SEARCH("ITOT-SWHELCBR",[1]OUT_FinalEnergyCons!$A$4:$A$10000)))*1,[1]OUT_FinalEnergyCons!O$4:O$10000)</f>
        <v>1.0273897461809107</v>
      </c>
      <c r="S1864" s="3"/>
    </row>
    <row r="1865" spans="2:19" x14ac:dyDescent="0.5">
      <c r="B1865" s="5" t="str">
        <f t="shared" si="2110"/>
        <v>SPS1</v>
      </c>
      <c r="C1865" s="5" t="str">
        <f t="shared" si="2105"/>
        <v>CH</v>
      </c>
      <c r="D1865" t="s">
        <v>2095</v>
      </c>
      <c r="E1865" t="str">
        <f t="shared" si="2015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7.6315209243727075E-2</v>
      </c>
      <c r="H1865" s="1" cm="1">
        <f t="array" ref="H1865">SUMPRODUCT(([1]OUT_FinalEnergyCons!$B$4:$B$10000="Var_cap")*1,  (ISNUMBER(SEARCH("ITOT-SWHELCHP",[1]OUT_FinalEnergyCons!$A$4:$A$10000)))*1,[1]OUT_FinalEnergyCons!F$4:F$10000)</f>
        <v>0.19314975561656683</v>
      </c>
      <c r="I1865" s="1" cm="1">
        <f t="array" ref="I1865">SUMPRODUCT(([1]OUT_FinalEnergyCons!$B$4:$B$10000="Var_cap")*1,  (ISNUMBER(SEARCH("ITOT-SWHELCHP",[1]OUT_FinalEnergyCons!$A$4:$A$10000)))*1,[1]OUT_FinalEnergyCons!G$4:G$10000)</f>
        <v>0.31643392711979668</v>
      </c>
      <c r="J1865" s="1" cm="1">
        <f t="array" ref="J1865">SUMPRODUCT(([1]OUT_FinalEnergyCons!$B$4:$B$10000="Var_cap")*1,  (ISNUMBER(SEARCH("ITOT-SWHELCHP",[1]OUT_FinalEnergyCons!$A$4:$A$10000)))*1,[1]OUT_FinalEnergyCons!H$4:H$10000)</f>
        <v>0.44678699586074555</v>
      </c>
      <c r="K1865" s="1" cm="1">
        <f t="array" ref="K1865">SUMPRODUCT(([1]OUT_FinalEnergyCons!$B$4:$B$10000="Var_cap")*1,  (ISNUMBER(SEARCH("ITOT-SWHELCHP",[1]OUT_FinalEnergyCons!$A$4:$A$10000)))*1,[1]OUT_FinalEnergyCons!I$4:I$10000)</f>
        <v>0.48218975721307422</v>
      </c>
      <c r="L1865" s="1" cm="1">
        <f t="array" ref="L1865">SUMPRODUCT(([1]OUT_FinalEnergyCons!$B$4:$B$10000="Var_cap")*1,  (ISNUMBER(SEARCH("ITOT-SWHELCHP",[1]OUT_FinalEnergyCons!$A$4:$A$10000)))*1,[1]OUT_FinalEnergyCons!J$4:J$10000)</f>
        <v>0.48214965262611353</v>
      </c>
      <c r="M1865" s="1" cm="1">
        <f t="array" ref="M1865">SUMPRODUCT(([1]OUT_FinalEnergyCons!$B$4:$B$10000="Var_cap")*1,  (ISNUMBER(SEARCH("ITOT-SWHELCHP",[1]OUT_FinalEnergyCons!$A$4:$A$10000)))*1,[1]OUT_FinalEnergyCons!K$4:K$10000)</f>
        <v>0.48124349565668673</v>
      </c>
      <c r="N1865" s="1" cm="1">
        <f t="array" ref="N1865">SUMPRODUCT(([1]OUT_FinalEnergyCons!$B$4:$B$10000="Var_cap")*1,  (ISNUMBER(SEARCH("ITOT-SWHELCHP",[1]OUT_FinalEnergyCons!$A$4:$A$10000)))*1,[1]OUT_FinalEnergyCons!L$4:L$10000)</f>
        <v>0.48148464079714015</v>
      </c>
      <c r="O1865" s="1" cm="1">
        <f t="array" ref="O1865">SUMPRODUCT(([1]OUT_FinalEnergyCons!$B$4:$B$10000="Var_cap")*1,  (ISNUMBER(SEARCH("ITOT-SWHELCHP",[1]OUT_FinalEnergyCons!$A$4:$A$10000)))*1,[1]OUT_FinalEnergyCons!M$4:M$10000)</f>
        <v>0.54121105037427475</v>
      </c>
      <c r="P1865" s="1" cm="1">
        <f t="array" ref="P1865">SUMPRODUCT(([1]OUT_FinalEnergyCons!$B$4:$B$10000="Var_cap")*1,  (ISNUMBER(SEARCH("ITOT-SWHELCHP",[1]OUT_FinalEnergyCons!$A$4:$A$10000)))*1,[1]OUT_FinalEnergyCons!N$4:N$10000)</f>
        <v>0.53998308014258511</v>
      </c>
      <c r="Q1865" s="1" cm="1">
        <f t="array" ref="Q1865">SUMPRODUCT(([1]OUT_FinalEnergyCons!$B$4:$B$10000="Var_cap")*1,  (ISNUMBER(SEARCH("ITOT-SWHELCHP",[1]OUT_FinalEnergyCons!$A$4:$A$10000)))*1,[1]OUT_FinalEnergyCons!O$4:O$10000)</f>
        <v>0.53887311430872953</v>
      </c>
      <c r="S1865" s="3"/>
    </row>
    <row r="1866" spans="2:19" x14ac:dyDescent="0.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2015"/>
        <v>GWth/yr.</v>
      </c>
      <c r="F1866" s="18">
        <f>SUM(F1867:F1868)</f>
        <v>0.4774567471736505</v>
      </c>
      <c r="G1866" s="18">
        <f t="shared" ref="G1866:K1866" si="2111">SUM(G1867:G1868)</f>
        <v>0.48879912944958009</v>
      </c>
      <c r="H1866" s="18">
        <f t="shared" si="2111"/>
        <v>0.3878879086351581</v>
      </c>
      <c r="I1866" s="18">
        <f t="shared" si="2111"/>
        <v>0.38766205457968955</v>
      </c>
      <c r="J1866" s="18">
        <f t="shared" si="2111"/>
        <v>0.26692076445074281</v>
      </c>
      <c r="K1866" s="18">
        <f t="shared" si="2111"/>
        <v>0.16712144320020778</v>
      </c>
      <c r="L1866" s="18">
        <f t="shared" ref="L1866:O1866" si="2112">SUM(L1867:L1868)</f>
        <v>0.14555905248154299</v>
      </c>
      <c r="M1866" s="18">
        <f t="shared" si="2112"/>
        <v>2.0954134102985734E-2</v>
      </c>
      <c r="N1866" s="18">
        <f t="shared" si="2112"/>
        <v>1.8532714583219773E-2</v>
      </c>
      <c r="O1866" s="18">
        <f t="shared" si="2112"/>
        <v>1.820549648661144E-2</v>
      </c>
      <c r="P1866" s="18">
        <f>SUM(P1867:P1868)</f>
        <v>1.8034726978766017E-2</v>
      </c>
      <c r="Q1866" s="18">
        <f>SUM(Q1867:Q1868)</f>
        <v>2.033689654745512E-2</v>
      </c>
      <c r="S1866" s="3"/>
    </row>
    <row r="1867" spans="2:19" x14ac:dyDescent="0.5">
      <c r="B1867" s="5" t="str">
        <f t="shared" ref="B1867:B1884" si="2113">B1866</f>
        <v>SPS1</v>
      </c>
      <c r="C1867" s="5" t="str">
        <f t="shared" ref="C1867:C1884" si="2114">C1866</f>
        <v>CH</v>
      </c>
      <c r="D1867" t="s">
        <v>2097</v>
      </c>
      <c r="E1867" t="str">
        <f t="shared" si="2015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0.38770359472047566</v>
      </c>
      <c r="H1867" s="1" cm="1">
        <f t="array" ref="H1867">SUMPRODUCT(([1]OUT_FinalEnergyCons!$B$4:$B$10000="Var_cap")*1,  (ISNUMBER(SEARCH("ITOT-SWHLFOBR",[1]OUT_FinalEnergyCons!$A$4:$A$10000)))*1,[1]OUT_FinalEnergyCons!F$4:F$10000)</f>
        <v>0.38768138270238078</v>
      </c>
      <c r="I1867" s="1" cm="1">
        <f t="array" ref="I1867">SUMPRODUCT(([1]OUT_FinalEnergyCons!$B$4:$B$10000="Var_cap")*1,  (ISNUMBER(SEARCH("ITOT-SWHLFOBR",[1]OUT_FinalEnergyCons!$A$4:$A$10000)))*1,[1]OUT_FinalEnergyCons!G$4:G$10000)</f>
        <v>0.38760286022594731</v>
      </c>
      <c r="J1867" s="1" cm="1">
        <f t="array" ref="J1867">SUMPRODUCT(([1]OUT_FinalEnergyCons!$B$4:$B$10000="Var_cap")*1,  (ISNUMBER(SEARCH("ITOT-SWHLFOBR",[1]OUT_FinalEnergyCons!$A$4:$A$10000)))*1,[1]OUT_FinalEnergyCons!H$4:H$10000)</f>
        <v>0.26682784921729397</v>
      </c>
      <c r="K1867" s="1" cm="1">
        <f t="array" ref="K1867">SUMPRODUCT(([1]OUT_FinalEnergyCons!$B$4:$B$10000="Var_cap")*1,  (ISNUMBER(SEARCH("ITOT-SWHLFOBR",[1]OUT_FinalEnergyCons!$A$4:$A$10000)))*1,[1]OUT_FinalEnergyCons!I$4:I$10000)</f>
        <v>0.16703618297907938</v>
      </c>
      <c r="L1867" s="1" cm="1">
        <f t="array" ref="L1867">SUMPRODUCT(([1]OUT_FinalEnergyCons!$B$4:$B$10000="Var_cap")*1,  (ISNUMBER(SEARCH("ITOT-SWHLFOBR",[1]OUT_FinalEnergyCons!$A$4:$A$10000)))*1,[1]OUT_FinalEnergyCons!J$4:J$10000)</f>
        <v>0.14546171132210411</v>
      </c>
      <c r="M1867" s="1" cm="1">
        <f t="array" ref="M1867">SUMPRODUCT(([1]OUT_FinalEnergyCons!$B$4:$B$10000="Var_cap")*1,  (ISNUMBER(SEARCH("ITOT-SWHLFOBR",[1]OUT_FinalEnergyCons!$A$4:$A$10000)))*1,[1]OUT_FinalEnergyCons!K$4:K$10000)</f>
        <v>2.0954134102985734E-2</v>
      </c>
      <c r="N1867" s="1" cm="1">
        <f t="array" ref="N1867">SUMPRODUCT(([1]OUT_FinalEnergyCons!$B$4:$B$10000="Var_cap")*1,  (ISNUMBER(SEARCH("ITOT-SWHLFOBR",[1]OUT_FinalEnergyCons!$A$4:$A$10000)))*1,[1]OUT_FinalEnergyCons!L$4:L$10000)</f>
        <v>1.8532714583219773E-2</v>
      </c>
      <c r="O1867" s="1" cm="1">
        <f t="array" ref="O1867">SUMPRODUCT(([1]OUT_FinalEnergyCons!$B$4:$B$10000="Var_cap")*1,  (ISNUMBER(SEARCH("ITOT-SWHLFOBR",[1]OUT_FinalEnergyCons!$A$4:$A$10000)))*1,[1]OUT_FinalEnergyCons!M$4:M$10000)</f>
        <v>1.820549648661144E-2</v>
      </c>
      <c r="P1867" s="1" cm="1">
        <f t="array" ref="P1867">SUMPRODUCT(([1]OUT_FinalEnergyCons!$B$4:$B$10000="Var_cap")*1,  (ISNUMBER(SEARCH("ITOT-SWHLFOBR",[1]OUT_FinalEnergyCons!$A$4:$A$10000)))*1,[1]OUT_FinalEnergyCons!N$4:N$10000)</f>
        <v>1.8034726978766017E-2</v>
      </c>
      <c r="Q1867" s="1" cm="1">
        <f t="array" ref="Q1867">SUMPRODUCT(([1]OUT_FinalEnergyCons!$B$4:$B$10000="Var_cap")*1,  (ISNUMBER(SEARCH("ITOT-SWHLFOBR",[1]OUT_FinalEnergyCons!$A$4:$A$10000)))*1,[1]OUT_FinalEnergyCons!O$4:O$10000)</f>
        <v>2.033689654745512E-2</v>
      </c>
      <c r="S1867" s="3"/>
    </row>
    <row r="1868" spans="2:19" x14ac:dyDescent="0.5">
      <c r="B1868" s="5" t="str">
        <f t="shared" si="2113"/>
        <v>SPS1</v>
      </c>
      <c r="C1868" s="5" t="str">
        <f t="shared" si="2114"/>
        <v>CH</v>
      </c>
      <c r="D1868" t="s">
        <v>2098</v>
      </c>
      <c r="E1868" t="str">
        <f t="shared" si="2015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0.10112130754281848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0.10109553472910442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2.0652593277734055E-4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5.9194353742228478E-5</v>
      </c>
      <c r="J1868" s="1" cm="1">
        <f t="array" ref="J1868">IF(SUMPRODUCT(([1]OUT_FinalEnergyCons!$B$4:$B$10000="Var_cap")*1,  (ISNUMBER(SEARCH("ITOT-SWHHFOBR",[1]OUT_FinalEnergyCons!$A$4:$A$10000)))*1,[1]OUT_FinalEnergyCons!H$4:H$10000)&lt;0,0,SUMPRODUCT(([1]OUT_FinalEnergyCons!$B$4:$B$10000="Var_cap")*1,  (ISNUMBER(SEARCH("ITOT-SWHHFOBR",[1]OUT_FinalEnergyCons!$A$4:$A$10000)))*1,[1]OUT_FinalEnergyCons!H$4:H$10000))</f>
        <v>9.291523344884256E-5</v>
      </c>
      <c r="K1868" s="1" cm="1">
        <f t="array" ref="K1868">IF(SUMPRODUCT(([1]OUT_FinalEnergyCons!$B$4:$B$10000="Var_cap")*1,  (ISNUMBER(SEARCH("ITOT-SWHHFOBR",[1]OUT_FinalEnergyCons!$A$4:$A$10000)))*1,[1]OUT_FinalEnergyCons!I$4:I$10000)&lt;0,0,SUMPRODUCT(([1]OUT_FinalEnergyCons!$B$4:$B$10000="Var_cap")*1,  (ISNUMBER(SEARCH("ITOT-SWHHFOBR",[1]OUT_FinalEnergyCons!$A$4:$A$10000)))*1,[1]OUT_FinalEnergyCons!I$4:I$10000))</f>
        <v>8.5260221128394397E-5</v>
      </c>
      <c r="L1868" s="1" cm="1">
        <f t="array" ref="L1868">IF(SUMPRODUCT(([1]OUT_FinalEnergyCons!$B$4:$B$10000="Var_cap")*1,  (ISNUMBER(SEARCH("ITOT-SWHHFOBR",[1]OUT_FinalEnergyCons!$A$4:$A$10000)))*1,[1]OUT_FinalEnergyCons!J$4:J$10000)&lt;0,0,SUMPRODUCT(([1]OUT_FinalEnergyCons!$B$4:$B$10000="Var_cap")*1,  (ISNUMBER(SEARCH("ITOT-SWHHFOBR",[1]OUT_FinalEnergyCons!$A$4:$A$10000)))*1,[1]OUT_FinalEnergyCons!J$4:J$10000))</f>
        <v>9.7341159438874892E-5</v>
      </c>
      <c r="M1868" s="1" cm="1">
        <f t="array" ref="M1868">IF(SUMPRODUCT(([1]OUT_FinalEnergyCons!$B$4:$B$10000="Var_cap")*1,  (ISNUMBER(SEARCH("ITOT-SWHHFOBR",[1]OUT_FinalEnergyCons!$A$4:$A$10000)))*1,[1]OUT_FinalEnergyCons!K$4:K$10000)&lt;0,0,SUMPRODUCT(([1]OUT_FinalEnergyCons!$B$4:$B$10000="Var_cap")*1,  (ISNUMBER(SEARCH("ITOT-SWHHFOBR",[1]OUT_FinalEnergyCons!$A$4:$A$10000)))*1,[1]OUT_FinalEnergyCons!K$4:K$10000))</f>
        <v>0</v>
      </c>
      <c r="N1868" s="1" cm="1">
        <f t="array" ref="N1868">IF(SUMPRODUCT(([1]OUT_FinalEnergyCons!$B$4:$B$10000="Var_cap")*1,  (ISNUMBER(SEARCH("ITOT-SWHHFOBR",[1]OUT_FinalEnergyCons!$A$4:$A$10000)))*1,[1]OUT_FinalEnergyCons!L$4:L$10000)&lt;0,0,SUMPRODUCT(([1]OUT_FinalEnergyCons!$B$4:$B$10000="Var_cap")*1,  (ISNUMBER(SEARCH("ITOT-SWHHFOBR",[1]OUT_FinalEnergyCons!$A$4:$A$10000)))*1,[1]OUT_FinalEnergyCons!L$4:L$10000))</f>
        <v>0</v>
      </c>
      <c r="O1868" s="1" cm="1">
        <f t="array" ref="O1868">IF(SUMPRODUCT(([1]OUT_FinalEnergyCons!$B$4:$B$10000="Var_cap")*1,  (ISNUMBER(SEARCH("ITOT-SWHHFOBR",[1]OUT_FinalEnergyCons!$A$4:$A$10000)))*1,[1]OUT_FinalEnergyCons!M$4:M$10000)&lt;0,0,SUMPRODUCT(([1]OUT_FinalEnergyCons!$B$4:$B$10000="Var_cap")*1,  (ISNUMBER(SEARCH("ITOT-SWHHFOBR",[1]OUT_FinalEnergyCons!$A$4:$A$10000)))*1,[1]OUT_FinalEnergyCons!M$4:M$10000))</f>
        <v>0</v>
      </c>
      <c r="P1868" s="1" cm="1">
        <f t="array" ref="P1868">IF(SUMPRODUCT(([1]OUT_FinalEnergyCons!$B$4:$B$10000="Var_cap")*1,  (ISNUMBER(SEARCH("ITOT-SWHHFOBR",[1]OUT_FinalEnergyCons!$A$4:$A$10000)))*1,[1]OUT_FinalEnergyCons!N$4:N$10000)&lt;0,0,SUMPRODUCT(([1]OUT_FinalEnergyCons!$B$4:$B$10000="Var_cap")*1,  (ISNUMBER(SEARCH("ITOT-SWHHFOBR",[1]OUT_FinalEnergyCons!$A$4:$A$10000)))*1,[1]OUT_FinalEnergyCons!N$4:N$10000))</f>
        <v>0</v>
      </c>
      <c r="Q1868" s="1" cm="1">
        <f t="array" ref="Q1868">IF(SUMPRODUCT(([1]OUT_FinalEnergyCons!$B$4:$B$10000="Var_cap")*1,  (ISNUMBER(SEARCH("ITOT-SWHHFOBR",[1]OUT_FinalEnergyCons!$A$4:$A$10000)))*1,[1]OUT_FinalEnergyCons!O$4:O$10000)&lt;0,0,SUMPRODUCT(([1]OUT_FinalEnergyCons!$B$4:$B$10000="Var_cap")*1,  (ISNUMBER(SEARCH("ITOT-SWHHFOBR",[1]OUT_FinalEnergyCons!$A$4:$A$10000)))*1,[1]OUT_FinalEnergyCons!O$4:O$10000))</f>
        <v>0</v>
      </c>
      <c r="S1868" s="3"/>
    </row>
    <row r="1869" spans="2:19" x14ac:dyDescent="0.5">
      <c r="B1869" s="5" t="str">
        <f t="shared" si="2113"/>
        <v>SPS1</v>
      </c>
      <c r="C1869" s="5" t="str">
        <f t="shared" si="2114"/>
        <v>CH</v>
      </c>
      <c r="D1869" t="s">
        <v>2099</v>
      </c>
      <c r="E1869" t="str">
        <f t="shared" si="2015"/>
        <v>GWth/yr.</v>
      </c>
      <c r="F1869" s="18">
        <f>SUM(F1870:F1871)</f>
        <v>1.556581895256</v>
      </c>
      <c r="G1869" s="18">
        <f t="shared" ref="G1869:K1869" si="2115">SUM(G1870:G1871)</f>
        <v>1.5566817251817717</v>
      </c>
      <c r="H1869" s="18">
        <f t="shared" si="2115"/>
        <v>1.559625316302635</v>
      </c>
      <c r="I1869" s="18">
        <f t="shared" si="2115"/>
        <v>1.5654248227730108</v>
      </c>
      <c r="J1869" s="18">
        <f t="shared" si="2115"/>
        <v>1.2488717169829884</v>
      </c>
      <c r="K1869" s="18">
        <f t="shared" si="2115"/>
        <v>1.2240513101313213</v>
      </c>
      <c r="L1869" s="18">
        <f t="shared" ref="L1869:O1869" si="2116">SUM(L1870:L1871)</f>
        <v>1.2239417827013457</v>
      </c>
      <c r="M1869" s="18">
        <f t="shared" si="2116"/>
        <v>1.1479542552521027</v>
      </c>
      <c r="N1869" s="18">
        <f t="shared" si="2116"/>
        <v>0.97920164619270988</v>
      </c>
      <c r="O1869" s="18">
        <f t="shared" si="2116"/>
        <v>1.0960188389625243</v>
      </c>
      <c r="P1869" s="18">
        <f>SUM(P1870:P1871)</f>
        <v>0.90706352722491812</v>
      </c>
      <c r="Q1869" s="18">
        <f>SUM(Q1870:Q1871)</f>
        <v>0.88166385028893191</v>
      </c>
      <c r="S1869" s="3"/>
    </row>
    <row r="1870" spans="2:19" x14ac:dyDescent="0.5">
      <c r="B1870" s="5" t="str">
        <f t="shared" si="2113"/>
        <v>SPS1</v>
      </c>
      <c r="C1870" s="5" t="str">
        <f t="shared" si="2114"/>
        <v>CH</v>
      </c>
      <c r="D1870" t="s">
        <v>2100</v>
      </c>
      <c r="E1870" t="str">
        <f t="shared" si="2015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1.5565865101987408</v>
      </c>
      <c r="H1870" s="1" cm="1">
        <f t="array" ref="H1870">SUMPRODUCT(([1]OUT_FinalEnergyCons!$B$4:$B$10000="Var_cap")*1,  (ISNUMBER(SEARCH("ITOT-SWHNGA*BR",[1]OUT_FinalEnergyCons!$A$4:$A$10000)))*1,[1]OUT_FinalEnergyCons!F$4:F$10000)</f>
        <v>1.5566124229393985</v>
      </c>
      <c r="I1870" s="1" cm="1">
        <f t="array" ref="I1870">SUMPRODUCT(([1]OUT_FinalEnergyCons!$B$4:$B$10000="Var_cap")*1,  (ISNUMBER(SEARCH("ITOT-SWHNGA*BR",[1]OUT_FinalEnergyCons!$A$4:$A$10000)))*1,[1]OUT_FinalEnergyCons!G$4:G$10000)</f>
        <v>1.5565493679588056</v>
      </c>
      <c r="J1870" s="1" cm="1">
        <f t="array" ref="J1870">SUMPRODUCT(([1]OUT_FinalEnergyCons!$B$4:$B$10000="Var_cap")*1,  (ISNUMBER(SEARCH("ITOT-SWHNGA*BR",[1]OUT_FinalEnergyCons!$A$4:$A$10000)))*1,[1]OUT_FinalEnergyCons!H$4:H$10000)</f>
        <v>1.2377973972833973</v>
      </c>
      <c r="K1870" s="1" cm="1">
        <f t="array" ref="K1870">SUMPRODUCT(([1]OUT_FinalEnergyCons!$B$4:$B$10000="Var_cap")*1,  (ISNUMBER(SEARCH("ITOT-SWHNGA*BR",[1]OUT_FinalEnergyCons!$A$4:$A$10000)))*1,[1]OUT_FinalEnergyCons!I$4:I$10000)</f>
        <v>1.2112277368253643</v>
      </c>
      <c r="L1870" s="1" cm="1">
        <f t="array" ref="L1870">SUMPRODUCT(([1]OUT_FinalEnergyCons!$B$4:$B$10000="Var_cap")*1,  (ISNUMBER(SEARCH("ITOT-SWHNGA*BR",[1]OUT_FinalEnergyCons!$A$4:$A$10000)))*1,[1]OUT_FinalEnergyCons!J$4:J$10000)</f>
        <v>1.2111092932750982</v>
      </c>
      <c r="M1870" s="1" cm="1">
        <f t="array" ref="M1870">SUMPRODUCT(([1]OUT_FinalEnergyCons!$B$4:$B$10000="Var_cap")*1,  (ISNUMBER(SEARCH("ITOT-SWHNGA*BR",[1]OUT_FinalEnergyCons!$A$4:$A$10000)))*1,[1]OUT_FinalEnergyCons!K$4:K$10000)</f>
        <v>1.1348949743007759</v>
      </c>
      <c r="N1870" s="1" cm="1">
        <f t="array" ref="N1870">SUMPRODUCT(([1]OUT_FinalEnergyCons!$B$4:$B$10000="Var_cap")*1,  (ISNUMBER(SEARCH("ITOT-SWHNGA*BR",[1]OUT_FinalEnergyCons!$A$4:$A$10000)))*1,[1]OUT_FinalEnergyCons!L$4:L$10000)</f>
        <v>0.9663398266012414</v>
      </c>
      <c r="O1870" s="1" cm="1">
        <f t="array" ref="O1870">SUMPRODUCT(([1]OUT_FinalEnergyCons!$B$4:$B$10000="Var_cap")*1,  (ISNUMBER(SEARCH("ITOT-SWHNGA*BR",[1]OUT_FinalEnergyCons!$A$4:$A$10000)))*1,[1]OUT_FinalEnergyCons!M$4:M$10000)</f>
        <v>0.90860304342108833</v>
      </c>
      <c r="P1870" s="1" cm="1">
        <f t="array" ref="P1870">SUMPRODUCT(([1]OUT_FinalEnergyCons!$B$4:$B$10000="Var_cap")*1,  (ISNUMBER(SEARCH("ITOT-SWHNGA*BR",[1]OUT_FinalEnergyCons!$A$4:$A$10000)))*1,[1]OUT_FinalEnergyCons!N$4:N$10000)</f>
        <v>0.71969636439491325</v>
      </c>
      <c r="Q1870" s="1" cm="1">
        <f t="array" ref="Q1870">SUMPRODUCT(([1]OUT_FinalEnergyCons!$B$4:$B$10000="Var_cap")*1,  (ISNUMBER(SEARCH("ITOT-SWHNGA*BR",[1]OUT_FinalEnergyCons!$A$4:$A$10000)))*1,[1]OUT_FinalEnergyCons!O$4:O$10000)</f>
        <v>0.6940195545850304</v>
      </c>
      <c r="S1870" s="3"/>
    </row>
    <row r="1871" spans="2:19" x14ac:dyDescent="0.5">
      <c r="B1871" s="5" t="str">
        <f t="shared" si="2113"/>
        <v>SPS1</v>
      </c>
      <c r="C1871" s="5" t="str">
        <f t="shared" si="2114"/>
        <v>CH</v>
      </c>
      <c r="D1871" t="s">
        <v>2101</v>
      </c>
      <c r="E1871" t="str">
        <f t="shared" si="2015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9.5214983030838995E-5</v>
      </c>
      <c r="H1871" s="1" cm="1">
        <f t="array" ref="H1871">SUMPRODUCT(([1]OUT_FinalEnergyCons!$B$4:$B$10000="Var_cap")*1,  (ISNUMBER(SEARCH("ITOT-SWHNGAHP",[1]OUT_FinalEnergyCons!$A$4:$A$10000)))*1,[1]OUT_FinalEnergyCons!F$4:F$10000)</f>
        <v>3.0128933632365515E-3</v>
      </c>
      <c r="I1871" s="1" cm="1">
        <f t="array" ref="I1871">SUMPRODUCT(([1]OUT_FinalEnergyCons!$B$4:$B$10000="Var_cap")*1,  (ISNUMBER(SEARCH("ITOT-SWHNGAHP",[1]OUT_FinalEnergyCons!$A$4:$A$10000)))*1,[1]OUT_FinalEnergyCons!G$4:G$10000)</f>
        <v>8.8754548142050849E-3</v>
      </c>
      <c r="J1871" s="1" cm="1">
        <f t="array" ref="J1871">SUMPRODUCT(([1]OUT_FinalEnergyCons!$B$4:$B$10000="Var_cap")*1,  (ISNUMBER(SEARCH("ITOT-SWHNGAHP",[1]OUT_FinalEnergyCons!$A$4:$A$10000)))*1,[1]OUT_FinalEnergyCons!H$4:H$10000)</f>
        <v>1.107431969959108E-2</v>
      </c>
      <c r="K1871" s="1" cm="1">
        <f t="array" ref="K1871">SUMPRODUCT(([1]OUT_FinalEnergyCons!$B$4:$B$10000="Var_cap")*1,  (ISNUMBER(SEARCH("ITOT-SWHNGAHP",[1]OUT_FinalEnergyCons!$A$4:$A$10000)))*1,[1]OUT_FinalEnergyCons!I$4:I$10000)</f>
        <v>1.2823573305956978E-2</v>
      </c>
      <c r="L1871" s="1" cm="1">
        <f t="array" ref="L1871">SUMPRODUCT(([1]OUT_FinalEnergyCons!$B$4:$B$10000="Var_cap")*1,  (ISNUMBER(SEARCH("ITOT-SWHNGAHP",[1]OUT_FinalEnergyCons!$A$4:$A$10000)))*1,[1]OUT_FinalEnergyCons!J$4:J$10000)</f>
        <v>1.2832489426247389E-2</v>
      </c>
      <c r="M1871" s="1" cm="1">
        <f t="array" ref="M1871">SUMPRODUCT(([1]OUT_FinalEnergyCons!$B$4:$B$10000="Var_cap")*1,  (ISNUMBER(SEARCH("ITOT-SWHNGAHP",[1]OUT_FinalEnergyCons!$A$4:$A$10000)))*1,[1]OUT_FinalEnergyCons!K$4:K$10000)</f>
        <v>1.3059280951326786E-2</v>
      </c>
      <c r="N1871" s="1" cm="1">
        <f t="array" ref="N1871">SUMPRODUCT(([1]OUT_FinalEnergyCons!$B$4:$B$10000="Var_cap")*1,  (ISNUMBER(SEARCH("ITOT-SWHNGAHP",[1]OUT_FinalEnergyCons!$A$4:$A$10000)))*1,[1]OUT_FinalEnergyCons!L$4:L$10000)</f>
        <v>1.2861819591468506E-2</v>
      </c>
      <c r="O1871" s="1" cm="1">
        <f t="array" ref="O1871">SUMPRODUCT(([1]OUT_FinalEnergyCons!$B$4:$B$10000="Var_cap")*1,  (ISNUMBER(SEARCH("ITOT-SWHNGAHP",[1]OUT_FinalEnergyCons!$A$4:$A$10000)))*1,[1]OUT_FinalEnergyCons!M$4:M$10000)</f>
        <v>0.18741579554143584</v>
      </c>
      <c r="P1871" s="1" cm="1">
        <f t="array" ref="P1871">SUMPRODUCT(([1]OUT_FinalEnergyCons!$B$4:$B$10000="Var_cap")*1,  (ISNUMBER(SEARCH("ITOT-SWHNGAHP",[1]OUT_FinalEnergyCons!$A$4:$A$10000)))*1,[1]OUT_FinalEnergyCons!N$4:N$10000)</f>
        <v>0.18736716283000482</v>
      </c>
      <c r="Q1871" s="1" cm="1">
        <f t="array" ref="Q1871">SUMPRODUCT(([1]OUT_FinalEnergyCons!$B$4:$B$10000="Var_cap")*1,  (ISNUMBER(SEARCH("ITOT-SWHNGAHP",[1]OUT_FinalEnergyCons!$A$4:$A$10000)))*1,[1]OUT_FinalEnergyCons!O$4:O$10000)</f>
        <v>0.18764429570390154</v>
      </c>
      <c r="S1871" s="3"/>
    </row>
    <row r="1872" spans="2:19" x14ac:dyDescent="0.5">
      <c r="B1872" s="5" t="str">
        <f t="shared" si="2113"/>
        <v>SPS1</v>
      </c>
      <c r="C1872" s="5" t="str">
        <f t="shared" si="2114"/>
        <v>CH</v>
      </c>
      <c r="D1872" t="s">
        <v>2102</v>
      </c>
      <c r="E1872" t="str">
        <f t="shared" si="2015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3.054506383018063E-2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4.1687789958284559E-2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9.3777778185407487E-2</v>
      </c>
      <c r="J1872" s="1" cm="1">
        <f t="array" ref="J1872">SUMPRODUCT(([1]OUT_FinalEnergyCons!$B$4:$B$10000="Var_cap")*1,  (("ITOT-SWHBIOBR"=[1]OUT_FinalEnergyCons!$A$4:$A$10000)*1+("ITOT-SWHBNGABR"=[1]OUT_FinalEnergyCons!$A$4:$A$10000))*1,[1]OUT_FinalEnergyCons!H$4:H$10000)</f>
        <v>0.16831648158817372</v>
      </c>
      <c r="K1872" s="1" cm="1">
        <f t="array" ref="K1872">SUMPRODUCT(([1]OUT_FinalEnergyCons!$B$4:$B$10000="Var_cap")*1,  (("ITOT-SWHBIOBR"=[1]OUT_FinalEnergyCons!$A$4:$A$10000)*1+("ITOT-SWHBNGABR"=[1]OUT_FinalEnergyCons!$A$4:$A$10000))*1,[1]OUT_FinalEnergyCons!I$4:I$10000)</f>
        <v>0.35417260840897546</v>
      </c>
      <c r="L1872" s="1" cm="1">
        <f t="array" ref="L1872">SUMPRODUCT(([1]OUT_FinalEnergyCons!$B$4:$B$10000="Var_cap")*1,  (("ITOT-SWHBIOBR"=[1]OUT_FinalEnergyCons!$A$4:$A$10000)*1+("ITOT-SWHBNGABR"=[1]OUT_FinalEnergyCons!$A$4:$A$10000))*1,[1]OUT_FinalEnergyCons!J$4:J$10000)</f>
        <v>0.30994571496812889</v>
      </c>
      <c r="M1872" s="1" cm="1">
        <f t="array" ref="M1872">SUMPRODUCT(([1]OUT_FinalEnergyCons!$B$4:$B$10000="Var_cap")*1,  (("ITOT-SWHBIOBR"=[1]OUT_FinalEnergyCons!$A$4:$A$10000)*1+("ITOT-SWHBNGABR"=[1]OUT_FinalEnergyCons!$A$4:$A$10000))*1,[1]OUT_FinalEnergyCons!K$4:K$10000)</f>
        <v>0.34304886186313382</v>
      </c>
      <c r="N1872" s="1" cm="1">
        <f t="array" ref="N1872">SUMPRODUCT(([1]OUT_FinalEnergyCons!$B$4:$B$10000="Var_cap")*1,  (("ITOT-SWHBIOBR"=[1]OUT_FinalEnergyCons!$A$4:$A$10000)*1+("ITOT-SWHBNGABR"=[1]OUT_FinalEnergyCons!$A$4:$A$10000))*1,[1]OUT_FinalEnergyCons!L$4:L$10000)</f>
        <v>0.30953423939099667</v>
      </c>
      <c r="O1872" s="1" cm="1">
        <f t="array" ref="O1872">SUMPRODUCT(([1]OUT_FinalEnergyCons!$B$4:$B$10000="Var_cap")*1,  (("ITOT-SWHBIOBR"=[1]OUT_FinalEnergyCons!$A$4:$A$10000)*1+("ITOT-SWHBNGABR"=[1]OUT_FinalEnergyCons!$A$4:$A$10000))*1,[1]OUT_FinalEnergyCons!M$4:M$10000)</f>
        <v>0.30314046145371676</v>
      </c>
      <c r="P1872" s="1" cm="1">
        <f t="array" ref="P1872">SUMPRODUCT(([1]OUT_FinalEnergyCons!$B$4:$B$10000="Var_cap")*1,  (("ITOT-SWHBIOBR"=[1]OUT_FinalEnergyCons!$A$4:$A$10000)*1+("ITOT-SWHBNGABR"=[1]OUT_FinalEnergyCons!$A$4:$A$10000))*1,[1]OUT_FinalEnergyCons!N$4:N$10000)</f>
        <v>0.32358107895081573</v>
      </c>
      <c r="Q1872" s="1" cm="1">
        <f t="array" ref="Q1872">SUMPRODUCT(([1]OUT_FinalEnergyCons!$B$4:$B$10000="Var_cap")*1,  (("ITOT-SWHBIOBR"=[1]OUT_FinalEnergyCons!$A$4:$A$10000)*1+("ITOT-SWHBNGABR"=[1]OUT_FinalEnergyCons!$A$4:$A$10000))*1,[1]OUT_FinalEnergyCons!O$4:O$10000)</f>
        <v>0.36108174110042457</v>
      </c>
      <c r="S1872" s="3"/>
    </row>
    <row r="1873" spans="2:19" x14ac:dyDescent="0.5">
      <c r="B1873" s="5" t="str">
        <f t="shared" si="2113"/>
        <v>SPS1</v>
      </c>
      <c r="C1873" s="5" t="str">
        <f t="shared" si="2114"/>
        <v>CH</v>
      </c>
      <c r="D1873" t="s">
        <v>2103</v>
      </c>
      <c r="E1873" t="str">
        <f t="shared" si="2015"/>
        <v>GWth/yr.</v>
      </c>
      <c r="F1873" s="1">
        <f>F1874</f>
        <v>0.26172155007150499</v>
      </c>
      <c r="G1873" s="1">
        <f t="shared" ref="G1873:O1873" si="2117">G1874</f>
        <v>0.19381727439160146</v>
      </c>
      <c r="H1873" s="1">
        <f t="shared" si="2117"/>
        <v>0.167665637732997</v>
      </c>
      <c r="I1873" s="1">
        <f t="shared" si="2117"/>
        <v>8.4899559974371819E-5</v>
      </c>
      <c r="J1873" s="1">
        <f t="shared" si="2117"/>
        <v>9.5415428082668008E-5</v>
      </c>
      <c r="K1873" s="1">
        <f t="shared" si="2117"/>
        <v>8.689411946138829E-5</v>
      </c>
      <c r="L1873" s="1">
        <f t="shared" si="2117"/>
        <v>1.1453543811745861E-4</v>
      </c>
      <c r="M1873" s="1">
        <f t="shared" si="2117"/>
        <v>2.8459423320113635E-4</v>
      </c>
      <c r="N1873" s="1">
        <f t="shared" si="2117"/>
        <v>1.7261214626719578E-4</v>
      </c>
      <c r="O1873" s="1">
        <f t="shared" si="2117"/>
        <v>2.568371485914248E-4</v>
      </c>
      <c r="P1873" s="1">
        <f>P1874</f>
        <v>1.4228865053568719E-4</v>
      </c>
      <c r="Q1873" s="1">
        <f>Q1874</f>
        <v>2.4979218163768941E-4</v>
      </c>
      <c r="S1873" s="3"/>
    </row>
    <row r="1874" spans="2:19" x14ac:dyDescent="0.5">
      <c r="B1874" s="5" t="str">
        <f t="shared" si="2113"/>
        <v>SPS1</v>
      </c>
      <c r="C1874" s="5" t="str">
        <f t="shared" si="2114"/>
        <v>CH</v>
      </c>
      <c r="D1874" t="s">
        <v>2104</v>
      </c>
      <c r="E1874" t="str">
        <f t="shared" si="2015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0.19381727439160146</v>
      </c>
      <c r="H1874" s="1" cm="1">
        <f t="array" ref="H1874">SUMPRODUCT(([1]OUT_FinalEnergyCons!$B$4:$B$10000="Var_cap")*1,  (ISNUMBER(SEARCH("ITOT-SWHCOA*BR",[1]OUT_FinalEnergyCons!$A$4:$A$10000)))*1,[1]OUT_FinalEnergyCons!F$4:F$10000)</f>
        <v>0.167665637732997</v>
      </c>
      <c r="I1874" s="1" cm="1">
        <f t="array" ref="I1874">SUMPRODUCT(([1]OUT_FinalEnergyCons!$B$4:$B$10000="Var_cap")*1,  (ISNUMBER(SEARCH("ITOT-SWHCOA*BR",[1]OUT_FinalEnergyCons!$A$4:$A$10000)))*1,[1]OUT_FinalEnergyCons!G$4:G$10000)</f>
        <v>8.4899559974371819E-5</v>
      </c>
      <c r="J1874" s="1" cm="1">
        <f t="array" ref="J1874">SUMPRODUCT(([1]OUT_FinalEnergyCons!$B$4:$B$10000="Var_cap")*1,  (ISNUMBER(SEARCH("ITOT-SWHCOA*BR",[1]OUT_FinalEnergyCons!$A$4:$A$10000)))*1,[1]OUT_FinalEnergyCons!H$4:H$10000)</f>
        <v>9.5415428082668008E-5</v>
      </c>
      <c r="K1874" s="1" cm="1">
        <f t="array" ref="K1874">SUMPRODUCT(([1]OUT_FinalEnergyCons!$B$4:$B$10000="Var_cap")*1,  (ISNUMBER(SEARCH("ITOT-SWHCOA*BR",[1]OUT_FinalEnergyCons!$A$4:$A$10000)))*1,[1]OUT_FinalEnergyCons!I$4:I$10000)</f>
        <v>8.689411946138829E-5</v>
      </c>
      <c r="L1874" s="1" cm="1">
        <f t="array" ref="L1874">SUMPRODUCT(([1]OUT_FinalEnergyCons!$B$4:$B$10000="Var_cap")*1,  (ISNUMBER(SEARCH("ITOT-SWHCOA*BR",[1]OUT_FinalEnergyCons!$A$4:$A$10000)))*1,[1]OUT_FinalEnergyCons!J$4:J$10000)</f>
        <v>1.1453543811745861E-4</v>
      </c>
      <c r="M1874" s="1" cm="1">
        <f t="array" ref="M1874">SUMPRODUCT(([1]OUT_FinalEnergyCons!$B$4:$B$10000="Var_cap")*1,  (ISNUMBER(SEARCH("ITOT-SWHCOA*BR",[1]OUT_FinalEnergyCons!$A$4:$A$10000)))*1,[1]OUT_FinalEnergyCons!K$4:K$10000)</f>
        <v>2.8459423320113635E-4</v>
      </c>
      <c r="N1874" s="1" cm="1">
        <f t="array" ref="N1874">SUMPRODUCT(([1]OUT_FinalEnergyCons!$B$4:$B$10000="Var_cap")*1,  (ISNUMBER(SEARCH("ITOT-SWHCOA*BR",[1]OUT_FinalEnergyCons!$A$4:$A$10000)))*1,[1]OUT_FinalEnergyCons!L$4:L$10000)</f>
        <v>1.7261214626719578E-4</v>
      </c>
      <c r="O1874" s="1" cm="1">
        <f t="array" ref="O1874">SUMPRODUCT(([1]OUT_FinalEnergyCons!$B$4:$B$10000="Var_cap")*1,  (ISNUMBER(SEARCH("ITOT-SWHCOA*BR",[1]OUT_FinalEnergyCons!$A$4:$A$10000)))*1,[1]OUT_FinalEnergyCons!M$4:M$10000)</f>
        <v>2.568371485914248E-4</v>
      </c>
      <c r="P1874" s="1" cm="1">
        <f t="array" ref="P1874">SUMPRODUCT(([1]OUT_FinalEnergyCons!$B$4:$B$10000="Var_cap")*1,  (ISNUMBER(SEARCH("ITOT-SWHCOA*BR",[1]OUT_FinalEnergyCons!$A$4:$A$10000)))*1,[1]OUT_FinalEnergyCons!N$4:N$10000)</f>
        <v>1.4228865053568719E-4</v>
      </c>
      <c r="Q1874" s="1" cm="1">
        <f t="array" ref="Q1874">SUMPRODUCT(([1]OUT_FinalEnergyCons!$B$4:$B$10000="Var_cap")*1,  (ISNUMBER(SEARCH("ITOT-SWHCOA*BR",[1]OUT_FinalEnergyCons!$A$4:$A$10000)))*1,[1]OUT_FinalEnergyCons!O$4:O$10000)</f>
        <v>2.4979218163768941E-4</v>
      </c>
      <c r="S1874" s="3"/>
    </row>
    <row r="1875" spans="2:19" x14ac:dyDescent="0.5">
      <c r="B1875" s="5" t="str">
        <f t="shared" si="2113"/>
        <v>SPS1</v>
      </c>
      <c r="C1875" s="5" t="str">
        <f t="shared" si="2114"/>
        <v>CH</v>
      </c>
      <c r="D1875" t="s">
        <v>2105</v>
      </c>
      <c r="E1875" t="str">
        <f t="shared" si="2015"/>
        <v>GWth/yr.</v>
      </c>
      <c r="F1875" s="1">
        <f>F1876</f>
        <v>0.28883369534761499</v>
      </c>
      <c r="G1875" s="1">
        <f t="shared" ref="G1875:O1875" si="2118">G1876</f>
        <v>0.34150334333388388</v>
      </c>
      <c r="H1875" s="1">
        <f t="shared" si="2118"/>
        <v>0.34151939303809958</v>
      </c>
      <c r="I1875" s="1">
        <f t="shared" si="2118"/>
        <v>0.37849245863319364</v>
      </c>
      <c r="J1875" s="1">
        <f t="shared" si="2118"/>
        <v>0.41556289085500403</v>
      </c>
      <c r="K1875" s="1">
        <f t="shared" si="2118"/>
        <v>0.4511661494090809</v>
      </c>
      <c r="L1875" s="1">
        <f t="shared" si="2118"/>
        <v>0.50371004891463533</v>
      </c>
      <c r="M1875" s="1">
        <f t="shared" si="2118"/>
        <v>0.54153451406824338</v>
      </c>
      <c r="N1875" s="1">
        <f t="shared" si="2118"/>
        <v>0.57986398731739808</v>
      </c>
      <c r="O1875" s="1">
        <f t="shared" si="2118"/>
        <v>0.59339838183932891</v>
      </c>
      <c r="P1875" s="1">
        <f>P1876</f>
        <v>0.52493602198338896</v>
      </c>
      <c r="Q1875" s="1">
        <f>Q1876</f>
        <v>0.53625841301154853</v>
      </c>
      <c r="S1875" s="3"/>
    </row>
    <row r="1876" spans="2:19" x14ac:dyDescent="0.5">
      <c r="B1876" s="5" t="str">
        <f t="shared" si="2113"/>
        <v>SPS1</v>
      </c>
      <c r="C1876" s="5" t="str">
        <f t="shared" si="2114"/>
        <v>CH</v>
      </c>
      <c r="D1876" t="s">
        <v>2106</v>
      </c>
      <c r="E1876" t="str">
        <f t="shared" si="2015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0.34150334333388388</v>
      </c>
      <c r="H1876" s="1" cm="1">
        <f t="array" ref="H1876">SUMPRODUCT(([1]OUT_FinalEnergyCons!$B$4:$B$10000="Var_cap")*1,  (ISNUMBER(SEARCH("ITOT-SWHWOD*BR",[1]OUT_FinalEnergyCons!$A$4:$A$10000)))*1,[1]OUT_FinalEnergyCons!F$4:F$10000)</f>
        <v>0.34151939303809958</v>
      </c>
      <c r="I1876" s="1" cm="1">
        <f t="array" ref="I1876">SUMPRODUCT(([1]OUT_FinalEnergyCons!$B$4:$B$10000="Var_cap")*1,  (ISNUMBER(SEARCH("ITOT-SWHWOD*BR",[1]OUT_FinalEnergyCons!$A$4:$A$10000)))*1,[1]OUT_FinalEnergyCons!G$4:G$10000)</f>
        <v>0.37849245863319364</v>
      </c>
      <c r="J1876" s="1" cm="1">
        <f t="array" ref="J1876">SUMPRODUCT(([1]OUT_FinalEnergyCons!$B$4:$B$10000="Var_cap")*1,  (ISNUMBER(SEARCH("ITOT-SWHWOD*BR",[1]OUT_FinalEnergyCons!$A$4:$A$10000)))*1,[1]OUT_FinalEnergyCons!H$4:H$10000)</f>
        <v>0.41556289085500403</v>
      </c>
      <c r="K1876" s="1" cm="1">
        <f t="array" ref="K1876">SUMPRODUCT(([1]OUT_FinalEnergyCons!$B$4:$B$10000="Var_cap")*1,  (ISNUMBER(SEARCH("ITOT-SWHWOD*BR",[1]OUT_FinalEnergyCons!$A$4:$A$10000)))*1,[1]OUT_FinalEnergyCons!I$4:I$10000)</f>
        <v>0.4511661494090809</v>
      </c>
      <c r="L1876" s="1" cm="1">
        <f t="array" ref="L1876">SUMPRODUCT(([1]OUT_FinalEnergyCons!$B$4:$B$10000="Var_cap")*1,  (ISNUMBER(SEARCH("ITOT-SWHWOD*BR",[1]OUT_FinalEnergyCons!$A$4:$A$10000)))*1,[1]OUT_FinalEnergyCons!J$4:J$10000)</f>
        <v>0.50371004891463533</v>
      </c>
      <c r="M1876" s="1" cm="1">
        <f t="array" ref="M1876">SUMPRODUCT(([1]OUT_FinalEnergyCons!$B$4:$B$10000="Var_cap")*1,  (ISNUMBER(SEARCH("ITOT-SWHWOD*BR",[1]OUT_FinalEnergyCons!$A$4:$A$10000)))*1,[1]OUT_FinalEnergyCons!K$4:K$10000)</f>
        <v>0.54153451406824338</v>
      </c>
      <c r="N1876" s="1" cm="1">
        <f t="array" ref="N1876">SUMPRODUCT(([1]OUT_FinalEnergyCons!$B$4:$B$10000="Var_cap")*1,  (ISNUMBER(SEARCH("ITOT-SWHWOD*BR",[1]OUT_FinalEnergyCons!$A$4:$A$10000)))*1,[1]OUT_FinalEnergyCons!L$4:L$10000)</f>
        <v>0.57986398731739808</v>
      </c>
      <c r="O1876" s="1" cm="1">
        <f t="array" ref="O1876">SUMPRODUCT(([1]OUT_FinalEnergyCons!$B$4:$B$10000="Var_cap")*1,  (ISNUMBER(SEARCH("ITOT-SWHWOD*BR",[1]OUT_FinalEnergyCons!$A$4:$A$10000)))*1,[1]OUT_FinalEnergyCons!M$4:M$10000)</f>
        <v>0.59339838183932891</v>
      </c>
      <c r="P1876" s="1" cm="1">
        <f t="array" ref="P1876">SUMPRODUCT(([1]OUT_FinalEnergyCons!$B$4:$B$10000="Var_cap")*1,  (ISNUMBER(SEARCH("ITOT-SWHWOD*BR",[1]OUT_FinalEnergyCons!$A$4:$A$10000)))*1,[1]OUT_FinalEnergyCons!N$4:N$10000)</f>
        <v>0.52493602198338896</v>
      </c>
      <c r="Q1876" s="1" cm="1">
        <f t="array" ref="Q1876">SUMPRODUCT(([1]OUT_FinalEnergyCons!$B$4:$B$10000="Var_cap")*1,  (ISNUMBER(SEARCH("ITOT-SWHWOD*BR",[1]OUT_FinalEnergyCons!$A$4:$A$10000)))*1,[1]OUT_FinalEnergyCons!O$4:O$10000)</f>
        <v>0.53625841301154853</v>
      </c>
      <c r="S1876" s="3"/>
    </row>
    <row r="1877" spans="2:19" x14ac:dyDescent="0.5">
      <c r="B1877" s="5" t="str">
        <f t="shared" si="2113"/>
        <v>SPS1</v>
      </c>
      <c r="C1877" s="5" t="str">
        <f t="shared" si="2114"/>
        <v>CH</v>
      </c>
      <c r="D1877" t="s">
        <v>2107</v>
      </c>
      <c r="E1877" t="str">
        <f t="shared" si="2015"/>
        <v>GWth/yr.</v>
      </c>
      <c r="F1877" s="1">
        <f>F1878</f>
        <v>2.9860759506449799E-2</v>
      </c>
      <c r="G1877" s="1">
        <f t="shared" ref="G1877:O1877" si="2119">G1878</f>
        <v>3.5026368792771136E-2</v>
      </c>
      <c r="H1877" s="1">
        <f t="shared" si="2119"/>
        <v>3.508087340852558E-2</v>
      </c>
      <c r="I1877" s="1">
        <f t="shared" si="2119"/>
        <v>4.2101795871048078E-2</v>
      </c>
      <c r="J1877" s="1">
        <f t="shared" si="2119"/>
        <v>4.1608107437852135E-2</v>
      </c>
      <c r="K1877" s="1">
        <f t="shared" si="2119"/>
        <v>3.9529616824404618E-2</v>
      </c>
      <c r="L1877" s="1">
        <f t="shared" si="2119"/>
        <v>3.888812617509526E-2</v>
      </c>
      <c r="M1877" s="1">
        <f t="shared" si="2119"/>
        <v>4.0018511147101386E-2</v>
      </c>
      <c r="N1877" s="1">
        <f t="shared" si="2119"/>
        <v>3.9693953133856784E-2</v>
      </c>
      <c r="O1877" s="1">
        <f t="shared" si="2119"/>
        <v>3.8718391067366791E-2</v>
      </c>
      <c r="P1877" s="1">
        <f>P1878</f>
        <v>4.0334270588938119E-2</v>
      </c>
      <c r="Q1877" s="1">
        <f>Q1878</f>
        <v>4.0437034378676184E-2</v>
      </c>
      <c r="S1877" s="3"/>
    </row>
    <row r="1878" spans="2:19" x14ac:dyDescent="0.5">
      <c r="B1878" s="5" t="str">
        <f t="shared" si="2113"/>
        <v>SPS1</v>
      </c>
      <c r="C1878" s="5" t="str">
        <f t="shared" si="2114"/>
        <v>CH</v>
      </c>
      <c r="D1878" t="s">
        <v>2108</v>
      </c>
      <c r="E1878" t="str">
        <f t="shared" si="2015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3.5026368792771136E-2</v>
      </c>
      <c r="H1878" s="1" cm="1">
        <f t="array" ref="H1878">SUMPRODUCT(([1]OUT_FinalEnergyCons!$B$4:$B$10000="Var_cap")*1,  (ISNUMBER(SEARCH("ITOT-SWHPLT*BR",[1]OUT_FinalEnergyCons!$A$4:$A$10000)))*1,[1]OUT_FinalEnergyCons!F$4:F$10000)</f>
        <v>3.508087340852558E-2</v>
      </c>
      <c r="I1878" s="1" cm="1">
        <f t="array" ref="I1878">SUMPRODUCT(([1]OUT_FinalEnergyCons!$B$4:$B$10000="Var_cap")*1,  (ISNUMBER(SEARCH("ITOT-SWHPLT*BR",[1]OUT_FinalEnergyCons!$A$4:$A$10000)))*1,[1]OUT_FinalEnergyCons!G$4:G$10000)</f>
        <v>4.2101795871048078E-2</v>
      </c>
      <c r="J1878" s="1" cm="1">
        <f t="array" ref="J1878">SUMPRODUCT(([1]OUT_FinalEnergyCons!$B$4:$B$10000="Var_cap")*1,  (ISNUMBER(SEARCH("ITOT-SWHPLT*BR",[1]OUT_FinalEnergyCons!$A$4:$A$10000)))*1,[1]OUT_FinalEnergyCons!H$4:H$10000)</f>
        <v>4.1608107437852135E-2</v>
      </c>
      <c r="K1878" s="1" cm="1">
        <f t="array" ref="K1878">SUMPRODUCT(([1]OUT_FinalEnergyCons!$B$4:$B$10000="Var_cap")*1,  (ISNUMBER(SEARCH("ITOT-SWHPLT*BR",[1]OUT_FinalEnergyCons!$A$4:$A$10000)))*1,[1]OUT_FinalEnergyCons!I$4:I$10000)</f>
        <v>3.9529616824404618E-2</v>
      </c>
      <c r="L1878" s="1" cm="1">
        <f t="array" ref="L1878">SUMPRODUCT(([1]OUT_FinalEnergyCons!$B$4:$B$10000="Var_cap")*1,  (ISNUMBER(SEARCH("ITOT-SWHPLT*BR",[1]OUT_FinalEnergyCons!$A$4:$A$10000)))*1,[1]OUT_FinalEnergyCons!J$4:J$10000)</f>
        <v>3.888812617509526E-2</v>
      </c>
      <c r="M1878" s="1" cm="1">
        <f t="array" ref="M1878">SUMPRODUCT(([1]OUT_FinalEnergyCons!$B$4:$B$10000="Var_cap")*1,  (ISNUMBER(SEARCH("ITOT-SWHPLT*BR",[1]OUT_FinalEnergyCons!$A$4:$A$10000)))*1,[1]OUT_FinalEnergyCons!K$4:K$10000)</f>
        <v>4.0018511147101386E-2</v>
      </c>
      <c r="N1878" s="1" cm="1">
        <f t="array" ref="N1878">SUMPRODUCT(([1]OUT_FinalEnergyCons!$B$4:$B$10000="Var_cap")*1,  (ISNUMBER(SEARCH("ITOT-SWHPLT*BR",[1]OUT_FinalEnergyCons!$A$4:$A$10000)))*1,[1]OUT_FinalEnergyCons!L$4:L$10000)</f>
        <v>3.9693953133856784E-2</v>
      </c>
      <c r="O1878" s="1" cm="1">
        <f t="array" ref="O1878">SUMPRODUCT(([1]OUT_FinalEnergyCons!$B$4:$B$10000="Var_cap")*1,  (ISNUMBER(SEARCH("ITOT-SWHPLT*BR",[1]OUT_FinalEnergyCons!$A$4:$A$10000)))*1,[1]OUT_FinalEnergyCons!M$4:M$10000)</f>
        <v>3.8718391067366791E-2</v>
      </c>
      <c r="P1878" s="1" cm="1">
        <f t="array" ref="P1878">SUMPRODUCT(([1]OUT_FinalEnergyCons!$B$4:$B$10000="Var_cap")*1,  (ISNUMBER(SEARCH("ITOT-SWHPLT*BR",[1]OUT_FinalEnergyCons!$A$4:$A$10000)))*1,[1]OUT_FinalEnergyCons!N$4:N$10000)</f>
        <v>4.0334270588938119E-2</v>
      </c>
      <c r="Q1878" s="1" cm="1">
        <f t="array" ref="Q1878">SUMPRODUCT(([1]OUT_FinalEnergyCons!$B$4:$B$10000="Var_cap")*1,  (ISNUMBER(SEARCH("ITOT-SWHPLT*BR",[1]OUT_FinalEnergyCons!$A$4:$A$10000)))*1,[1]OUT_FinalEnergyCons!O$4:O$10000)</f>
        <v>4.0437034378676184E-2</v>
      </c>
      <c r="S1878" s="3"/>
    </row>
    <row r="1879" spans="2:19" x14ac:dyDescent="0.5">
      <c r="B1879" s="5" t="str">
        <f t="shared" si="2113"/>
        <v>SPS1</v>
      </c>
      <c r="C1879" s="5" t="str">
        <f t="shared" si="2114"/>
        <v>CH</v>
      </c>
      <c r="D1879" t="s">
        <v>2109</v>
      </c>
      <c r="E1879" t="str">
        <f t="shared" si="2015"/>
        <v>GWth/yr.</v>
      </c>
      <c r="F1879" s="1">
        <f>F1880</f>
        <v>0.35954682816669398</v>
      </c>
      <c r="G1879" s="1">
        <f t="shared" ref="G1879:O1879" si="2120">G1880</f>
        <v>0.331511893700974</v>
      </c>
      <c r="H1879" s="1">
        <f t="shared" si="2120"/>
        <v>0.30980745389319514</v>
      </c>
      <c r="I1879" s="1">
        <f t="shared" si="2120"/>
        <v>0.30974131916656572</v>
      </c>
      <c r="J1879" s="1">
        <f t="shared" si="2120"/>
        <v>0.16351046073938641</v>
      </c>
      <c r="K1879" s="1">
        <f t="shared" si="2120"/>
        <v>0.18170696439202805</v>
      </c>
      <c r="L1879" s="1">
        <f t="shared" si="2120"/>
        <v>0.18431325121593681</v>
      </c>
      <c r="M1879" s="1">
        <f t="shared" si="2120"/>
        <v>0.18800979654405506</v>
      </c>
      <c r="N1879" s="1">
        <f t="shared" si="2120"/>
        <v>0.2063076406688433</v>
      </c>
      <c r="O1879" s="1">
        <f t="shared" si="2120"/>
        <v>0.18923906159366582</v>
      </c>
      <c r="P1879" s="1">
        <f>P1880</f>
        <v>0.20237091019915956</v>
      </c>
      <c r="Q1879" s="1">
        <f>Q1880</f>
        <v>0.19016346472285472</v>
      </c>
      <c r="S1879" s="3"/>
    </row>
    <row r="1880" spans="2:19" x14ac:dyDescent="0.5">
      <c r="B1880" s="5" t="str">
        <f t="shared" si="2113"/>
        <v>SPS1</v>
      </c>
      <c r="C1880" s="5" t="str">
        <f t="shared" si="2114"/>
        <v>CH</v>
      </c>
      <c r="D1880" t="s">
        <v>2110</v>
      </c>
      <c r="E1880" t="str">
        <f t="shared" si="2015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0.331511893700974</v>
      </c>
      <c r="H1880" s="1" cm="1">
        <f t="array" ref="H1880">SUMPRODUCT(([1]OUT_FinalEnergyCons!$B$4:$B$10000="Var_cap")*1,  (ISNUMBER(SEARCH("ITOT-SWHWST*BR",[1]OUT_FinalEnergyCons!$A$4:$A$10000)))*1,[1]OUT_FinalEnergyCons!F$4:F$10000)</f>
        <v>0.30980745389319514</v>
      </c>
      <c r="I1880" s="1" cm="1">
        <f t="array" ref="I1880">SUMPRODUCT(([1]OUT_FinalEnergyCons!$B$4:$B$10000="Var_cap")*1,  (ISNUMBER(SEARCH("ITOT-SWHWST*BR",[1]OUT_FinalEnergyCons!$A$4:$A$10000)))*1,[1]OUT_FinalEnergyCons!G$4:G$10000)</f>
        <v>0.30974131916656572</v>
      </c>
      <c r="J1880" s="1" cm="1">
        <f t="array" ref="J1880">SUMPRODUCT(([1]OUT_FinalEnergyCons!$B$4:$B$10000="Var_cap")*1,  (ISNUMBER(SEARCH("ITOT-SWHWST*BR",[1]OUT_FinalEnergyCons!$A$4:$A$10000)))*1,[1]OUT_FinalEnergyCons!H$4:H$10000)</f>
        <v>0.16351046073938641</v>
      </c>
      <c r="K1880" s="1" cm="1">
        <f t="array" ref="K1880">SUMPRODUCT(([1]OUT_FinalEnergyCons!$B$4:$B$10000="Var_cap")*1,  (ISNUMBER(SEARCH("ITOT-SWHWST*BR",[1]OUT_FinalEnergyCons!$A$4:$A$10000)))*1,[1]OUT_FinalEnergyCons!I$4:I$10000)</f>
        <v>0.18170696439202805</v>
      </c>
      <c r="L1880" s="1" cm="1">
        <f t="array" ref="L1880">SUMPRODUCT(([1]OUT_FinalEnergyCons!$B$4:$B$10000="Var_cap")*1,  (ISNUMBER(SEARCH("ITOT-SWHWST*BR",[1]OUT_FinalEnergyCons!$A$4:$A$10000)))*1,[1]OUT_FinalEnergyCons!J$4:J$10000)</f>
        <v>0.18431325121593681</v>
      </c>
      <c r="M1880" s="1" cm="1">
        <f t="array" ref="M1880">SUMPRODUCT(([1]OUT_FinalEnergyCons!$B$4:$B$10000="Var_cap")*1,  (ISNUMBER(SEARCH("ITOT-SWHWST*BR",[1]OUT_FinalEnergyCons!$A$4:$A$10000)))*1,[1]OUT_FinalEnergyCons!K$4:K$10000)</f>
        <v>0.18800979654405506</v>
      </c>
      <c r="N1880" s="1" cm="1">
        <f t="array" ref="N1880">SUMPRODUCT(([1]OUT_FinalEnergyCons!$B$4:$B$10000="Var_cap")*1,  (ISNUMBER(SEARCH("ITOT-SWHWST*BR",[1]OUT_FinalEnergyCons!$A$4:$A$10000)))*1,[1]OUT_FinalEnergyCons!L$4:L$10000)</f>
        <v>0.2063076406688433</v>
      </c>
      <c r="O1880" s="1" cm="1">
        <f t="array" ref="O1880">SUMPRODUCT(([1]OUT_FinalEnergyCons!$B$4:$B$10000="Var_cap")*1,  (ISNUMBER(SEARCH("ITOT-SWHWST*BR",[1]OUT_FinalEnergyCons!$A$4:$A$10000)))*1,[1]OUT_FinalEnergyCons!M$4:M$10000)</f>
        <v>0.18923906159366582</v>
      </c>
      <c r="P1880" s="1" cm="1">
        <f t="array" ref="P1880">SUMPRODUCT(([1]OUT_FinalEnergyCons!$B$4:$B$10000="Var_cap")*1,  (ISNUMBER(SEARCH("ITOT-SWHWST*BR",[1]OUT_FinalEnergyCons!$A$4:$A$10000)))*1,[1]OUT_FinalEnergyCons!N$4:N$10000)</f>
        <v>0.20237091019915956</v>
      </c>
      <c r="Q1880" s="1" cm="1">
        <f t="array" ref="Q1880">SUMPRODUCT(([1]OUT_FinalEnergyCons!$B$4:$B$10000="Var_cap")*1,  (ISNUMBER(SEARCH("ITOT-SWHWST*BR",[1]OUT_FinalEnergyCons!$A$4:$A$10000)))*1,[1]OUT_FinalEnergyCons!O$4:O$10000)</f>
        <v>0.19016346472285472</v>
      </c>
      <c r="S1880" s="3"/>
    </row>
    <row r="1881" spans="2:19" x14ac:dyDescent="0.5">
      <c r="B1881" s="5" t="str">
        <f t="shared" si="2113"/>
        <v>SPS1</v>
      </c>
      <c r="C1881" s="5" t="str">
        <f t="shared" si="2114"/>
        <v>CH</v>
      </c>
      <c r="D1881" t="s">
        <v>2111</v>
      </c>
      <c r="E1881" t="str">
        <f t="shared" si="2015"/>
        <v>GWth/yr.</v>
      </c>
      <c r="F1881" s="1">
        <f>F1882</f>
        <v>9.8214799778629808E-3</v>
      </c>
      <c r="G1881" s="1">
        <f t="shared" ref="G1881:O1881" si="2121">G1882</f>
        <v>1.24738845211383E-2</v>
      </c>
      <c r="H1881" s="1">
        <f t="shared" si="2121"/>
        <v>1.2473970132596442E-2</v>
      </c>
      <c r="I1881" s="1">
        <f t="shared" si="2121"/>
        <v>1.2474096345960721E-2</v>
      </c>
      <c r="J1881" s="1">
        <f t="shared" si="2121"/>
        <v>1.247158724962159E-2</v>
      </c>
      <c r="K1881" s="1">
        <f t="shared" si="2121"/>
        <v>1.24687232333096E-2</v>
      </c>
      <c r="L1881" s="1">
        <f t="shared" si="2121"/>
        <v>1.24695960800926E-2</v>
      </c>
      <c r="M1881" s="1">
        <f t="shared" si="2121"/>
        <v>1.2464339974238899E-2</v>
      </c>
      <c r="N1881" s="1">
        <f t="shared" si="2121"/>
        <v>1.2463189181266999E-2</v>
      </c>
      <c r="O1881" s="1">
        <f t="shared" si="2121"/>
        <v>1.25548360230139E-2</v>
      </c>
      <c r="P1881" s="1">
        <f>P1882</f>
        <v>1.25523061771086E-2</v>
      </c>
      <c r="Q1881" s="1">
        <f>Q1882</f>
        <v>1.26470934962267E-2</v>
      </c>
      <c r="S1881" s="3"/>
    </row>
    <row r="1882" spans="2:19" x14ac:dyDescent="0.5">
      <c r="B1882" s="5" t="str">
        <f t="shared" si="2113"/>
        <v>SPS1</v>
      </c>
      <c r="C1882" s="5" t="str">
        <f t="shared" si="2114"/>
        <v>CH</v>
      </c>
      <c r="D1882" t="s">
        <v>2112</v>
      </c>
      <c r="E1882" t="str">
        <f t="shared" si="2015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1.24738845211383E-2</v>
      </c>
      <c r="H1882" s="1" cm="1">
        <f t="array" ref="H1882">SUMPRODUCT(([1]OUT_FinalEnergyCons!$B$4:$B$10000="Var_cap")*1, (ISNUMBER(SEARCH("ITOT-SWHSOLBR",[1]OUT_FinalEnergyCons!$A$4:$A$10000)))*1,[1]OUT_FinalEnergyCons!F$4:F$10000)</f>
        <v>1.2473970132596442E-2</v>
      </c>
      <c r="I1882" s="1" cm="1">
        <f t="array" ref="I1882">SUMPRODUCT(([1]OUT_FinalEnergyCons!$B$4:$B$10000="Var_cap")*1, (ISNUMBER(SEARCH("ITOT-SWHSOLBR",[1]OUT_FinalEnergyCons!$A$4:$A$10000)))*1,[1]OUT_FinalEnergyCons!G$4:G$10000)</f>
        <v>1.2474096345960721E-2</v>
      </c>
      <c r="J1882" s="1" cm="1">
        <f t="array" ref="J1882">SUMPRODUCT(([1]OUT_FinalEnergyCons!$B$4:$B$10000="Var_cap")*1, (ISNUMBER(SEARCH("ITOT-SWHSOLBR",[1]OUT_FinalEnergyCons!$A$4:$A$10000)))*1,[1]OUT_FinalEnergyCons!H$4:H$10000)</f>
        <v>1.247158724962159E-2</v>
      </c>
      <c r="K1882" s="1" cm="1">
        <f t="array" ref="K1882">SUMPRODUCT(([1]OUT_FinalEnergyCons!$B$4:$B$10000="Var_cap")*1, (ISNUMBER(SEARCH("ITOT-SWHSOLBR",[1]OUT_FinalEnergyCons!$A$4:$A$10000)))*1,[1]OUT_FinalEnergyCons!I$4:I$10000)</f>
        <v>1.24687232333096E-2</v>
      </c>
      <c r="L1882" s="1" cm="1">
        <f t="array" ref="L1882">SUMPRODUCT(([1]OUT_FinalEnergyCons!$B$4:$B$10000="Var_cap")*1, (ISNUMBER(SEARCH("ITOT-SWHSOLBR",[1]OUT_FinalEnergyCons!$A$4:$A$10000)))*1,[1]OUT_FinalEnergyCons!J$4:J$10000)</f>
        <v>1.24695960800926E-2</v>
      </c>
      <c r="M1882" s="1" cm="1">
        <f t="array" ref="M1882">SUMPRODUCT(([1]OUT_FinalEnergyCons!$B$4:$B$10000="Var_cap")*1, (ISNUMBER(SEARCH("ITOT-SWHSOLBR",[1]OUT_FinalEnergyCons!$A$4:$A$10000)))*1,[1]OUT_FinalEnergyCons!K$4:K$10000)</f>
        <v>1.2464339974238899E-2</v>
      </c>
      <c r="N1882" s="1" cm="1">
        <f t="array" ref="N1882">SUMPRODUCT(([1]OUT_FinalEnergyCons!$B$4:$B$10000="Var_cap")*1, (ISNUMBER(SEARCH("ITOT-SWHSOLBR",[1]OUT_FinalEnergyCons!$A$4:$A$10000)))*1,[1]OUT_FinalEnergyCons!L$4:L$10000)</f>
        <v>1.2463189181266999E-2</v>
      </c>
      <c r="O1882" s="1" cm="1">
        <f t="array" ref="O1882">SUMPRODUCT(([1]OUT_FinalEnergyCons!$B$4:$B$10000="Var_cap")*1, (ISNUMBER(SEARCH("ITOT-SWHSOLBR",[1]OUT_FinalEnergyCons!$A$4:$A$10000)))*1,[1]OUT_FinalEnergyCons!M$4:M$10000)</f>
        <v>1.25548360230139E-2</v>
      </c>
      <c r="P1882" s="1" cm="1">
        <f t="array" ref="P1882">SUMPRODUCT(([1]OUT_FinalEnergyCons!$B$4:$B$10000="Var_cap")*1, (ISNUMBER(SEARCH("ITOT-SWHSOLBR",[1]OUT_FinalEnergyCons!$A$4:$A$10000)))*1,[1]OUT_FinalEnergyCons!N$4:N$10000)</f>
        <v>1.25523061771086E-2</v>
      </c>
      <c r="Q1882" s="1" cm="1">
        <f t="array" ref="Q1882">SUMPRODUCT(([1]OUT_FinalEnergyCons!$B$4:$B$10000="Var_cap")*1, (ISNUMBER(SEARCH("ITOT-SWHSOLBR",[1]OUT_FinalEnergyCons!$A$4:$A$10000)))*1,[1]OUT_FinalEnergyCons!O$4:O$10000)</f>
        <v>1.26470934962267E-2</v>
      </c>
      <c r="S1882" s="3"/>
    </row>
    <row r="1883" spans="2:19" x14ac:dyDescent="0.5">
      <c r="B1883" s="5" t="str">
        <f t="shared" si="2113"/>
        <v>SPS1</v>
      </c>
      <c r="C1883" s="5" t="str">
        <f t="shared" si="2114"/>
        <v>CH</v>
      </c>
      <c r="D1883" t="s">
        <v>2113</v>
      </c>
      <c r="E1883" t="str">
        <f t="shared" si="2015"/>
        <v>GWth/yr.</v>
      </c>
      <c r="F1883" s="1">
        <f>F1884</f>
        <v>0</v>
      </c>
      <c r="G1883" s="1">
        <f t="shared" ref="G1883:O1883" si="2122">G1884</f>
        <v>0</v>
      </c>
      <c r="H1883" s="1">
        <f t="shared" si="2122"/>
        <v>0</v>
      </c>
      <c r="I1883" s="1">
        <f t="shared" si="2122"/>
        <v>4.9293521167238398E-5</v>
      </c>
      <c r="J1883" s="1">
        <f t="shared" si="2122"/>
        <v>2.8182862587644098E-4</v>
      </c>
      <c r="K1883" s="1">
        <f t="shared" si="2122"/>
        <v>3.7538967349878171E-4</v>
      </c>
      <c r="L1883" s="1">
        <f t="shared" si="2122"/>
        <v>3.7786767953137821E-4</v>
      </c>
      <c r="M1883" s="1">
        <f t="shared" si="2122"/>
        <v>3.1790034326834114E-3</v>
      </c>
      <c r="N1883" s="1">
        <f t="shared" si="2122"/>
        <v>4.8273983269975992E-3</v>
      </c>
      <c r="O1883" s="1">
        <f t="shared" si="2122"/>
        <v>1.1114973856463513E-2</v>
      </c>
      <c r="P1883" s="1">
        <f>P1884</f>
        <v>1.2144971991383022E-2</v>
      </c>
      <c r="Q1883" s="1">
        <f>Q1884</f>
        <v>1.1524112225267951E-2</v>
      </c>
      <c r="S1883" s="3"/>
    </row>
    <row r="1884" spans="2:19" x14ac:dyDescent="0.5">
      <c r="B1884" s="5" t="str">
        <f t="shared" si="2113"/>
        <v>SPS1</v>
      </c>
      <c r="C1884" s="5" t="str">
        <f t="shared" si="2114"/>
        <v>CH</v>
      </c>
      <c r="D1884" t="s">
        <v>2114</v>
      </c>
      <c r="E1884" t="str">
        <f t="shared" si="2015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4.9293521167238398E-5</v>
      </c>
      <c r="J1884" s="1" cm="1">
        <f t="array" ref="J1884">SUMPRODUCT(([1]OUT_FinalEnergyCons!$B$4:$B$10000="Var_cap")*1, (ISNUMBER(SEARCH("ITOT-SWHH2BR",[1]OUT_FinalEnergyCons!$A$4:$A$10000)))*1,[1]OUT_FinalEnergyCons!H$4:H$10000)</f>
        <v>2.8182862587644098E-4</v>
      </c>
      <c r="K1884" s="1" cm="1">
        <f t="array" ref="K1884">SUMPRODUCT(([1]OUT_FinalEnergyCons!$B$4:$B$10000="Var_cap")*1, (ISNUMBER(SEARCH("ITOT-SWHH2BR",[1]OUT_FinalEnergyCons!$A$4:$A$10000)))*1,[1]OUT_FinalEnergyCons!I$4:I$10000)</f>
        <v>3.7538967349878171E-4</v>
      </c>
      <c r="L1884" s="1" cm="1">
        <f t="array" ref="L1884">SUMPRODUCT(([1]OUT_FinalEnergyCons!$B$4:$B$10000="Var_cap")*1, (ISNUMBER(SEARCH("ITOT-SWHH2BR",[1]OUT_FinalEnergyCons!$A$4:$A$10000)))*1,[1]OUT_FinalEnergyCons!J$4:J$10000)</f>
        <v>3.7786767953137821E-4</v>
      </c>
      <c r="M1884" s="1" cm="1">
        <f t="array" ref="M1884">SUMPRODUCT(([1]OUT_FinalEnergyCons!$B$4:$B$10000="Var_cap")*1, (ISNUMBER(SEARCH("ITOT-SWHH2BR",[1]OUT_FinalEnergyCons!$A$4:$A$10000)))*1,[1]OUT_FinalEnergyCons!K$4:K$10000)</f>
        <v>3.1790034326834114E-3</v>
      </c>
      <c r="N1884" s="1" cm="1">
        <f t="array" ref="N1884">SUMPRODUCT(([1]OUT_FinalEnergyCons!$B$4:$B$10000="Var_cap")*1, (ISNUMBER(SEARCH("ITOT-SWHH2BR",[1]OUT_FinalEnergyCons!$A$4:$A$10000)))*1,[1]OUT_FinalEnergyCons!L$4:L$10000)</f>
        <v>4.8273983269975992E-3</v>
      </c>
      <c r="O1884" s="1" cm="1">
        <f t="array" ref="O1884">SUMPRODUCT(([1]OUT_FinalEnergyCons!$B$4:$B$10000="Var_cap")*1, (ISNUMBER(SEARCH("ITOT-SWHH2BR",[1]OUT_FinalEnergyCons!$A$4:$A$10000)))*1,[1]OUT_FinalEnergyCons!M$4:M$10000)</f>
        <v>1.1114973856463513E-2</v>
      </c>
      <c r="P1884" s="1" cm="1">
        <f t="array" ref="P1884">SUMPRODUCT(([1]OUT_FinalEnergyCons!$B$4:$B$10000="Var_cap")*1, (ISNUMBER(SEARCH("ITOT-SWHH2BR",[1]OUT_FinalEnergyCons!$A$4:$A$10000)))*1,[1]OUT_FinalEnergyCons!N$4:N$10000)</f>
        <v>1.2144971991383022E-2</v>
      </c>
      <c r="Q1884" s="1" cm="1">
        <f t="array" ref="Q1884">SUMPRODUCT(([1]OUT_FinalEnergyCons!$B$4:$B$10000="Var_cap")*1, (ISNUMBER(SEARCH("ITOT-SWHH2BR",[1]OUT_FinalEnergyCons!$A$4:$A$10000)))*1,[1]OUT_FinalEnergyCons!O$4:O$10000)</f>
        <v>1.1524112225267951E-2</v>
      </c>
      <c r="S1884" s="3"/>
    </row>
    <row r="1885" spans="2:19" x14ac:dyDescent="0.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2015"/>
        <v>GWth/yr.</v>
      </c>
      <c r="F1885" s="17">
        <f>SUM(F1886,F1889,F1891,F1895,F1897,F1899,F1901)</f>
        <v>6.1442241201685892</v>
      </c>
      <c r="G1885" s="17">
        <f t="shared" ref="G1885:K1885" si="2123">SUM(G1886,G1889,G1891,G1895,G1897,G1899,G1901)</f>
        <v>6.0948018797555035</v>
      </c>
      <c r="H1885" s="17">
        <f t="shared" si="2123"/>
        <v>6.2100556733756891</v>
      </c>
      <c r="I1885" s="17">
        <f t="shared" si="2123"/>
        <v>6.2260792489424617</v>
      </c>
      <c r="J1885" s="17">
        <f t="shared" si="2123"/>
        <v>4.4718242945483375</v>
      </c>
      <c r="K1885" s="17">
        <f t="shared" si="2123"/>
        <v>4.2407795996654256</v>
      </c>
      <c r="L1885" s="17">
        <f t="shared" ref="L1885:O1885" si="2124">SUM(L1886,L1889,L1891,L1895,L1897,L1899,L1901)</f>
        <v>4.1761503987550164</v>
      </c>
      <c r="M1885" s="17">
        <f t="shared" si="2124"/>
        <v>3.6851165672009443</v>
      </c>
      <c r="N1885" s="17">
        <f t="shared" si="2124"/>
        <v>3.6175507383487941</v>
      </c>
      <c r="O1885" s="17">
        <f t="shared" si="2124"/>
        <v>3.5140111089097852</v>
      </c>
      <c r="P1885" s="17">
        <f>SUM(P1886,P1889,P1891,P1895,P1897,P1899,P1901)</f>
        <v>3.4227090698398639</v>
      </c>
      <c r="Q1885" s="17">
        <f>SUM(Q1886,Q1889,Q1891,Q1895,Q1897,Q1899,Q1901)</f>
        <v>3.2373889464355177</v>
      </c>
      <c r="S1885" s="3"/>
    </row>
    <row r="1886" spans="2:19" x14ac:dyDescent="0.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2015"/>
        <v>GWth/yr.</v>
      </c>
      <c r="F1886" s="1">
        <f>SUM(F1887:F1888)</f>
        <v>0.61560717876583393</v>
      </c>
      <c r="G1886" s="1">
        <f t="shared" ref="G1886:K1886" si="2125">SUM(G1887:G1888)</f>
        <v>0.49345608168315491</v>
      </c>
      <c r="H1886" s="1">
        <f t="shared" si="2125"/>
        <v>0.60443999939566551</v>
      </c>
      <c r="I1886" s="1">
        <f t="shared" si="2125"/>
        <v>0.60444646348704389</v>
      </c>
      <c r="J1886" s="1">
        <f t="shared" si="2125"/>
        <v>0.59257122699752363</v>
      </c>
      <c r="K1886" s="1">
        <f t="shared" si="2125"/>
        <v>0.59943886060624119</v>
      </c>
      <c r="L1886" s="1">
        <f t="shared" ref="L1886:O1886" si="2126">SUM(L1887:L1888)</f>
        <v>0.61085867709964481</v>
      </c>
      <c r="M1886" s="1">
        <f t="shared" si="2126"/>
        <v>0.62114214053896355</v>
      </c>
      <c r="N1886" s="1">
        <f t="shared" si="2126"/>
        <v>0.66670160252165755</v>
      </c>
      <c r="O1886" s="1">
        <f t="shared" si="2126"/>
        <v>0.70751418469333327</v>
      </c>
      <c r="P1886" s="1">
        <f>SUM(P1887:P1888)</f>
        <v>0.75851618642882768</v>
      </c>
      <c r="Q1886" s="1">
        <f>SUM(Q1887:Q1888)</f>
        <v>0.80420547725888492</v>
      </c>
      <c r="S1886" s="3"/>
    </row>
    <row r="1887" spans="2:19" x14ac:dyDescent="0.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2015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0.18498976786682614</v>
      </c>
      <c r="G1887" s="1" cm="1">
        <f t="array" ref="G1887">SUMPRODUCT(([1]OUT_FinalEnergyCons!$B$4:$B$10000="Var_cap")*1, (ISNUMBER(SEARCH("SCOM-SHELCBR",[1]OUT_FinalEnergyCons!$A$4:$A$10000)))*1,[1]OUT_FinalEnergyCons!E$4:E$10000)</f>
        <v>6.2840994556593782E-2</v>
      </c>
      <c r="H1887" s="1" cm="1">
        <f t="array" ref="H1887">SUMPRODUCT(([1]OUT_FinalEnergyCons!$B$4:$B$10000="Var_cap")*1, (ISNUMBER(SEARCH("SCOM-SHELCBR",[1]OUT_FinalEnergyCons!$A$4:$A$10000)))*1,[1]OUT_FinalEnergyCons!F$4:F$10000)</f>
        <v>0.17382584258668504</v>
      </c>
      <c r="I1887" s="1" cm="1">
        <f t="array" ref="I1887">SUMPRODUCT(([1]OUT_FinalEnergyCons!$B$4:$B$10000="Var_cap")*1, (ISNUMBER(SEARCH("SCOM-SHELCBR",[1]OUT_FinalEnergyCons!$A$4:$A$10000)))*1,[1]OUT_FinalEnergyCons!G$4:G$10000)</f>
        <v>0.17383201182144303</v>
      </c>
      <c r="J1887" s="1" cm="1">
        <f t="array" ref="J1887">SUMPRODUCT(([1]OUT_FinalEnergyCons!$B$4:$B$10000="Var_cap")*1, (ISNUMBER(SEARCH("SCOM-SHELCBR",[1]OUT_FinalEnergyCons!$A$4:$A$10000)))*1,[1]OUT_FinalEnergyCons!H$4:H$10000)</f>
        <v>0.16024262130072151</v>
      </c>
      <c r="K1887" s="1" cm="1">
        <f t="array" ref="K1887">SUMPRODUCT(([1]OUT_FinalEnergyCons!$B$4:$B$10000="Var_cap")*1, (ISNUMBER(SEARCH("SCOM-SHELCBR",[1]OUT_FinalEnergyCons!$A$4:$A$10000)))*1,[1]OUT_FinalEnergyCons!I$4:I$10000)</f>
        <v>0.13382349934356383</v>
      </c>
      <c r="L1887" s="1" cm="1">
        <f t="array" ref="L1887">SUMPRODUCT(([1]OUT_FinalEnergyCons!$B$4:$B$10000="Var_cap")*1, (ISNUMBER(SEARCH("SCOM-SHELCBR",[1]OUT_FinalEnergyCons!$A$4:$A$10000)))*1,[1]OUT_FinalEnergyCons!J$4:J$10000)</f>
        <v>0.11053135296531623</v>
      </c>
      <c r="M1887" s="1" cm="1">
        <f t="array" ref="M1887">SUMPRODUCT(([1]OUT_FinalEnergyCons!$B$4:$B$10000="Var_cap")*1, (ISNUMBER(SEARCH("SCOM-SHELCBR",[1]OUT_FinalEnergyCons!$A$4:$A$10000)))*1,[1]OUT_FinalEnergyCons!K$4:K$10000)</f>
        <v>8.1605352148787211E-2</v>
      </c>
      <c r="N1887" s="1" cm="1">
        <f t="array" ref="N1887">SUMPRODUCT(([1]OUT_FinalEnergyCons!$B$4:$B$10000="Var_cap")*1, (ISNUMBER(SEARCH("SCOM-SHELCBR",[1]OUT_FinalEnergyCons!$A$4:$A$10000)))*1,[1]OUT_FinalEnergyCons!L$4:L$10000)</f>
        <v>8.4804281484319871E-2</v>
      </c>
      <c r="O1887" s="1" cm="1">
        <f t="array" ref="O1887">SUMPRODUCT(([1]OUT_FinalEnergyCons!$B$4:$B$10000="Var_cap")*1, (ISNUMBER(SEARCH("SCOM-SHELCBR",[1]OUT_FinalEnergyCons!$A$4:$A$10000)))*1,[1]OUT_FinalEnergyCons!M$4:M$10000)</f>
        <v>8.3757041226695292E-2</v>
      </c>
      <c r="P1887" s="1" cm="1">
        <f t="array" ref="P1887">SUMPRODUCT(([1]OUT_FinalEnergyCons!$B$4:$B$10000="Var_cap")*1, (ISNUMBER(SEARCH("SCOM-SHELCBR",[1]OUT_FinalEnergyCons!$A$4:$A$10000)))*1,[1]OUT_FinalEnergyCons!N$4:N$10000)</f>
        <v>8.6093158957520691E-2</v>
      </c>
      <c r="Q1887" s="1" cm="1">
        <f t="array" ref="Q1887">SUMPRODUCT(([1]OUT_FinalEnergyCons!$B$4:$B$10000="Var_cap")*1, (ISNUMBER(SEARCH("SCOM-SHELCBR",[1]OUT_FinalEnergyCons!$A$4:$A$10000)))*1,[1]OUT_FinalEnergyCons!O$4:O$10000)</f>
        <v>8.3339201220965664E-2</v>
      </c>
      <c r="S1887" s="3"/>
    </row>
    <row r="1888" spans="2:19" x14ac:dyDescent="0.5">
      <c r="B1888" s="5" t="str">
        <f t="shared" ref="B1888:C1888" si="2127">B1887</f>
        <v>SPS1</v>
      </c>
      <c r="C1888" s="5" t="str">
        <f t="shared" si="2127"/>
        <v>CH</v>
      </c>
      <c r="D1888" t="s">
        <v>1903</v>
      </c>
      <c r="E1888" t="str">
        <f t="shared" si="2015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0.43061741089900779</v>
      </c>
      <c r="G1888" s="1" cm="1">
        <f t="array" ref="G1888">SUMPRODUCT(([1]OUT_FinalEnergyCons!$B$4:$B$10000="Var_cap")*1, (ISNUMBER(SEARCH("SCOM-SHELCHP",[1]OUT_FinalEnergyCons!$A$4:$A$10000)))*1,[1]OUT_FinalEnergyCons!E$4:E$10000)</f>
        <v>0.43061508712656116</v>
      </c>
      <c r="H1888" s="1" cm="1">
        <f t="array" ref="H1888">SUMPRODUCT(([1]OUT_FinalEnergyCons!$B$4:$B$10000="Var_cap")*1, (ISNUMBER(SEARCH("SCOM-SHELCHP",[1]OUT_FinalEnergyCons!$A$4:$A$10000)))*1,[1]OUT_FinalEnergyCons!F$4:F$10000)</f>
        <v>0.43061415680898041</v>
      </c>
      <c r="I1888" s="1" cm="1">
        <f t="array" ref="I1888">SUMPRODUCT(([1]OUT_FinalEnergyCons!$B$4:$B$10000="Var_cap")*1, (ISNUMBER(SEARCH("SCOM-SHELCHP",[1]OUT_FinalEnergyCons!$A$4:$A$10000)))*1,[1]OUT_FinalEnergyCons!G$4:G$10000)</f>
        <v>0.43061445166560086</v>
      </c>
      <c r="J1888" s="1" cm="1">
        <f t="array" ref="J1888">SUMPRODUCT(([1]OUT_FinalEnergyCons!$B$4:$B$10000="Var_cap")*1, (ISNUMBER(SEARCH("SCOM-SHELCHP",[1]OUT_FinalEnergyCons!$A$4:$A$10000)))*1,[1]OUT_FinalEnergyCons!H$4:H$10000)</f>
        <v>0.43232860569680215</v>
      </c>
      <c r="K1888" s="1" cm="1">
        <f t="array" ref="K1888">SUMPRODUCT(([1]OUT_FinalEnergyCons!$B$4:$B$10000="Var_cap")*1, (ISNUMBER(SEARCH("SCOM-SHELCHP",[1]OUT_FinalEnergyCons!$A$4:$A$10000)))*1,[1]OUT_FinalEnergyCons!I$4:I$10000)</f>
        <v>0.46561536126267739</v>
      </c>
      <c r="L1888" s="1" cm="1">
        <f t="array" ref="L1888">SUMPRODUCT(([1]OUT_FinalEnergyCons!$B$4:$B$10000="Var_cap")*1, (ISNUMBER(SEARCH("SCOM-SHELCHP",[1]OUT_FinalEnergyCons!$A$4:$A$10000)))*1,[1]OUT_FinalEnergyCons!J$4:J$10000)</f>
        <v>0.50032732413432857</v>
      </c>
      <c r="M1888" s="1" cm="1">
        <f t="array" ref="M1888">SUMPRODUCT(([1]OUT_FinalEnergyCons!$B$4:$B$10000="Var_cap")*1, (ISNUMBER(SEARCH("SCOM-SHELCHP",[1]OUT_FinalEnergyCons!$A$4:$A$10000)))*1,[1]OUT_FinalEnergyCons!K$4:K$10000)</f>
        <v>0.53953678839017638</v>
      </c>
      <c r="N1888" s="1" cm="1">
        <f t="array" ref="N1888">SUMPRODUCT(([1]OUT_FinalEnergyCons!$B$4:$B$10000="Var_cap")*1, (ISNUMBER(SEARCH("SCOM-SHELCHP",[1]OUT_FinalEnergyCons!$A$4:$A$10000)))*1,[1]OUT_FinalEnergyCons!L$4:L$10000)</f>
        <v>0.58189732103733771</v>
      </c>
      <c r="O1888" s="1" cm="1">
        <f t="array" ref="O1888">SUMPRODUCT(([1]OUT_FinalEnergyCons!$B$4:$B$10000="Var_cap")*1, (ISNUMBER(SEARCH("SCOM-SHELCHP",[1]OUT_FinalEnergyCons!$A$4:$A$10000)))*1,[1]OUT_FinalEnergyCons!M$4:M$10000)</f>
        <v>0.62375714346663802</v>
      </c>
      <c r="P1888" s="1" cm="1">
        <f t="array" ref="P1888">SUMPRODUCT(([1]OUT_FinalEnergyCons!$B$4:$B$10000="Var_cap")*1, (ISNUMBER(SEARCH("SCOM-SHELCHP",[1]OUT_FinalEnergyCons!$A$4:$A$10000)))*1,[1]OUT_FinalEnergyCons!N$4:N$10000)</f>
        <v>0.672423027471307</v>
      </c>
      <c r="Q1888" s="1" cm="1">
        <f t="array" ref="Q1888">SUMPRODUCT(([1]OUT_FinalEnergyCons!$B$4:$B$10000="Var_cap")*1, (ISNUMBER(SEARCH("SCOM-SHELCHP",[1]OUT_FinalEnergyCons!$A$4:$A$10000)))*1,[1]OUT_FinalEnergyCons!O$4:O$10000)</f>
        <v>0.7208662760379192</v>
      </c>
      <c r="S1888" s="3"/>
    </row>
    <row r="1889" spans="2:19" x14ac:dyDescent="0.5">
      <c r="B1889" s="5" t="str">
        <f t="shared" ref="B1889:C1889" si="2128">B1888</f>
        <v>SPS1</v>
      </c>
      <c r="C1889" s="5" t="str">
        <f t="shared" si="2128"/>
        <v>CH</v>
      </c>
      <c r="D1889" t="s">
        <v>1904</v>
      </c>
      <c r="E1889" t="str">
        <f t="shared" si="2015"/>
        <v>GWth/yr.</v>
      </c>
      <c r="F1889" s="1">
        <f>F1890</f>
        <v>1.9285744621162009</v>
      </c>
      <c r="G1889" s="1">
        <f t="shared" ref="G1889:O1889" si="2129">G1890</f>
        <v>1.9285394592367833</v>
      </c>
      <c r="H1889" s="1">
        <f t="shared" si="2129"/>
        <v>1.9285336560124005</v>
      </c>
      <c r="I1889" s="1">
        <f t="shared" si="2129"/>
        <v>1.9285217119487987</v>
      </c>
      <c r="J1889" s="1">
        <f t="shared" si="2129"/>
        <v>1.1093806662776318</v>
      </c>
      <c r="K1889" s="1">
        <f t="shared" si="2129"/>
        <v>0.94297035784526595</v>
      </c>
      <c r="L1889" s="1">
        <f t="shared" si="2129"/>
        <v>0.94270305878511074</v>
      </c>
      <c r="M1889" s="1">
        <f t="shared" si="2129"/>
        <v>0.67067019468654132</v>
      </c>
      <c r="N1889" s="1">
        <f t="shared" si="2129"/>
        <v>0.56029546508153494</v>
      </c>
      <c r="O1889" s="1">
        <f t="shared" si="2129"/>
        <v>0.50902858995862543</v>
      </c>
      <c r="P1889" s="1">
        <f>P1890</f>
        <v>0.2710186534803104</v>
      </c>
      <c r="Q1889" s="1">
        <f>Q1890</f>
        <v>9.3898763665709276E-2</v>
      </c>
      <c r="S1889" s="3"/>
    </row>
    <row r="1890" spans="2:19" x14ac:dyDescent="0.5">
      <c r="B1890" s="5" t="str">
        <f t="shared" ref="B1890:C1890" si="2130">B1889</f>
        <v>SPS1</v>
      </c>
      <c r="C1890" s="5" t="str">
        <f t="shared" si="2130"/>
        <v>CH</v>
      </c>
      <c r="D1890" t="s">
        <v>1905</v>
      </c>
      <c r="E1890" t="str">
        <f t="shared" ref="E1890:E1902" si="213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1.9285744621162009</v>
      </c>
      <c r="G1890" s="1" cm="1">
        <f t="array" ref="G1890">SUMPRODUCT(([1]OUT_FinalEnergyCons!$B$4:$B$10000="Var_cap")*1,(ISNUMBER(SEARCH("SCOM-SHLFOBR",[1]OUT_FinalEnergyCons!$A$4:$A$10000)))*1,[1]OUT_FinalEnergyCons!E$4:E$10000)</f>
        <v>1.9285394592367833</v>
      </c>
      <c r="H1890" s="1" cm="1">
        <f t="array" ref="H1890">SUMPRODUCT(([1]OUT_FinalEnergyCons!$B$4:$B$10000="Var_cap")*1,(ISNUMBER(SEARCH("SCOM-SHLFOBR",[1]OUT_FinalEnergyCons!$A$4:$A$10000)))*1,[1]OUT_FinalEnergyCons!F$4:F$10000)</f>
        <v>1.9285336560124005</v>
      </c>
      <c r="I1890" s="1" cm="1">
        <f t="array" ref="I1890">SUMPRODUCT(([1]OUT_FinalEnergyCons!$B$4:$B$10000="Var_cap")*1,(ISNUMBER(SEARCH("SCOM-SHLFOBR",[1]OUT_FinalEnergyCons!$A$4:$A$10000)))*1,[1]OUT_FinalEnergyCons!G$4:G$10000)</f>
        <v>1.9285217119487987</v>
      </c>
      <c r="J1890" s="1" cm="1">
        <f t="array" ref="J1890">SUMPRODUCT(([1]OUT_FinalEnergyCons!$B$4:$B$10000="Var_cap")*1,(ISNUMBER(SEARCH("SCOM-SHLFOBR",[1]OUT_FinalEnergyCons!$A$4:$A$10000)))*1,[1]OUT_FinalEnergyCons!H$4:H$10000)</f>
        <v>1.1093806662776318</v>
      </c>
      <c r="K1890" s="1" cm="1">
        <f t="array" ref="K1890">SUMPRODUCT(([1]OUT_FinalEnergyCons!$B$4:$B$10000="Var_cap")*1,(ISNUMBER(SEARCH("SCOM-SHLFOBR",[1]OUT_FinalEnergyCons!$A$4:$A$10000)))*1,[1]OUT_FinalEnergyCons!I$4:I$10000)</f>
        <v>0.94297035784526595</v>
      </c>
      <c r="L1890" s="1" cm="1">
        <f t="array" ref="L1890">SUMPRODUCT(([1]OUT_FinalEnergyCons!$B$4:$B$10000="Var_cap")*1,(ISNUMBER(SEARCH("SCOM-SHLFOBR",[1]OUT_FinalEnergyCons!$A$4:$A$10000)))*1,[1]OUT_FinalEnergyCons!J$4:J$10000)</f>
        <v>0.94270305878511074</v>
      </c>
      <c r="M1890" s="1" cm="1">
        <f t="array" ref="M1890">SUMPRODUCT(([1]OUT_FinalEnergyCons!$B$4:$B$10000="Var_cap")*1,(ISNUMBER(SEARCH("SCOM-SHLFOBR",[1]OUT_FinalEnergyCons!$A$4:$A$10000)))*1,[1]OUT_FinalEnergyCons!K$4:K$10000)</f>
        <v>0.67067019468654132</v>
      </c>
      <c r="N1890" s="1" cm="1">
        <f t="array" ref="N1890">SUMPRODUCT(([1]OUT_FinalEnergyCons!$B$4:$B$10000="Var_cap")*1,(ISNUMBER(SEARCH("SCOM-SHLFOBR",[1]OUT_FinalEnergyCons!$A$4:$A$10000)))*1,[1]OUT_FinalEnergyCons!L$4:L$10000)</f>
        <v>0.56029546508153494</v>
      </c>
      <c r="O1890" s="1" cm="1">
        <f t="array" ref="O1890">SUMPRODUCT(([1]OUT_FinalEnergyCons!$B$4:$B$10000="Var_cap")*1,(ISNUMBER(SEARCH("SCOM-SHLFOBR",[1]OUT_FinalEnergyCons!$A$4:$A$10000)))*1,[1]OUT_FinalEnergyCons!M$4:M$10000)</f>
        <v>0.50902858995862543</v>
      </c>
      <c r="P1890" s="1" cm="1">
        <f t="array" ref="P1890">SUMPRODUCT(([1]OUT_FinalEnergyCons!$B$4:$B$10000="Var_cap")*1,(ISNUMBER(SEARCH("SCOM-SHLFOBR",[1]OUT_FinalEnergyCons!$A$4:$A$10000)))*1,[1]OUT_FinalEnergyCons!N$4:N$10000)</f>
        <v>0.2710186534803104</v>
      </c>
      <c r="Q1890" s="1" cm="1">
        <f t="array" ref="Q1890">SUMPRODUCT(([1]OUT_FinalEnergyCons!$B$4:$B$10000="Var_cap")*1,(ISNUMBER(SEARCH("SCOM-SHLFOBR",[1]OUT_FinalEnergyCons!$A$4:$A$10000)))*1,[1]OUT_FinalEnergyCons!O$4:O$10000)</f>
        <v>9.3898763665709276E-2</v>
      </c>
      <c r="S1890" s="3"/>
    </row>
    <row r="1891" spans="2:19" x14ac:dyDescent="0.5">
      <c r="B1891" s="5" t="str">
        <f t="shared" ref="B1891:C1891" si="2132">B1890</f>
        <v>SPS1</v>
      </c>
      <c r="C1891" s="5" t="str">
        <f t="shared" si="2132"/>
        <v>CH</v>
      </c>
      <c r="D1891" t="s">
        <v>1906</v>
      </c>
      <c r="E1891" t="str">
        <f t="shared" si="2131"/>
        <v>GWth/yr.</v>
      </c>
      <c r="F1891" s="1">
        <f>SUM(F1892:F1894)</f>
        <v>2.8800257088514227</v>
      </c>
      <c r="G1891" s="1">
        <f t="shared" ref="G1891:K1891" si="2133">SUM(G1892:G1894)</f>
        <v>2.8799552680401614</v>
      </c>
      <c r="H1891" s="1">
        <f t="shared" si="2133"/>
        <v>2.8844504770998389</v>
      </c>
      <c r="I1891" s="1">
        <f t="shared" si="2133"/>
        <v>2.8844524412248549</v>
      </c>
      <c r="J1891" s="1">
        <f t="shared" si="2133"/>
        <v>2.1807007891016816</v>
      </c>
      <c r="K1891" s="1">
        <f t="shared" si="2133"/>
        <v>2.1938252430107377</v>
      </c>
      <c r="L1891" s="1">
        <f t="shared" ref="L1891:O1891" si="2134">SUM(L1892:L1894)</f>
        <v>2.1940226377767478</v>
      </c>
      <c r="M1891" s="1">
        <f t="shared" si="2134"/>
        <v>2.0365576610409812</v>
      </c>
      <c r="N1891" s="1">
        <f t="shared" si="2134"/>
        <v>2.0403924981296666</v>
      </c>
      <c r="O1891" s="1">
        <f t="shared" si="2134"/>
        <v>1.9478190313100217</v>
      </c>
      <c r="P1891" s="1">
        <f>SUM(P1892:P1894)</f>
        <v>2.0406429634462113</v>
      </c>
      <c r="Q1891" s="1">
        <f>SUM(Q1892:Q1894)</f>
        <v>1.9969057534791752</v>
      </c>
      <c r="S1891" s="3"/>
    </row>
    <row r="1892" spans="2:19" x14ac:dyDescent="0.5">
      <c r="B1892" s="5" t="str">
        <f t="shared" ref="B1892:C1892" si="2135">B1891</f>
        <v>SPS1</v>
      </c>
      <c r="C1892" s="5" t="str">
        <f t="shared" si="2135"/>
        <v>CH</v>
      </c>
      <c r="D1892" t="s">
        <v>1907</v>
      </c>
      <c r="E1892" t="str">
        <f t="shared" si="213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2.7746816679323421</v>
      </c>
      <c r="G1892" s="1" cm="1">
        <f t="array" ref="G1892">SUMPRODUCT(([1]OUT_FinalEnergyCons!$B$4:$B$10000="Var_cap")*1, (ISNUMBER(SEARCH("SCOM-SHNGABR",[1]OUT_FinalEnergyCons!$A$4:$A$10000)))*1,[1]OUT_FinalEnergyCons!E$4:E$10000)</f>
        <v>2.7745859540717119</v>
      </c>
      <c r="H1892" s="1" cm="1">
        <f t="array" ref="H1892">SUMPRODUCT(([1]OUT_FinalEnergyCons!$B$4:$B$10000="Var_cap")*1, (ISNUMBER(SEARCH("SCOM-SHNGABR",[1]OUT_FinalEnergyCons!$A$4:$A$10000)))*1,[1]OUT_FinalEnergyCons!F$4:F$10000)</f>
        <v>2.7745755185185033</v>
      </c>
      <c r="I1892" s="1" cm="1">
        <f t="array" ref="I1892">SUMPRODUCT(([1]OUT_FinalEnergyCons!$B$4:$B$10000="Var_cap")*1, (ISNUMBER(SEARCH("SCOM-SHNGABR",[1]OUT_FinalEnergyCons!$A$4:$A$10000)))*1,[1]OUT_FinalEnergyCons!G$4:G$10000)</f>
        <v>2.7745676912365052</v>
      </c>
      <c r="J1892" s="1" cm="1">
        <f t="array" ref="J1892">SUMPRODUCT(([1]OUT_FinalEnergyCons!$B$4:$B$10000="Var_cap")*1, (ISNUMBER(SEARCH("SCOM-SHNGABR",[1]OUT_FinalEnergyCons!$A$4:$A$10000)))*1,[1]OUT_FinalEnergyCons!H$4:H$10000)</f>
        <v>2.0443482041393475</v>
      </c>
      <c r="K1892" s="1" cm="1">
        <f t="array" ref="K1892">SUMPRODUCT(([1]OUT_FinalEnergyCons!$B$4:$B$10000="Var_cap")*1, (ISNUMBER(SEARCH("SCOM-SHNGABR",[1]OUT_FinalEnergyCons!$A$4:$A$10000)))*1,[1]OUT_FinalEnergyCons!I$4:I$10000)</f>
        <v>2.0513223931375792</v>
      </c>
      <c r="L1892" s="1" cm="1">
        <f t="array" ref="L1892">SUMPRODUCT(([1]OUT_FinalEnergyCons!$B$4:$B$10000="Var_cap")*1, (ISNUMBER(SEARCH("SCOM-SHNGABR",[1]OUT_FinalEnergyCons!$A$4:$A$10000)))*1,[1]OUT_FinalEnergyCons!J$4:J$10000)</f>
        <v>2.0513137094023701</v>
      </c>
      <c r="M1892" s="1" cm="1">
        <f t="array" ref="M1892">SUMPRODUCT(([1]OUT_FinalEnergyCons!$B$4:$B$10000="Var_cap")*1, (ISNUMBER(SEARCH("SCOM-SHNGABR",[1]OUT_FinalEnergyCons!$A$4:$A$10000)))*1,[1]OUT_FinalEnergyCons!K$4:K$10000)</f>
        <v>1.8474830512317189</v>
      </c>
      <c r="N1892" s="1" cm="1">
        <f t="array" ref="N1892">SUMPRODUCT(([1]OUT_FinalEnergyCons!$B$4:$B$10000="Var_cap")*1, (ISNUMBER(SEARCH("SCOM-SHNGABR",[1]OUT_FinalEnergyCons!$A$4:$A$10000)))*1,[1]OUT_FinalEnergyCons!L$4:L$10000)</f>
        <v>1.8589044833886172</v>
      </c>
      <c r="O1892" s="1" cm="1">
        <f t="array" ref="O1892">SUMPRODUCT(([1]OUT_FinalEnergyCons!$B$4:$B$10000="Var_cap")*1, (ISNUMBER(SEARCH("SCOM-SHNGABR",[1]OUT_FinalEnergyCons!$A$4:$A$10000)))*1,[1]OUT_FinalEnergyCons!M$4:M$10000)</f>
        <v>1.7674867058916266</v>
      </c>
      <c r="P1892" s="1" cm="1">
        <f t="array" ref="P1892">SUMPRODUCT(([1]OUT_FinalEnergyCons!$B$4:$B$10000="Var_cap")*1, (ISNUMBER(SEARCH("SCOM-SHNGABR",[1]OUT_FinalEnergyCons!$A$4:$A$10000)))*1,[1]OUT_FinalEnergyCons!N$4:N$10000)</f>
        <v>1.7754060385333312</v>
      </c>
      <c r="Q1892" s="1" cm="1">
        <f t="array" ref="Q1892">SUMPRODUCT(([1]OUT_FinalEnergyCons!$B$4:$B$10000="Var_cap")*1, (ISNUMBER(SEARCH("SCOM-SHNGABR",[1]OUT_FinalEnergyCons!$A$4:$A$10000)))*1,[1]OUT_FinalEnergyCons!O$4:O$10000)</f>
        <v>1.6994896454103414</v>
      </c>
      <c r="S1892" s="3"/>
    </row>
    <row r="1893" spans="2:19" x14ac:dyDescent="0.5">
      <c r="B1893" s="5" t="str">
        <f t="shared" ref="B1893:C1893" si="2136">B1892</f>
        <v>SPS1</v>
      </c>
      <c r="C1893" s="5" t="str">
        <f t="shared" si="2136"/>
        <v>CH</v>
      </c>
      <c r="D1893" t="s">
        <v>1908</v>
      </c>
      <c r="E1893" t="str">
        <f t="shared" si="213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3.93193975698172E-7</v>
      </c>
      <c r="G1893" s="1" cm="1">
        <f t="array" ref="G1893">SUMPRODUCT(([1]OUT_FinalEnergyCons!$B$4:$B$10000="Var_cap")*1, (ISNUMBER(SEARCH("SCOM-SHngahp",[1]OUT_FinalEnergyCons!$A$4:$A$10000)))*1,[1]OUT_FinalEnergyCons!E$4:E$10000)</f>
        <v>1.4516192069136623E-5</v>
      </c>
      <c r="H1893" s="1" cm="1">
        <f t="array" ref="H1893">SUMPRODUCT(([1]OUT_FinalEnergyCons!$B$4:$B$10000="Var_cap")*1, (ISNUMBER(SEARCH("SCOM-SHngahp",[1]OUT_FinalEnergyCons!$A$4:$A$10000)))*1,[1]OUT_FinalEnergyCons!F$4:F$10000)</f>
        <v>1.6164946539106416E-4</v>
      </c>
      <c r="I1893" s="1" cm="1">
        <f t="array" ref="I1893">SUMPRODUCT(([1]OUT_FinalEnergyCons!$B$4:$B$10000="Var_cap")*1, (ISNUMBER(SEARCH("SCOM-SHngahp",[1]OUT_FinalEnergyCons!$A$4:$A$10000)))*1,[1]OUT_FinalEnergyCons!G$4:G$10000)</f>
        <v>1.6348216910244576E-4</v>
      </c>
      <c r="J1893" s="1" cm="1">
        <f t="array" ref="J1893">SUMPRODUCT(([1]OUT_FinalEnergyCons!$B$4:$B$10000="Var_cap")*1, (ISNUMBER(SEARCH("SCOM-SHngahp",[1]OUT_FinalEnergyCons!$A$4:$A$10000)))*1,[1]OUT_FinalEnergyCons!H$4:H$10000)</f>
        <v>6.8925549720214453E-4</v>
      </c>
      <c r="K1893" s="1" cm="1">
        <f t="array" ref="K1893">SUMPRODUCT(([1]OUT_FinalEnergyCons!$B$4:$B$10000="Var_cap")*1, (ISNUMBER(SEARCH("SCOM-SHngahp",[1]OUT_FinalEnergyCons!$A$4:$A$10000)))*1,[1]OUT_FinalEnergyCons!I$4:I$10000)</f>
        <v>1.0720746308227472E-3</v>
      </c>
      <c r="L1893" s="1" cm="1">
        <f t="array" ref="L1893">SUMPRODUCT(([1]OUT_FinalEnergyCons!$B$4:$B$10000="Var_cap")*1, (ISNUMBER(SEARCH("SCOM-SHngahp",[1]OUT_FinalEnergyCons!$A$4:$A$10000)))*1,[1]OUT_FinalEnergyCons!J$4:J$10000)</f>
        <v>2.2056342020282758E-3</v>
      </c>
      <c r="M1893" s="1" cm="1">
        <f t="array" ref="M1893">SUMPRODUCT(([1]OUT_FinalEnergyCons!$B$4:$B$10000="Var_cap")*1, (ISNUMBER(SEARCH("SCOM-SHngahp",[1]OUT_FinalEnergyCons!$A$4:$A$10000)))*1,[1]OUT_FinalEnergyCons!K$4:K$10000)</f>
        <v>1.8359298626448111E-3</v>
      </c>
      <c r="N1893" s="1" cm="1">
        <f t="array" ref="N1893">SUMPRODUCT(([1]OUT_FinalEnergyCons!$B$4:$B$10000="Var_cap")*1, (ISNUMBER(SEARCH("SCOM-SHngahp",[1]OUT_FinalEnergyCons!$A$4:$A$10000)))*1,[1]OUT_FinalEnergyCons!L$4:L$10000)</f>
        <v>1.3130475720066817E-3</v>
      </c>
      <c r="O1893" s="1" cm="1">
        <f t="array" ref="O1893">SUMPRODUCT(([1]OUT_FinalEnergyCons!$B$4:$B$10000="Var_cap")*1, (ISNUMBER(SEARCH("SCOM-SHngahp",[1]OUT_FinalEnergyCons!$A$4:$A$10000)))*1,[1]OUT_FinalEnergyCons!M$4:M$10000)</f>
        <v>4.5262319340847882E-3</v>
      </c>
      <c r="P1893" s="1" cm="1">
        <f t="array" ref="P1893">SUMPRODUCT(([1]OUT_FinalEnergyCons!$B$4:$B$10000="Var_cap")*1, (ISNUMBER(SEARCH("SCOM-SHngahp",[1]OUT_FinalEnergyCons!$A$4:$A$10000)))*1,[1]OUT_FinalEnergyCons!N$4:N$10000)</f>
        <v>4.417851337466046E-3</v>
      </c>
      <c r="Q1893" s="1" cm="1">
        <f t="array" ref="Q1893">SUMPRODUCT(([1]OUT_FinalEnergyCons!$B$4:$B$10000="Var_cap")*1, (ISNUMBER(SEARCH("SCOM-SHngahp",[1]OUT_FinalEnergyCons!$A$4:$A$10000)))*1,[1]OUT_FinalEnergyCons!O$4:O$10000)</f>
        <v>8.2938473615330986E-3</v>
      </c>
      <c r="S1893" s="3"/>
    </row>
    <row r="1894" spans="2:19" x14ac:dyDescent="0.5">
      <c r="B1894" s="5" t="str">
        <f t="shared" ref="B1894:C1894" si="2137">B1893</f>
        <v>SPS1</v>
      </c>
      <c r="C1894" s="5" t="str">
        <f t="shared" si="2137"/>
        <v>CH</v>
      </c>
      <c r="D1894" t="s">
        <v>1909</v>
      </c>
      <c r="E1894" t="str">
        <f t="shared" si="213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0.1053436477251052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0.10535479777638015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0.10971330911594435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0.10972126781924707</v>
      </c>
      <c r="J1894" s="1" cm="1">
        <f t="array" ref="J1894">SUMPRODUCT(([1]OUT_FinalEnergyCons!$B$4:$B$10000="Var_cap")*1, (("SCOM-SHBIOBR"=[1]OUT_FinalEnergyCons!$A$4:$A$10000)*1+("SCOM-SHBNGABR"=[1]OUT_FinalEnergyCons!$A$4:$A$10000)*1),[1]OUT_FinalEnergyCons!H$4:H$10000)</f>
        <v>0.13566332946513204</v>
      </c>
      <c r="K1894" s="1" cm="1">
        <f t="array" ref="K1894">SUMPRODUCT(([1]OUT_FinalEnergyCons!$B$4:$B$10000="Var_cap")*1, (("SCOM-SHBIOBR"=[1]OUT_FinalEnergyCons!$A$4:$A$10000)*1+("SCOM-SHBNGABR"=[1]OUT_FinalEnergyCons!$A$4:$A$10000)*1),[1]OUT_FinalEnergyCons!I$4:I$10000)</f>
        <v>0.14143077524233574</v>
      </c>
      <c r="L1894" s="1" cm="1">
        <f t="array" ref="L1894">SUMPRODUCT(([1]OUT_FinalEnergyCons!$B$4:$B$10000="Var_cap")*1, (("SCOM-SHBIOBR"=[1]OUT_FinalEnergyCons!$A$4:$A$10000)*1+("SCOM-SHBNGABR"=[1]OUT_FinalEnergyCons!$A$4:$A$10000)*1),[1]OUT_FinalEnergyCons!J$4:J$10000)</f>
        <v>0.1405032941723495</v>
      </c>
      <c r="M1894" s="1" cm="1">
        <f t="array" ref="M1894">SUMPRODUCT(([1]OUT_FinalEnergyCons!$B$4:$B$10000="Var_cap")*1, (("SCOM-SHBIOBR"=[1]OUT_FinalEnergyCons!$A$4:$A$10000)*1+("SCOM-SHBNGABR"=[1]OUT_FinalEnergyCons!$A$4:$A$10000)*1),[1]OUT_FinalEnergyCons!K$4:K$10000)</f>
        <v>0.18723867994661739</v>
      </c>
      <c r="N1894" s="1" cm="1">
        <f t="array" ref="N1894">SUMPRODUCT(([1]OUT_FinalEnergyCons!$B$4:$B$10000="Var_cap")*1, (("SCOM-SHBIOBR"=[1]OUT_FinalEnergyCons!$A$4:$A$10000)*1+("SCOM-SHBNGABR"=[1]OUT_FinalEnergyCons!$A$4:$A$10000)*1),[1]OUT_FinalEnergyCons!L$4:L$10000)</f>
        <v>0.18017496716904272</v>
      </c>
      <c r="O1894" s="1" cm="1">
        <f t="array" ref="O1894">SUMPRODUCT(([1]OUT_FinalEnergyCons!$B$4:$B$10000="Var_cap")*1, (("SCOM-SHBIOBR"=[1]OUT_FinalEnergyCons!$A$4:$A$10000)*1+("SCOM-SHBNGABR"=[1]OUT_FinalEnergyCons!$A$4:$A$10000)*1),[1]OUT_FinalEnergyCons!M$4:M$10000)</f>
        <v>0.17580609348431023</v>
      </c>
      <c r="P1894" s="1" cm="1">
        <f t="array" ref="P1894">SUMPRODUCT(([1]OUT_FinalEnergyCons!$B$4:$B$10000="Var_cap")*1, (("SCOM-SHBIOBR"=[1]OUT_FinalEnergyCons!$A$4:$A$10000)*1+("SCOM-SHBNGABR"=[1]OUT_FinalEnergyCons!$A$4:$A$10000)*1),[1]OUT_FinalEnergyCons!N$4:N$10000)</f>
        <v>0.26081907357541395</v>
      </c>
      <c r="Q1894" s="1" cm="1">
        <f t="array" ref="Q1894">SUMPRODUCT(([1]OUT_FinalEnergyCons!$B$4:$B$10000="Var_cap")*1, (("SCOM-SHBIOBR"=[1]OUT_FinalEnergyCons!$A$4:$A$10000)*1+("SCOM-SHBNGABR"=[1]OUT_FinalEnergyCons!$A$4:$A$10000)*1),[1]OUT_FinalEnergyCons!O$4:O$10000)</f>
        <v>0.28912226070730074</v>
      </c>
      <c r="S1894" s="3"/>
    </row>
    <row r="1895" spans="2:19" x14ac:dyDescent="0.5">
      <c r="B1895" s="5" t="str">
        <f t="shared" ref="B1895:C1895" si="2138">B1894</f>
        <v>SPS1</v>
      </c>
      <c r="C1895" s="5" t="str">
        <f t="shared" si="2138"/>
        <v>CH</v>
      </c>
      <c r="D1895" t="s">
        <v>1910</v>
      </c>
      <c r="E1895" t="str">
        <f t="shared" si="2131"/>
        <v>GWth/yr.</v>
      </c>
      <c r="F1895" s="1">
        <f>F1896</f>
        <v>0.47842955734999049</v>
      </c>
      <c r="G1895" s="1">
        <f t="shared" ref="G1895:O1895" si="2139">G1896</f>
        <v>0.52045642427623595</v>
      </c>
      <c r="H1895" s="1">
        <f t="shared" si="2139"/>
        <v>0.52023428106743419</v>
      </c>
      <c r="I1895" s="1">
        <f t="shared" si="2139"/>
        <v>0.52022357509874784</v>
      </c>
      <c r="J1895" s="1">
        <f t="shared" si="2139"/>
        <v>0.28785684995581912</v>
      </c>
      <c r="K1895" s="1">
        <f t="shared" si="2139"/>
        <v>0.17911171205869744</v>
      </c>
      <c r="L1895" s="1">
        <f t="shared" si="2139"/>
        <v>0.11610626230782201</v>
      </c>
      <c r="M1895" s="1">
        <f t="shared" si="2139"/>
        <v>3.681326062438682E-2</v>
      </c>
      <c r="N1895" s="1">
        <f t="shared" si="2139"/>
        <v>3.484558931065615E-2</v>
      </c>
      <c r="O1895" s="1">
        <f t="shared" si="2139"/>
        <v>3.4062606890183124E-2</v>
      </c>
      <c r="P1895" s="1">
        <f>P1896</f>
        <v>3.3371431898197648E-2</v>
      </c>
      <c r="Q1895" s="1">
        <f>Q1896</f>
        <v>3.21335928039133E-2</v>
      </c>
      <c r="S1895" s="3"/>
    </row>
    <row r="1896" spans="2:19" x14ac:dyDescent="0.5">
      <c r="B1896" s="5" t="str">
        <f t="shared" ref="B1896:C1896" si="2140">B1895</f>
        <v>SPS1</v>
      </c>
      <c r="C1896" s="5" t="str">
        <f t="shared" si="2140"/>
        <v>CH</v>
      </c>
      <c r="D1896" t="s">
        <v>1911</v>
      </c>
      <c r="E1896" t="str">
        <f t="shared" si="213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0.47842955734999049</v>
      </c>
      <c r="G1896" s="1" cm="1">
        <f t="array" ref="G1896">SUMPRODUCT(([1]OUT_FinalEnergyCons!$B$4:$B$10000="Var_cap")*1, (ISNUMBER(SEARCH("SCOM-SHWODBR",[1]OUT_FinalEnergyCons!$A$4:$A$10000)))*1,[1]OUT_FinalEnergyCons!E$4:E$10000)</f>
        <v>0.52045642427623595</v>
      </c>
      <c r="H1896" s="1" cm="1">
        <f t="array" ref="H1896">SUMPRODUCT(([1]OUT_FinalEnergyCons!$B$4:$B$10000="Var_cap")*1, (ISNUMBER(SEARCH("SCOM-SHWODBR",[1]OUT_FinalEnergyCons!$A$4:$A$10000)))*1,[1]OUT_FinalEnergyCons!F$4:F$10000)</f>
        <v>0.52023428106743419</v>
      </c>
      <c r="I1896" s="1" cm="1">
        <f t="array" ref="I1896">SUMPRODUCT(([1]OUT_FinalEnergyCons!$B$4:$B$10000="Var_cap")*1, (ISNUMBER(SEARCH("SCOM-SHWODBR",[1]OUT_FinalEnergyCons!$A$4:$A$10000)))*1,[1]OUT_FinalEnergyCons!G$4:G$10000)</f>
        <v>0.52022357509874784</v>
      </c>
      <c r="J1896" s="1" cm="1">
        <f t="array" ref="J1896">SUMPRODUCT(([1]OUT_FinalEnergyCons!$B$4:$B$10000="Var_cap")*1, (ISNUMBER(SEARCH("SCOM-SHWODBR",[1]OUT_FinalEnergyCons!$A$4:$A$10000)))*1,[1]OUT_FinalEnergyCons!H$4:H$10000)</f>
        <v>0.28785684995581912</v>
      </c>
      <c r="K1896" s="1" cm="1">
        <f t="array" ref="K1896">SUMPRODUCT(([1]OUT_FinalEnergyCons!$B$4:$B$10000="Var_cap")*1, (ISNUMBER(SEARCH("SCOM-SHWODBR",[1]OUT_FinalEnergyCons!$A$4:$A$10000)))*1,[1]OUT_FinalEnergyCons!I$4:I$10000)</f>
        <v>0.17911171205869744</v>
      </c>
      <c r="L1896" s="1" cm="1">
        <f t="array" ref="L1896">SUMPRODUCT(([1]OUT_FinalEnergyCons!$B$4:$B$10000="Var_cap")*1, (ISNUMBER(SEARCH("SCOM-SHWODBR",[1]OUT_FinalEnergyCons!$A$4:$A$10000)))*1,[1]OUT_FinalEnergyCons!J$4:J$10000)</f>
        <v>0.11610626230782201</v>
      </c>
      <c r="M1896" s="1" cm="1">
        <f t="array" ref="M1896">SUMPRODUCT(([1]OUT_FinalEnergyCons!$B$4:$B$10000="Var_cap")*1, (ISNUMBER(SEARCH("SCOM-SHWODBR",[1]OUT_FinalEnergyCons!$A$4:$A$10000)))*1,[1]OUT_FinalEnergyCons!K$4:K$10000)</f>
        <v>3.681326062438682E-2</v>
      </c>
      <c r="N1896" s="1" cm="1">
        <f t="array" ref="N1896">SUMPRODUCT(([1]OUT_FinalEnergyCons!$B$4:$B$10000="Var_cap")*1, (ISNUMBER(SEARCH("SCOM-SHWODBR",[1]OUT_FinalEnergyCons!$A$4:$A$10000)))*1,[1]OUT_FinalEnergyCons!L$4:L$10000)</f>
        <v>3.484558931065615E-2</v>
      </c>
      <c r="O1896" s="1" cm="1">
        <f t="array" ref="O1896">SUMPRODUCT(([1]OUT_FinalEnergyCons!$B$4:$B$10000="Var_cap")*1, (ISNUMBER(SEARCH("SCOM-SHWODBR",[1]OUT_FinalEnergyCons!$A$4:$A$10000)))*1,[1]OUT_FinalEnergyCons!M$4:M$10000)</f>
        <v>3.4062606890183124E-2</v>
      </c>
      <c r="P1896" s="1" cm="1">
        <f t="array" ref="P1896">SUMPRODUCT(([1]OUT_FinalEnergyCons!$B$4:$B$10000="Var_cap")*1, (ISNUMBER(SEARCH("SCOM-SHWODBR",[1]OUT_FinalEnergyCons!$A$4:$A$10000)))*1,[1]OUT_FinalEnergyCons!N$4:N$10000)</f>
        <v>3.3371431898197648E-2</v>
      </c>
      <c r="Q1896" s="1" cm="1">
        <f t="array" ref="Q1896">SUMPRODUCT(([1]OUT_FinalEnergyCons!$B$4:$B$10000="Var_cap")*1, (ISNUMBER(SEARCH("SCOM-SHWODBR",[1]OUT_FinalEnergyCons!$A$4:$A$10000)))*1,[1]OUT_FinalEnergyCons!O$4:O$10000)</f>
        <v>3.21335928039133E-2</v>
      </c>
      <c r="S1896" s="3"/>
    </row>
    <row r="1897" spans="2:19" x14ac:dyDescent="0.5">
      <c r="B1897" s="5" t="str">
        <f t="shared" ref="B1897:C1897" si="2141">B1896</f>
        <v>SPS1</v>
      </c>
      <c r="C1897" s="5" t="str">
        <f t="shared" si="2141"/>
        <v>CH</v>
      </c>
      <c r="D1897" t="s">
        <v>1912</v>
      </c>
      <c r="E1897" t="str">
        <f t="shared" si="2131"/>
        <v>GWth/yr.</v>
      </c>
      <c r="F1897" s="1">
        <f>F1898</f>
        <v>0.15051273271984458</v>
      </c>
      <c r="G1897" s="1">
        <f t="shared" ref="G1897:O1897" si="2142">G1898</f>
        <v>0.17254748772745396</v>
      </c>
      <c r="H1897" s="1">
        <f t="shared" si="2142"/>
        <v>0.17254902412400383</v>
      </c>
      <c r="I1897" s="1">
        <f t="shared" si="2142"/>
        <v>0.18851085576409507</v>
      </c>
      <c r="J1897" s="1">
        <f t="shared" si="2142"/>
        <v>0.20128812364660301</v>
      </c>
      <c r="K1897" s="1">
        <f t="shared" si="2142"/>
        <v>0.22532850323068596</v>
      </c>
      <c r="L1897" s="1">
        <f t="shared" si="2142"/>
        <v>0.21240423749911375</v>
      </c>
      <c r="M1897" s="1">
        <f t="shared" si="2142"/>
        <v>0.21922739192195609</v>
      </c>
      <c r="N1897" s="1">
        <f t="shared" si="2142"/>
        <v>0.21467706687231097</v>
      </c>
      <c r="O1897" s="1">
        <f t="shared" si="2142"/>
        <v>0.2070270048998214</v>
      </c>
      <c r="P1897" s="1">
        <f>P1898</f>
        <v>0.2058610129024469</v>
      </c>
      <c r="Q1897" s="1">
        <f>Q1898</f>
        <v>0.19693846295270534</v>
      </c>
      <c r="S1897" s="3"/>
    </row>
    <row r="1898" spans="2:19" x14ac:dyDescent="0.5">
      <c r="B1898" s="5" t="str">
        <f t="shared" ref="B1898:C1898" si="2143">B1897</f>
        <v>SPS1</v>
      </c>
      <c r="C1898" s="5" t="str">
        <f t="shared" si="2143"/>
        <v>CH</v>
      </c>
      <c r="D1898" t="s">
        <v>1913</v>
      </c>
      <c r="E1898" t="str">
        <f t="shared" si="213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0.15051273271984458</v>
      </c>
      <c r="G1898" s="1" cm="1">
        <f t="array" ref="G1898">SUMPRODUCT(([1]OUT_FinalEnergyCons!$B$4:$B$10000="Var_cap")*1,(ISNUMBER(SEARCH("SCOM-SHPLTBR",[1]OUT_FinalEnergyCons!$A$4:$A$10000)))*1,[1]OUT_FinalEnergyCons!E$4:E$10000)</f>
        <v>0.17254748772745396</v>
      </c>
      <c r="H1898" s="1" cm="1">
        <f t="array" ref="H1898">SUMPRODUCT(([1]OUT_FinalEnergyCons!$B$4:$B$10000="Var_cap")*1,(ISNUMBER(SEARCH("SCOM-SHPLTBR",[1]OUT_FinalEnergyCons!$A$4:$A$10000)))*1,[1]OUT_FinalEnergyCons!F$4:F$10000)</f>
        <v>0.17254902412400383</v>
      </c>
      <c r="I1898" s="1" cm="1">
        <f t="array" ref="I1898">SUMPRODUCT(([1]OUT_FinalEnergyCons!$B$4:$B$10000="Var_cap")*1,(ISNUMBER(SEARCH("SCOM-SHPLTBR",[1]OUT_FinalEnergyCons!$A$4:$A$10000)))*1,[1]OUT_FinalEnergyCons!G$4:G$10000)</f>
        <v>0.18851085576409507</v>
      </c>
      <c r="J1898" s="1" cm="1">
        <f t="array" ref="J1898">SUMPRODUCT(([1]OUT_FinalEnergyCons!$B$4:$B$10000="Var_cap")*1,(ISNUMBER(SEARCH("SCOM-SHPLTBR",[1]OUT_FinalEnergyCons!$A$4:$A$10000)))*1,[1]OUT_FinalEnergyCons!H$4:H$10000)</f>
        <v>0.20128812364660301</v>
      </c>
      <c r="K1898" s="1" cm="1">
        <f t="array" ref="K1898">SUMPRODUCT(([1]OUT_FinalEnergyCons!$B$4:$B$10000="Var_cap")*1,(ISNUMBER(SEARCH("SCOM-SHPLTBR",[1]OUT_FinalEnergyCons!$A$4:$A$10000)))*1,[1]OUT_FinalEnergyCons!I$4:I$10000)</f>
        <v>0.22532850323068596</v>
      </c>
      <c r="L1898" s="1" cm="1">
        <f t="array" ref="L1898">SUMPRODUCT(([1]OUT_FinalEnergyCons!$B$4:$B$10000="Var_cap")*1,(ISNUMBER(SEARCH("SCOM-SHPLTBR",[1]OUT_FinalEnergyCons!$A$4:$A$10000)))*1,[1]OUT_FinalEnergyCons!J$4:J$10000)</f>
        <v>0.21240423749911375</v>
      </c>
      <c r="M1898" s="1" cm="1">
        <f t="array" ref="M1898">SUMPRODUCT(([1]OUT_FinalEnergyCons!$B$4:$B$10000="Var_cap")*1,(ISNUMBER(SEARCH("SCOM-SHPLTBR",[1]OUT_FinalEnergyCons!$A$4:$A$10000)))*1,[1]OUT_FinalEnergyCons!K$4:K$10000)</f>
        <v>0.21922739192195609</v>
      </c>
      <c r="N1898" s="1" cm="1">
        <f t="array" ref="N1898">SUMPRODUCT(([1]OUT_FinalEnergyCons!$B$4:$B$10000="Var_cap")*1,(ISNUMBER(SEARCH("SCOM-SHPLTBR",[1]OUT_FinalEnergyCons!$A$4:$A$10000)))*1,[1]OUT_FinalEnergyCons!L$4:L$10000)</f>
        <v>0.21467706687231097</v>
      </c>
      <c r="O1898" s="1" cm="1">
        <f t="array" ref="O1898">SUMPRODUCT(([1]OUT_FinalEnergyCons!$B$4:$B$10000="Var_cap")*1,(ISNUMBER(SEARCH("SCOM-SHPLTBR",[1]OUT_FinalEnergyCons!$A$4:$A$10000)))*1,[1]OUT_FinalEnergyCons!M$4:M$10000)</f>
        <v>0.2070270048998214</v>
      </c>
      <c r="P1898" s="1" cm="1">
        <f t="array" ref="P1898">SUMPRODUCT(([1]OUT_FinalEnergyCons!$B$4:$B$10000="Var_cap")*1,(ISNUMBER(SEARCH("SCOM-SHPLTBR",[1]OUT_FinalEnergyCons!$A$4:$A$10000)))*1,[1]OUT_FinalEnergyCons!N$4:N$10000)</f>
        <v>0.2058610129024469</v>
      </c>
      <c r="Q1898" s="1" cm="1">
        <f t="array" ref="Q1898">SUMPRODUCT(([1]OUT_FinalEnergyCons!$B$4:$B$10000="Var_cap")*1,(ISNUMBER(SEARCH("SCOM-SHPLTBR",[1]OUT_FinalEnergyCons!$A$4:$A$10000)))*1,[1]OUT_FinalEnergyCons!O$4:O$10000)</f>
        <v>0.19693846295270534</v>
      </c>
      <c r="S1898" s="3"/>
    </row>
    <row r="1899" spans="2:19" x14ac:dyDescent="0.5">
      <c r="B1899" s="5" t="str">
        <f t="shared" ref="B1899:C1899" si="2144">B1898</f>
        <v>SPS1</v>
      </c>
      <c r="C1899" s="5" t="str">
        <f t="shared" si="2144"/>
        <v>CH</v>
      </c>
      <c r="D1899" t="s">
        <v>1914</v>
      </c>
      <c r="E1899" t="str">
        <f t="shared" si="2131"/>
        <v>GWth/yr.</v>
      </c>
      <c r="F1899" s="1">
        <f>F1900</f>
        <v>9.1074480365297167E-2</v>
      </c>
      <c r="G1899" s="1">
        <f t="shared" ref="G1899:O1899" si="2145">G1900</f>
        <v>9.9847158791714408E-2</v>
      </c>
      <c r="H1899" s="1">
        <f t="shared" si="2145"/>
        <v>9.9848235676345279E-2</v>
      </c>
      <c r="I1899" s="1">
        <f t="shared" si="2145"/>
        <v>9.9850898757358489E-2</v>
      </c>
      <c r="J1899" s="1">
        <f t="shared" si="2145"/>
        <v>9.9851869084586709E-2</v>
      </c>
      <c r="K1899" s="1">
        <f t="shared" si="2145"/>
        <v>9.9851780854242594E-2</v>
      </c>
      <c r="L1899" s="1">
        <f t="shared" si="2145"/>
        <v>9.9856028964105004E-2</v>
      </c>
      <c r="M1899" s="1">
        <f t="shared" si="2145"/>
        <v>9.9861612857116006E-2</v>
      </c>
      <c r="N1899" s="1">
        <f t="shared" si="2145"/>
        <v>9.9866070395527098E-2</v>
      </c>
      <c r="O1899" s="1">
        <f t="shared" si="2145"/>
        <v>9.9873246424700204E-2</v>
      </c>
      <c r="P1899" s="1">
        <f>P1900</f>
        <v>9.9886416111959406E-2</v>
      </c>
      <c r="Q1899" s="1">
        <f>Q1900</f>
        <v>9.9928961170595604E-2</v>
      </c>
      <c r="S1899" s="3"/>
    </row>
    <row r="1900" spans="2:19" x14ac:dyDescent="0.5">
      <c r="B1900" s="5" t="str">
        <f t="shared" ref="B1900:C1900" si="2146">B1899</f>
        <v>SPS1</v>
      </c>
      <c r="C1900" s="5" t="str">
        <f t="shared" si="2146"/>
        <v>CH</v>
      </c>
      <c r="D1900" t="s">
        <v>1915</v>
      </c>
      <c r="E1900" t="str">
        <f t="shared" si="213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9.1074480365297167E-2</v>
      </c>
      <c r="G1900" s="1" cm="1">
        <f t="array" ref="G1900">SUMPRODUCT(([1]OUT_FinalEnergyCons!$B$4:$B$10000="Var_cap")*1, (ISNUMBER(SEARCH("SCOM-SHSOLBR",[1]OUT_FinalEnergyCons!$A$4:$A$10000)))*1,[1]OUT_FinalEnergyCons!E$4:E$10000)</f>
        <v>9.9847158791714408E-2</v>
      </c>
      <c r="H1900" s="1" cm="1">
        <f t="array" ref="H1900">SUMPRODUCT(([1]OUT_FinalEnergyCons!$B$4:$B$10000="Var_cap")*1, (ISNUMBER(SEARCH("SCOM-SHSOLBR",[1]OUT_FinalEnergyCons!$A$4:$A$10000)))*1,[1]OUT_FinalEnergyCons!F$4:F$10000)</f>
        <v>9.9848235676345279E-2</v>
      </c>
      <c r="I1900" s="1" cm="1">
        <f t="array" ref="I1900">SUMPRODUCT(([1]OUT_FinalEnergyCons!$B$4:$B$10000="Var_cap")*1, (ISNUMBER(SEARCH("SCOM-SHSOLBR",[1]OUT_FinalEnergyCons!$A$4:$A$10000)))*1,[1]OUT_FinalEnergyCons!G$4:G$10000)</f>
        <v>9.9850898757358489E-2</v>
      </c>
      <c r="J1900" s="1" cm="1">
        <f t="array" ref="J1900">SUMPRODUCT(([1]OUT_FinalEnergyCons!$B$4:$B$10000="Var_cap")*1, (ISNUMBER(SEARCH("SCOM-SHSOLBR",[1]OUT_FinalEnergyCons!$A$4:$A$10000)))*1,[1]OUT_FinalEnergyCons!H$4:H$10000)</f>
        <v>9.9851869084586709E-2</v>
      </c>
      <c r="K1900" s="1" cm="1">
        <f t="array" ref="K1900">SUMPRODUCT(([1]OUT_FinalEnergyCons!$B$4:$B$10000="Var_cap")*1, (ISNUMBER(SEARCH("SCOM-SHSOLBR",[1]OUT_FinalEnergyCons!$A$4:$A$10000)))*1,[1]OUT_FinalEnergyCons!I$4:I$10000)</f>
        <v>9.9851780854242594E-2</v>
      </c>
      <c r="L1900" s="1" cm="1">
        <f t="array" ref="L1900">SUMPRODUCT(([1]OUT_FinalEnergyCons!$B$4:$B$10000="Var_cap")*1, (ISNUMBER(SEARCH("SCOM-SHSOLBR",[1]OUT_FinalEnergyCons!$A$4:$A$10000)))*1,[1]OUT_FinalEnergyCons!J$4:J$10000)</f>
        <v>9.9856028964105004E-2</v>
      </c>
      <c r="M1900" s="1" cm="1">
        <f t="array" ref="M1900">SUMPRODUCT(([1]OUT_FinalEnergyCons!$B$4:$B$10000="Var_cap")*1, (ISNUMBER(SEARCH("SCOM-SHSOLBR",[1]OUT_FinalEnergyCons!$A$4:$A$10000)))*1,[1]OUT_FinalEnergyCons!K$4:K$10000)</f>
        <v>9.9861612857116006E-2</v>
      </c>
      <c r="N1900" s="1" cm="1">
        <f t="array" ref="N1900">SUMPRODUCT(([1]OUT_FinalEnergyCons!$B$4:$B$10000="Var_cap")*1, (ISNUMBER(SEARCH("SCOM-SHSOLBR",[1]OUT_FinalEnergyCons!$A$4:$A$10000)))*1,[1]OUT_FinalEnergyCons!L$4:L$10000)</f>
        <v>9.9866070395527098E-2</v>
      </c>
      <c r="O1900" s="1" cm="1">
        <f t="array" ref="O1900">SUMPRODUCT(([1]OUT_FinalEnergyCons!$B$4:$B$10000="Var_cap")*1, (ISNUMBER(SEARCH("SCOM-SHSOLBR",[1]OUT_FinalEnergyCons!$A$4:$A$10000)))*1,[1]OUT_FinalEnergyCons!M$4:M$10000)</f>
        <v>9.9873246424700204E-2</v>
      </c>
      <c r="P1900" s="1" cm="1">
        <f t="array" ref="P1900">SUMPRODUCT(([1]OUT_FinalEnergyCons!$B$4:$B$10000="Var_cap")*1, (ISNUMBER(SEARCH("SCOM-SHSOLBR",[1]OUT_FinalEnergyCons!$A$4:$A$10000)))*1,[1]OUT_FinalEnergyCons!N$4:N$10000)</f>
        <v>9.9886416111959406E-2</v>
      </c>
      <c r="Q1900" s="1" cm="1">
        <f t="array" ref="Q1900">SUMPRODUCT(([1]OUT_FinalEnergyCons!$B$4:$B$10000="Var_cap")*1, (ISNUMBER(SEARCH("SCOM-SHSOLBR",[1]OUT_FinalEnergyCons!$A$4:$A$10000)))*1,[1]OUT_FinalEnergyCons!O$4:O$10000)</f>
        <v>9.9928961170595604E-2</v>
      </c>
      <c r="S1900" s="3"/>
    </row>
    <row r="1901" spans="2:19" x14ac:dyDescent="0.5">
      <c r="B1901" s="5" t="str">
        <f t="shared" ref="B1901:C1901" si="2147">B1900</f>
        <v>SPS1</v>
      </c>
      <c r="C1901" s="5" t="str">
        <f t="shared" si="2147"/>
        <v>CH</v>
      </c>
      <c r="D1901" t="s">
        <v>1916</v>
      </c>
      <c r="E1901" t="str">
        <f t="shared" si="2131"/>
        <v>GWth/yr.</v>
      </c>
      <c r="F1901" s="1">
        <f>F1902</f>
        <v>0</v>
      </c>
      <c r="G1901" s="1">
        <f t="shared" ref="G1901:O1901" si="2148">G1902</f>
        <v>0</v>
      </c>
      <c r="H1901" s="1">
        <f t="shared" si="2148"/>
        <v>0</v>
      </c>
      <c r="I1901" s="1">
        <f t="shared" si="2148"/>
        <v>7.3302661562923797E-5</v>
      </c>
      <c r="J1901" s="1">
        <f t="shared" si="2148"/>
        <v>1.7476948449127324E-4</v>
      </c>
      <c r="K1901" s="1">
        <f t="shared" si="2148"/>
        <v>2.5314205955444139E-4</v>
      </c>
      <c r="L1901" s="1">
        <f t="shared" si="2148"/>
        <v>1.9949632247219046E-4</v>
      </c>
      <c r="M1901" s="1">
        <f t="shared" si="2148"/>
        <v>8.4430553099922555E-4</v>
      </c>
      <c r="N1901" s="1">
        <f t="shared" si="2148"/>
        <v>7.7244603744062448E-4</v>
      </c>
      <c r="O1901" s="1">
        <f t="shared" si="2148"/>
        <v>8.6864447331000648E-3</v>
      </c>
      <c r="P1901" s="1">
        <f>P1902</f>
        <v>1.3412405571911023E-2</v>
      </c>
      <c r="Q1901" s="1">
        <f>Q1902</f>
        <v>1.3377935104533641E-2</v>
      </c>
      <c r="S1901" s="3"/>
    </row>
    <row r="1902" spans="2:19" x14ac:dyDescent="0.5">
      <c r="B1902" s="5" t="str">
        <f t="shared" ref="B1902:C1902" si="2149">B1901</f>
        <v>SPS1</v>
      </c>
      <c r="C1902" s="5" t="str">
        <f t="shared" si="2149"/>
        <v>CH</v>
      </c>
      <c r="D1902" t="s">
        <v>1917</v>
      </c>
      <c r="E1902" t="str">
        <f t="shared" si="213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7.3302661562923797E-5</v>
      </c>
      <c r="J1902" s="1" cm="1">
        <f t="array" ref="J1902">SUMPRODUCT(([1]OUT_FinalEnergyCons!$B$4:$B$10000="Var_cap")*1, (ISNUMBER(SEARCH("SCOM-SHH2BR",[1]OUT_FinalEnergyCons!$A$4:$A$10000)))*1,[1]OUT_FinalEnergyCons!H$4:H$10000)</f>
        <v>1.7476948449127324E-4</v>
      </c>
      <c r="K1902" s="1" cm="1">
        <f t="array" ref="K1902">SUMPRODUCT(([1]OUT_FinalEnergyCons!$B$4:$B$10000="Var_cap")*1, (ISNUMBER(SEARCH("SCOM-SHH2BR",[1]OUT_FinalEnergyCons!$A$4:$A$10000)))*1,[1]OUT_FinalEnergyCons!I$4:I$10000)</f>
        <v>2.5314205955444139E-4</v>
      </c>
      <c r="L1902" s="1" cm="1">
        <f t="array" ref="L1902">SUMPRODUCT(([1]OUT_FinalEnergyCons!$B$4:$B$10000="Var_cap")*1, (ISNUMBER(SEARCH("SCOM-SHH2BR",[1]OUT_FinalEnergyCons!$A$4:$A$10000)))*1,[1]OUT_FinalEnergyCons!J$4:J$10000)</f>
        <v>1.9949632247219046E-4</v>
      </c>
      <c r="M1902" s="1" cm="1">
        <f t="array" ref="M1902">SUMPRODUCT(([1]OUT_FinalEnergyCons!$B$4:$B$10000="Var_cap")*1, (ISNUMBER(SEARCH("SCOM-SHH2BR",[1]OUT_FinalEnergyCons!$A$4:$A$10000)))*1,[1]OUT_FinalEnergyCons!K$4:K$10000)</f>
        <v>8.4430553099922555E-4</v>
      </c>
      <c r="N1902" s="1" cm="1">
        <f t="array" ref="N1902">SUMPRODUCT(([1]OUT_FinalEnergyCons!$B$4:$B$10000="Var_cap")*1, (ISNUMBER(SEARCH("SCOM-SHH2BR",[1]OUT_FinalEnergyCons!$A$4:$A$10000)))*1,[1]OUT_FinalEnergyCons!L$4:L$10000)</f>
        <v>7.7244603744062448E-4</v>
      </c>
      <c r="O1902" s="1" cm="1">
        <f t="array" ref="O1902">SUMPRODUCT(([1]OUT_FinalEnergyCons!$B$4:$B$10000="Var_cap")*1, (ISNUMBER(SEARCH("SCOM-SHH2BR",[1]OUT_FinalEnergyCons!$A$4:$A$10000)))*1,[1]OUT_FinalEnergyCons!M$4:M$10000)</f>
        <v>8.6864447331000648E-3</v>
      </c>
      <c r="P1902" s="1" cm="1">
        <f t="array" ref="P1902">SUMPRODUCT(([1]OUT_FinalEnergyCons!$B$4:$B$10000="Var_cap")*1, (ISNUMBER(SEARCH("SCOM-SHH2BR",[1]OUT_FinalEnergyCons!$A$4:$A$10000)))*1,[1]OUT_FinalEnergyCons!N$4:N$10000)</f>
        <v>1.3412405571911023E-2</v>
      </c>
      <c r="Q1902" s="1" cm="1">
        <f t="array" ref="Q1902">SUMPRODUCT(([1]OUT_FinalEnergyCons!$B$4:$B$10000="Var_cap")*1, (ISNUMBER(SEARCH("SCOM-SHH2BR",[1]OUT_FinalEnergyCons!$A$4:$A$10000)))*1,[1]OUT_FinalEnergyCons!O$4:O$10000)</f>
        <v>1.3377935104533641E-2</v>
      </c>
      <c r="S1902" s="3"/>
    </row>
    <row r="1903" spans="2:19" x14ac:dyDescent="0.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4.6730850739144891</v>
      </c>
      <c r="G1903" s="3">
        <f t="shared" ref="G1903:K1903" si="2150">SUM(G1904:G1953)</f>
        <v>4.7759225543872565</v>
      </c>
      <c r="H1903" s="3">
        <f t="shared" si="2150"/>
        <v>5.0320816129423296</v>
      </c>
      <c r="I1903" s="3">
        <f t="shared" si="2150"/>
        <v>5.5764906436034458</v>
      </c>
      <c r="J1903" s="3">
        <f t="shared" si="2150"/>
        <v>5.744446962971022</v>
      </c>
      <c r="K1903" s="3">
        <f t="shared" si="2150"/>
        <v>5.9124814850329006</v>
      </c>
      <c r="L1903" s="3">
        <f t="shared" ref="L1903:O1903" si="2151">SUM(L1904:L1953)</f>
        <v>6.0167580610236122</v>
      </c>
      <c r="M1903" s="3">
        <f t="shared" si="2151"/>
        <v>6.1213883938465576</v>
      </c>
      <c r="N1903" s="3">
        <f t="shared" si="2151"/>
        <v>6.4179426372839261</v>
      </c>
      <c r="O1903" s="3">
        <f t="shared" si="2151"/>
        <v>6.5523575278348627</v>
      </c>
      <c r="P1903" s="3">
        <f>SUM(P1904:P1953)</f>
        <v>6.6889898313291747</v>
      </c>
      <c r="Q1903" s="3">
        <f>SUM(Q1904:Q1953)</f>
        <v>6.8561793312978665</v>
      </c>
      <c r="S1903" s="3"/>
    </row>
    <row r="1904" spans="2:19" x14ac:dyDescent="0.5">
      <c r="B1904" s="5" t="str">
        <f t="shared" ref="B1904:B1953" si="2152">B1903</f>
        <v>SPS1</v>
      </c>
      <c r="C1904" s="5" t="str">
        <f t="shared" ref="C1904:C1953" si="215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4.2039732208172448E-2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3.6429673668249479E-2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2.8024628404711725E-2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1.4013315743268332E-2</v>
      </c>
      <c r="J1904" s="1" cm="1">
        <f t="array" ref="J1904">SUMPRODUCT(("Var_Cap"=[1]OUT_TransportEnergyCons!$B$4:$B$10000)*1,("-"=[1]OUT_TransportEnergyCons!$C$4:$C$10000)*1,ISNUMBER(SEARCH("T_C*bat*ext",[1]OUT_TransportEnergyCons!$A$4:$A$10000))*1,[1]OUT_TransportEnergyCons!H$4:H$10000)</f>
        <v>0</v>
      </c>
      <c r="K1904" s="1" cm="1">
        <f t="array" ref="K1904">SUMPRODUCT(("Var_Cap"=[1]OUT_TransportEnergyCons!$B$4:$B$10000)*1,("-"=[1]OUT_TransportEnergyCons!$C$4:$C$10000)*1,ISNUMBER(SEARCH("T_C*bat*ext",[1]OUT_TransportEnergyCons!$A$4:$A$10000))*1,[1]OUT_TransportEnergyCons!I$4:I$10000)</f>
        <v>0</v>
      </c>
      <c r="L1904" s="1" cm="1">
        <f t="array" ref="L1904">SUMPRODUCT(("Var_Cap"=[1]OUT_TransportEnergyCons!$B$4:$B$10000)*1,("-"=[1]OUT_TransportEnergyCons!$C$4:$C$10000)*1,ISNUMBER(SEARCH("T_C*bat*ext",[1]OUT_TransportEnergyCons!$A$4:$A$10000))*1,[1]OUT_TransportEnergyCons!J$4:J$10000)</f>
        <v>0</v>
      </c>
      <c r="M1904" s="1" cm="1">
        <f t="array" ref="M1904">SUMPRODUCT(("Var_Cap"=[1]OUT_TransportEnergyCons!$B$4:$B$10000)*1,("-"=[1]OUT_TransportEnergyCons!$C$4:$C$10000)*1,ISNUMBER(SEARCH("T_C*bat*ext",[1]OUT_TransportEnergyCons!$A$4:$A$10000))*1,[1]OUT_TransportEnergyCons!K$4:K$10000)</f>
        <v>0</v>
      </c>
      <c r="N1904" s="1" cm="1">
        <f t="array" ref="N1904">SUMPRODUCT(("Var_Cap"=[1]OUT_TransportEnergyCons!$B$4:$B$10000)*1,("-"=[1]OUT_TransportEnergyCons!$C$4:$C$10000)*1,ISNUMBER(SEARCH("T_C*bat*ext",[1]OUT_TransportEnergyCons!$A$4:$A$10000))*1,[1]OUT_TransportEnergyCons!L$4:L$10000)</f>
        <v>0</v>
      </c>
      <c r="O1904" s="1" cm="1">
        <f t="array" ref="O1904">SUMPRODUCT(("Var_Cap"=[1]OUT_TransportEnergyCons!$B$4:$B$10000)*1,("-"=[1]OUT_TransportEnergyCons!$C$4:$C$10000)*1,ISNUMBER(SEARCH("T_C*bat*ext",[1]OUT_TransportEnergyCons!$A$4:$A$10000))*1,[1]OUT_TransportEnergyCons!M$4:M$10000)</f>
        <v>0</v>
      </c>
      <c r="P1904" s="1" cm="1">
        <f t="array" ref="P1904">SUMPRODUCT(("Var_Cap"=[1]OUT_TransportEnergyCons!$B$4:$B$10000)*1,("-"=[1]OUT_TransportEnergyCons!$C$4:$C$10000)*1,ISNUMBER(SEARCH("T_C*bat*ext",[1]OUT_TransportEnergyCons!$A$4:$A$10000))*1,[1]OUT_TransportEnergyCons!N$4:N$10000)</f>
        <v>0</v>
      </c>
      <c r="Q1904" s="1" cm="1">
        <f t="array" ref="Q1904">SUMPRODUCT(("Var_Cap"=[1]OUT_TransportEnergyCons!$B$4:$B$10000)*1,("-"=[1]OUT_TransportEnergyCons!$C$4:$C$10000)*1,ISNUMBER(SEARCH("T_C*bat*ext",[1]OUT_TransportEnergyCons!$A$4:$A$10000))*1,[1]OUT_TransportEnergyCons!O$4:O$10000)</f>
        <v>0</v>
      </c>
      <c r="S1904" s="3"/>
    </row>
    <row r="1905" spans="2:19" x14ac:dyDescent="0.5">
      <c r="B1905" s="5" t="str">
        <f t="shared" si="2152"/>
        <v>SPS1</v>
      </c>
      <c r="C1905" s="5" t="str">
        <f t="shared" si="2153"/>
        <v>CH</v>
      </c>
      <c r="D1905" t="s">
        <v>1922</v>
      </c>
      <c r="E1905" t="str">
        <f t="shared" ref="E1905:E1953" si="215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1.531179548446583E-3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3.4451645219625814E-3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3.5810702117978705E-3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3.2030139262931457E-3</v>
      </c>
      <c r="J1905" s="1" cm="1">
        <f t="array" ref="J1905">SUMPRODUCT(("Var_Cap"=[1]OUT_TransportEnergyCons!$B$4:$B$10000)*1,("-"=[1]OUT_TransportEnergyCons!$C$4:$C$10000)*1,ISNUMBER(SEARCH("T_C*bat*s1",[1]OUT_TransportEnergyCons!$A$4:$A$10000))*1,[1]OUT_TransportEnergyCons!H$4:H$10000)</f>
        <v>1.3175366680658446E-3</v>
      </c>
      <c r="K1905" s="1" cm="1">
        <f t="array" ref="K1905">SUMPRODUCT(("Var_Cap"=[1]OUT_TransportEnergyCons!$B$4:$B$10000)*1,("-"=[1]OUT_TransportEnergyCons!$C$4:$C$10000)*1,ISNUMBER(SEARCH("T_C*bat*s1",[1]OUT_TransportEnergyCons!$A$4:$A$10000))*1,[1]OUT_TransportEnergyCons!I$4:I$10000)</f>
        <v>3.7952127395236394E-2</v>
      </c>
      <c r="L1905" s="1" cm="1">
        <f t="array" ref="L1905">SUMPRODUCT(("Var_Cap"=[1]OUT_TransportEnergyCons!$B$4:$B$10000)*1,("-"=[1]OUT_TransportEnergyCons!$C$4:$C$10000)*1,ISNUMBER(SEARCH("T_C*bat*s1",[1]OUT_TransportEnergyCons!$A$4:$A$10000))*1,[1]OUT_TransportEnergyCons!J$4:J$10000)</f>
        <v>0.11405750147086516</v>
      </c>
      <c r="M1905" s="1" cm="1">
        <f t="array" ref="M1905">SUMPRODUCT(("Var_Cap"=[1]OUT_TransportEnergyCons!$B$4:$B$10000)*1,("-"=[1]OUT_TransportEnergyCons!$C$4:$C$10000)*1,ISNUMBER(SEARCH("T_C*bat*s1",[1]OUT_TransportEnergyCons!$A$4:$A$10000))*1,[1]OUT_TransportEnergyCons!K$4:K$10000)</f>
        <v>0.25669148762651339</v>
      </c>
      <c r="N1905" s="1" cm="1">
        <f t="array" ref="N1905">SUMPRODUCT(("Var_Cap"=[1]OUT_TransportEnergyCons!$B$4:$B$10000)*1,("-"=[1]OUT_TransportEnergyCons!$C$4:$C$10000)*1,ISNUMBER(SEARCH("T_C*bat*s1",[1]OUT_TransportEnergyCons!$A$4:$A$10000))*1,[1]OUT_TransportEnergyCons!L$4:L$10000)</f>
        <v>0.28063609569383474</v>
      </c>
      <c r="O1905" s="1" cm="1">
        <f t="array" ref="O1905">SUMPRODUCT(("Var_Cap"=[1]OUT_TransportEnergyCons!$B$4:$B$10000)*1,("-"=[1]OUT_TransportEnergyCons!$C$4:$C$10000)*1,ISNUMBER(SEARCH("T_C*bat*s1",[1]OUT_TransportEnergyCons!$A$4:$A$10000))*1,[1]OUT_TransportEnergyCons!M$4:M$10000)</f>
        <v>0.27941073936477062</v>
      </c>
      <c r="P1905" s="1" cm="1">
        <f t="array" ref="P1905">SUMPRODUCT(("Var_Cap"=[1]OUT_TransportEnergyCons!$B$4:$B$10000)*1,("-"=[1]OUT_TransportEnergyCons!$C$4:$C$10000)*1,ISNUMBER(SEARCH("T_C*bat*s1",[1]OUT_TransportEnergyCons!$A$4:$A$10000))*1,[1]OUT_TransportEnergyCons!N$4:N$10000)</f>
        <v>0.28776843065208091</v>
      </c>
      <c r="Q1905" s="1" cm="1">
        <f t="array" ref="Q1905">SUMPRODUCT(("Var_Cap"=[1]OUT_TransportEnergyCons!$B$4:$B$10000)*1,("-"=[1]OUT_TransportEnergyCons!$C$4:$C$10000)*1,ISNUMBER(SEARCH("T_C*bat*s1",[1]OUT_TransportEnergyCons!$A$4:$A$10000))*1,[1]OUT_TransportEnergyCons!O$4:O$10000)</f>
        <v>0.25858253002235565</v>
      </c>
      <c r="S1905" s="3"/>
    </row>
    <row r="1906" spans="2:19" x14ac:dyDescent="0.5">
      <c r="B1906" s="5" t="str">
        <f t="shared" si="2152"/>
        <v>SPS1</v>
      </c>
      <c r="C1906" s="5" t="str">
        <f t="shared" si="2153"/>
        <v>CH</v>
      </c>
      <c r="D1906" t="s">
        <v>1923</v>
      </c>
      <c r="E1906" t="str">
        <f t="shared" si="215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7.3579312141474626E-3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1.1454554883812017E-2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0.20885499329827978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0.75572505958745406</v>
      </c>
      <c r="J1906" s="1" cm="1">
        <f t="array" ref="J1906">SUMPRODUCT(("Var_Cap"=[1]OUT_TransportEnergyCons!$B$4:$B$10000)*1,("-"=[1]OUT_TransportEnergyCons!$C$4:$C$10000)*1,ISNUMBER(SEARCH("T_C*bat*s2",[1]OUT_TransportEnergyCons!$A$4:$A$10000))*1,[1]OUT_TransportEnergyCons!H$4:H$10000)</f>
        <v>1.7379719517016472</v>
      </c>
      <c r="K1906" s="1" cm="1">
        <f t="array" ref="K1906">SUMPRODUCT(("Var_Cap"=[1]OUT_TransportEnergyCons!$B$4:$B$10000)*1,("-"=[1]OUT_TransportEnergyCons!$C$4:$C$10000)*1,ISNUMBER(SEARCH("T_C*bat*s2",[1]OUT_TransportEnergyCons!$A$4:$A$10000))*1,[1]OUT_TransportEnergyCons!I$4:I$10000)</f>
        <v>1.842973934131527</v>
      </c>
      <c r="L1906" s="1" cm="1">
        <f t="array" ref="L1906">SUMPRODUCT(("Var_Cap"=[1]OUT_TransportEnergyCons!$B$4:$B$10000)*1,("-"=[1]OUT_TransportEnergyCons!$C$4:$C$10000)*1,ISNUMBER(SEARCH("T_C*bat*s2",[1]OUT_TransportEnergyCons!$A$4:$A$10000))*1,[1]OUT_TransportEnergyCons!J$4:J$10000)</f>
        <v>1.8654864587008115</v>
      </c>
      <c r="M1906" s="1" cm="1">
        <f t="array" ref="M1906">SUMPRODUCT(("Var_Cap"=[1]OUT_TransportEnergyCons!$B$4:$B$10000)*1,("-"=[1]OUT_TransportEnergyCons!$C$4:$C$10000)*1,ISNUMBER(SEARCH("T_C*bat*s2",[1]OUT_TransportEnergyCons!$A$4:$A$10000))*1,[1]OUT_TransportEnergyCons!K$4:K$10000)</f>
        <v>1.9002388494391622</v>
      </c>
      <c r="N1906" s="1" cm="1">
        <f t="array" ref="N1906">SUMPRODUCT(("Var_Cap"=[1]OUT_TransportEnergyCons!$B$4:$B$10000)*1,("-"=[1]OUT_TransportEnergyCons!$C$4:$C$10000)*1,ISNUMBER(SEARCH("T_C*bat*s2",[1]OUT_TransportEnergyCons!$A$4:$A$10000))*1,[1]OUT_TransportEnergyCons!L$4:L$10000)</f>
        <v>1.8949392520405655</v>
      </c>
      <c r="O1906" s="1" cm="1">
        <f t="array" ref="O1906">SUMPRODUCT(("Var_Cap"=[1]OUT_TransportEnergyCons!$B$4:$B$10000)*1,("-"=[1]OUT_TransportEnergyCons!$C$4:$C$10000)*1,ISNUMBER(SEARCH("T_C*bat*s2",[1]OUT_TransportEnergyCons!$A$4:$A$10000))*1,[1]OUT_TransportEnergyCons!M$4:M$10000)</f>
        <v>1.8739614003611091</v>
      </c>
      <c r="P1906" s="1" cm="1">
        <f t="array" ref="P1906">SUMPRODUCT(("Var_Cap"=[1]OUT_TransportEnergyCons!$B$4:$B$10000)*1,("-"=[1]OUT_TransportEnergyCons!$C$4:$C$10000)*1,ISNUMBER(SEARCH("T_C*bat*s2",[1]OUT_TransportEnergyCons!$A$4:$A$10000))*1,[1]OUT_TransportEnergyCons!N$4:N$10000)</f>
        <v>1.8084630042931105</v>
      </c>
      <c r="Q1906" s="1" cm="1">
        <f t="array" ref="Q1906">SUMPRODUCT(("Var_Cap"=[1]OUT_TransportEnergyCons!$B$4:$B$10000)*1,("-"=[1]OUT_TransportEnergyCons!$C$4:$C$10000)*1,ISNUMBER(SEARCH("T_C*bat*s2",[1]OUT_TransportEnergyCons!$A$4:$A$10000))*1,[1]OUT_TransportEnergyCons!O$4:O$10000)</f>
        <v>1.7943759825328085</v>
      </c>
      <c r="S1906" s="3"/>
    </row>
    <row r="1907" spans="2:19" x14ac:dyDescent="0.5">
      <c r="B1907" s="5" t="str">
        <f t="shared" si="2152"/>
        <v>SPS1</v>
      </c>
      <c r="C1907" s="5" t="str">
        <f t="shared" si="2153"/>
        <v>CH</v>
      </c>
      <c r="D1907" t="s">
        <v>1924</v>
      </c>
      <c r="E1907" t="str">
        <f t="shared" si="215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4.275290301772758E-3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8.7438883213134654E-3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9.643397772610144E-3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0.18080323930556044</v>
      </c>
      <c r="J1907" s="1" cm="1">
        <f t="array" ref="J1907">SUMPRODUCT(("Var_Cap"=[1]OUT_TransportEnergyCons!$B$4:$B$10000)*1,("-"=[1]OUT_TransportEnergyCons!$C$4:$C$10000)*1,ISNUMBER(SEARCH("T_C*bat*s3",[1]OUT_TransportEnergyCons!$A$4:$A$10000))*1,[1]OUT_TransportEnergyCons!H$4:H$10000)</f>
        <v>0.52127928573734983</v>
      </c>
      <c r="K1907" s="1" cm="1">
        <f t="array" ref="K1907">SUMPRODUCT(("Var_Cap"=[1]OUT_TransportEnergyCons!$B$4:$B$10000)*1,("-"=[1]OUT_TransportEnergyCons!$C$4:$C$10000)*1,ISNUMBER(SEARCH("T_C*bat*s3",[1]OUT_TransportEnergyCons!$A$4:$A$10000))*1,[1]OUT_TransportEnergyCons!I$4:I$10000)</f>
        <v>0.73902278189452286</v>
      </c>
      <c r="L1907" s="1" cm="1">
        <f t="array" ref="L1907">SUMPRODUCT(("Var_Cap"=[1]OUT_TransportEnergyCons!$B$4:$B$10000)*1,("-"=[1]OUT_TransportEnergyCons!$C$4:$C$10000)*1,ISNUMBER(SEARCH("T_C*bat*s3",[1]OUT_TransportEnergyCons!$A$4:$A$10000))*1,[1]OUT_TransportEnergyCons!J$4:J$10000)</f>
        <v>0.77506241841925416</v>
      </c>
      <c r="M1907" s="1" cm="1">
        <f t="array" ref="M1907">SUMPRODUCT(("Var_Cap"=[1]OUT_TransportEnergyCons!$B$4:$B$10000)*1,("-"=[1]OUT_TransportEnergyCons!$C$4:$C$10000)*1,ISNUMBER(SEARCH("T_C*bat*s3",[1]OUT_TransportEnergyCons!$A$4:$A$10000))*1,[1]OUT_TransportEnergyCons!K$4:K$10000)</f>
        <v>0.75315742069731439</v>
      </c>
      <c r="N1907" s="1" cm="1">
        <f t="array" ref="N1907">SUMPRODUCT(("Var_Cap"=[1]OUT_TransportEnergyCons!$B$4:$B$10000)*1,("-"=[1]OUT_TransportEnergyCons!$C$4:$C$10000)*1,ISNUMBER(SEARCH("T_C*bat*s3",[1]OUT_TransportEnergyCons!$A$4:$A$10000))*1,[1]OUT_TransportEnergyCons!L$4:L$10000)</f>
        <v>0.89293132230005934</v>
      </c>
      <c r="O1907" s="1" cm="1">
        <f t="array" ref="O1907">SUMPRODUCT(("Var_Cap"=[1]OUT_TransportEnergyCons!$B$4:$B$10000)*1,("-"=[1]OUT_TransportEnergyCons!$C$4:$C$10000)*1,ISNUMBER(SEARCH("T_C*bat*s3",[1]OUT_TransportEnergyCons!$A$4:$A$10000))*1,[1]OUT_TransportEnergyCons!M$4:M$10000)</f>
        <v>1.0620094010631478</v>
      </c>
      <c r="P1907" s="1" cm="1">
        <f t="array" ref="P1907">SUMPRODUCT(("Var_Cap"=[1]OUT_TransportEnergyCons!$B$4:$B$10000)*1,("-"=[1]OUT_TransportEnergyCons!$C$4:$C$10000)*1,ISNUMBER(SEARCH("T_C*bat*s3",[1]OUT_TransportEnergyCons!$A$4:$A$10000))*1,[1]OUT_TransportEnergyCons!N$4:N$10000)</f>
        <v>1.4017872709198598</v>
      </c>
      <c r="Q1907" s="1" cm="1">
        <f t="array" ref="Q1907">SUMPRODUCT(("Var_Cap"=[1]OUT_TransportEnergyCons!$B$4:$B$10000)*1,("-"=[1]OUT_TransportEnergyCons!$C$4:$C$10000)*1,ISNUMBER(SEARCH("T_C*bat*s3",[1]OUT_TransportEnergyCons!$A$4:$A$10000))*1,[1]OUT_TransportEnergyCons!O$4:O$10000)</f>
        <v>1.5043718157217898</v>
      </c>
      <c r="S1907" s="3"/>
    </row>
    <row r="1908" spans="2:19" x14ac:dyDescent="0.5">
      <c r="B1908" s="5" t="str">
        <f t="shared" si="2152"/>
        <v>SPS1</v>
      </c>
      <c r="C1908" s="5" t="str">
        <f t="shared" si="2153"/>
        <v>CH</v>
      </c>
      <c r="D1908" t="s">
        <v>1925</v>
      </c>
      <c r="E1908" t="str">
        <f t="shared" si="215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1.5344222118874156E-2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9.8779301461085628E-2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0.17104399306645277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0.30109353046256104</v>
      </c>
      <c r="J1908" s="1" cm="1">
        <f t="array" ref="J1908">SUMPRODUCT(("Var_Cap"=[1]OUT_TransportEnergyCons!$B$4:$B$10000)*1,("-"=[1]OUT_TransportEnergyCons!$C$4:$C$10000)*1,ISNUMBER(SEARCH("T_C*bat*s4",[1]OUT_TransportEnergyCons!$A$4:$A$10000))*1,[1]OUT_TransportEnergyCons!H$4:H$10000)</f>
        <v>0.32525830307430453</v>
      </c>
      <c r="K1908" s="1" cm="1">
        <f t="array" ref="K1908">SUMPRODUCT(("Var_Cap"=[1]OUT_TransportEnergyCons!$B$4:$B$10000)*1,("-"=[1]OUT_TransportEnergyCons!$C$4:$C$10000)*1,ISNUMBER(SEARCH("T_C*bat*s4",[1]OUT_TransportEnergyCons!$A$4:$A$10000))*1,[1]OUT_TransportEnergyCons!I$4:I$10000)</f>
        <v>0.19869000989227437</v>
      </c>
      <c r="L1908" s="1" cm="1">
        <f t="array" ref="L1908">SUMPRODUCT(("Var_Cap"=[1]OUT_TransportEnergyCons!$B$4:$B$10000)*1,("-"=[1]OUT_TransportEnergyCons!$C$4:$C$10000)*1,ISNUMBER(SEARCH("T_C*bat*s4",[1]OUT_TransportEnergyCons!$A$4:$A$10000))*1,[1]OUT_TransportEnergyCons!J$4:J$10000)</f>
        <v>0.2097338544800923</v>
      </c>
      <c r="M1908" s="1" cm="1">
        <f t="array" ref="M1908">SUMPRODUCT(("Var_Cap"=[1]OUT_TransportEnergyCons!$B$4:$B$10000)*1,("-"=[1]OUT_TransportEnergyCons!$C$4:$C$10000)*1,ISNUMBER(SEARCH("T_C*bat*s4",[1]OUT_TransportEnergyCons!$A$4:$A$10000))*1,[1]OUT_TransportEnergyCons!K$4:K$10000)</f>
        <v>0.21952630187305819</v>
      </c>
      <c r="N1908" s="1" cm="1">
        <f t="array" ref="N1908">SUMPRODUCT(("Var_Cap"=[1]OUT_TransportEnergyCons!$B$4:$B$10000)*1,("-"=[1]OUT_TransportEnergyCons!$C$4:$C$10000)*1,ISNUMBER(SEARCH("T_C*bat*s4",[1]OUT_TransportEnergyCons!$A$4:$A$10000))*1,[1]OUT_TransportEnergyCons!L$4:L$10000)</f>
        <v>0.32932556739931407</v>
      </c>
      <c r="O1908" s="1" cm="1">
        <f t="array" ref="O1908">SUMPRODUCT(("Var_Cap"=[1]OUT_TransportEnergyCons!$B$4:$B$10000)*1,("-"=[1]OUT_TransportEnergyCons!$C$4:$C$10000)*1,ISNUMBER(SEARCH("T_C*bat*s4",[1]OUT_TransportEnergyCons!$A$4:$A$10000))*1,[1]OUT_TransportEnergyCons!M$4:M$10000)</f>
        <v>0.34434889656000983</v>
      </c>
      <c r="P1908" s="1" cm="1">
        <f t="array" ref="P1908">SUMPRODUCT(("Var_Cap"=[1]OUT_TransportEnergyCons!$B$4:$B$10000)*1,("-"=[1]OUT_TransportEnergyCons!$C$4:$C$10000)*1,ISNUMBER(SEARCH("T_C*bat*s4",[1]OUT_TransportEnergyCons!$A$4:$A$10000))*1,[1]OUT_TransportEnergyCons!N$4:N$10000)</f>
        <v>0.2550980421184344</v>
      </c>
      <c r="Q1908" s="1" cm="1">
        <f t="array" ref="Q1908">SUMPRODUCT(("Var_Cap"=[1]OUT_TransportEnergyCons!$B$4:$B$10000)*1,("-"=[1]OUT_TransportEnergyCons!$C$4:$C$10000)*1,ISNUMBER(SEARCH("T_C*bat*s4",[1]OUT_TransportEnergyCons!$A$4:$A$10000))*1,[1]OUT_TransportEnergyCons!O$4:O$10000)</f>
        <v>0.38236560079022774</v>
      </c>
      <c r="S1908" s="3"/>
    </row>
    <row r="1909" spans="2:19" x14ac:dyDescent="0.5">
      <c r="B1909" s="5" t="str">
        <f t="shared" si="2152"/>
        <v>SPS1</v>
      </c>
      <c r="C1909" s="5" t="str">
        <f t="shared" si="2153"/>
        <v>CH</v>
      </c>
      <c r="D1909" t="s">
        <v>1926</v>
      </c>
      <c r="E1909" t="str">
        <f t="shared" si="215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2.5972565777409614E-5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7.1605428619886792E-5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1.1402914962424E-4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1.2558808649436551E-4</v>
      </c>
      <c r="J1909" s="1" cm="1">
        <f t="array" ref="J1909">SUMPRODUCT(("Var_Cap"=[1]OUT_TransportEnergyCons!$B$4:$B$10000)*1,("-"=[1]OUT_TransportEnergyCons!$C$4:$C$10000)*1,ISNUMBER(SEARCH("T_C*pev*GSL*s1",[1]OUT_TransportEnergyCons!$A$4:$A$10000))*1,[1]OUT_TransportEnergyCons!H$4:H$10000)</f>
        <v>1.1112745354476393E-4</v>
      </c>
      <c r="K1909" s="1" cm="1">
        <f t="array" ref="K1909">SUMPRODUCT(("Var_Cap"=[1]OUT_TransportEnergyCons!$B$4:$B$10000)*1,("-"=[1]OUT_TransportEnergyCons!$C$4:$C$10000)*1,ISNUMBER(SEARCH("T_C*pev*GSL*s1",[1]OUT_TransportEnergyCons!$A$4:$A$10000))*1,[1]OUT_TransportEnergyCons!I$4:I$10000)</f>
        <v>1.1707200783670522E-4</v>
      </c>
      <c r="L1909" s="1" cm="1">
        <f t="array" ref="L1909">SUMPRODUCT(("Var_Cap"=[1]OUT_TransportEnergyCons!$B$4:$B$10000)*1,("-"=[1]OUT_TransportEnergyCons!$C$4:$C$10000)*1,ISNUMBER(SEARCH("T_C*pev*GSL*s1",[1]OUT_TransportEnergyCons!$A$4:$A$10000))*1,[1]OUT_TransportEnergyCons!J$4:J$10000)</f>
        <v>1.6813447027974588E-4</v>
      </c>
      <c r="M1909" s="1" cm="1">
        <f t="array" ref="M1909">SUMPRODUCT(("Var_Cap"=[1]OUT_TransportEnergyCons!$B$4:$B$10000)*1,("-"=[1]OUT_TransportEnergyCons!$C$4:$C$10000)*1,ISNUMBER(SEARCH("T_C*pev*GSL*s1",[1]OUT_TransportEnergyCons!$A$4:$A$10000))*1,[1]OUT_TransportEnergyCons!K$4:K$10000)</f>
        <v>1.5791206710062059E-4</v>
      </c>
      <c r="N1909" s="1" cm="1">
        <f t="array" ref="N1909">SUMPRODUCT(("Var_Cap"=[1]OUT_TransportEnergyCons!$B$4:$B$10000)*1,("-"=[1]OUT_TransportEnergyCons!$C$4:$C$10000)*1,ISNUMBER(SEARCH("T_C*pev*GSL*s1",[1]OUT_TransportEnergyCons!$A$4:$A$10000))*1,[1]OUT_TransportEnergyCons!L$4:L$10000)</f>
        <v>3.2239224073955672E-4</v>
      </c>
      <c r="O1909" s="1" cm="1">
        <f t="array" ref="O1909">SUMPRODUCT(("Var_Cap"=[1]OUT_TransportEnergyCons!$B$4:$B$10000)*1,("-"=[1]OUT_TransportEnergyCons!$C$4:$C$10000)*1,ISNUMBER(SEARCH("T_C*pev*GSL*s1",[1]OUT_TransportEnergyCons!$A$4:$A$10000))*1,[1]OUT_TransportEnergyCons!M$4:M$10000)</f>
        <v>6.5470543065955901E-4</v>
      </c>
      <c r="P1909" s="1" cm="1">
        <f t="array" ref="P1909">SUMPRODUCT(("Var_Cap"=[1]OUT_TransportEnergyCons!$B$4:$B$10000)*1,("-"=[1]OUT_TransportEnergyCons!$C$4:$C$10000)*1,ISNUMBER(SEARCH("T_C*pev*GSL*s1",[1]OUT_TransportEnergyCons!$A$4:$A$10000))*1,[1]OUT_TransportEnergyCons!N$4:N$10000)</f>
        <v>9.8930971055859467E-4</v>
      </c>
      <c r="Q1909" s="1" cm="1">
        <f t="array" ref="Q1909">SUMPRODUCT(("Var_Cap"=[1]OUT_TransportEnergyCons!$B$4:$B$10000)*1,("-"=[1]OUT_TransportEnergyCons!$C$4:$C$10000)*1,ISNUMBER(SEARCH("T_C*pev*GSL*s1",[1]OUT_TransportEnergyCons!$A$4:$A$10000))*1,[1]OUT_TransportEnergyCons!O$4:O$10000)</f>
        <v>1.5560712803132032E-3</v>
      </c>
      <c r="S1909" s="3"/>
    </row>
    <row r="1910" spans="2:19" x14ac:dyDescent="0.5">
      <c r="B1910" s="5" t="str">
        <f t="shared" si="2152"/>
        <v>SPS1</v>
      </c>
      <c r="C1910" s="5" t="str">
        <f t="shared" si="2153"/>
        <v>CH</v>
      </c>
      <c r="D1910" t="s">
        <v>1927</v>
      </c>
      <c r="E1910" t="str">
        <f t="shared" si="215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4.8854256727305567E-3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7.4952867663489872E-3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7.3224418514946698E-3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6.0243574908556297E-3</v>
      </c>
      <c r="J1910" s="1" cm="1">
        <f t="array" ref="J1910">SUMPRODUCT(("Var_Cap"=[1]OUT_TransportEnergyCons!$B$4:$B$10000)*1,("-"=[1]OUT_TransportEnergyCons!$C$4:$C$10000)*1,ISNUMBER(SEARCH("T_C*pev*GSL*s2",[1]OUT_TransportEnergyCons!$A$4:$A$10000))*1,[1]OUT_TransportEnergyCons!H$4:H$10000)</f>
        <v>1.1448540795273229E-3</v>
      </c>
      <c r="K1910" s="1" cm="1">
        <f t="array" ref="K1910">SUMPRODUCT(("Var_Cap"=[1]OUT_TransportEnergyCons!$B$4:$B$10000)*1,("-"=[1]OUT_TransportEnergyCons!$C$4:$C$10000)*1,ISNUMBER(SEARCH("T_C*pev*GSL*s2",[1]OUT_TransportEnergyCons!$A$4:$A$10000))*1,[1]OUT_TransportEnergyCons!I$4:I$10000)</f>
        <v>2.5548911521286282E-4</v>
      </c>
      <c r="L1910" s="1" cm="1">
        <f t="array" ref="L1910">SUMPRODUCT(("Var_Cap"=[1]OUT_TransportEnergyCons!$B$4:$B$10000)*1,("-"=[1]OUT_TransportEnergyCons!$C$4:$C$10000)*1,ISNUMBER(SEARCH("T_C*pev*GSL*s2",[1]OUT_TransportEnergyCons!$A$4:$A$10000))*1,[1]OUT_TransportEnergyCons!J$4:J$10000)</f>
        <v>3.4348214314969353E-4</v>
      </c>
      <c r="M1910" s="1" cm="1">
        <f t="array" ref="M1910">SUMPRODUCT(("Var_Cap"=[1]OUT_TransportEnergyCons!$B$4:$B$10000)*1,("-"=[1]OUT_TransportEnergyCons!$C$4:$C$10000)*1,ISNUMBER(SEARCH("T_C*pev*GSL*s2",[1]OUT_TransportEnergyCons!$A$4:$A$10000))*1,[1]OUT_TransportEnergyCons!K$4:K$10000)</f>
        <v>2.7891377235874558E-4</v>
      </c>
      <c r="N1910" s="1" cm="1">
        <f t="array" ref="N1910">SUMPRODUCT(("Var_Cap"=[1]OUT_TransportEnergyCons!$B$4:$B$10000)*1,("-"=[1]OUT_TransportEnergyCons!$C$4:$C$10000)*1,ISNUMBER(SEARCH("T_C*pev*GSL*s2",[1]OUT_TransportEnergyCons!$A$4:$A$10000))*1,[1]OUT_TransportEnergyCons!L$4:L$10000)</f>
        <v>5.2875551642502937E-4</v>
      </c>
      <c r="O1910" s="1" cm="1">
        <f t="array" ref="O1910">SUMPRODUCT(("Var_Cap"=[1]OUT_TransportEnergyCons!$B$4:$B$10000)*1,("-"=[1]OUT_TransportEnergyCons!$C$4:$C$10000)*1,ISNUMBER(SEARCH("T_C*pev*GSL*s2",[1]OUT_TransportEnergyCons!$A$4:$A$10000))*1,[1]OUT_TransportEnergyCons!M$4:M$10000)</f>
        <v>1.5241890682126067E-2</v>
      </c>
      <c r="P1910" s="1" cm="1">
        <f t="array" ref="P1910">SUMPRODUCT(("Var_Cap"=[1]OUT_TransportEnergyCons!$B$4:$B$10000)*1,("-"=[1]OUT_TransportEnergyCons!$C$4:$C$10000)*1,ISNUMBER(SEARCH("T_C*pev*GSL*s2",[1]OUT_TransportEnergyCons!$A$4:$A$10000))*1,[1]OUT_TransportEnergyCons!N$4:N$10000)</f>
        <v>3.4192886635761817E-2</v>
      </c>
      <c r="Q1910" s="1" cm="1">
        <f t="array" ref="Q1910">SUMPRODUCT(("Var_Cap"=[1]OUT_TransportEnergyCons!$B$4:$B$10000)*1,("-"=[1]OUT_TransportEnergyCons!$C$4:$C$10000)*1,ISNUMBER(SEARCH("T_C*pev*GSL*s2",[1]OUT_TransportEnergyCons!$A$4:$A$10000))*1,[1]OUT_TransportEnergyCons!O$4:O$10000)</f>
        <v>4.0597073019952988E-2</v>
      </c>
      <c r="S1910" s="3"/>
    </row>
    <row r="1911" spans="2:19" x14ac:dyDescent="0.5">
      <c r="B1911" s="5" t="str">
        <f t="shared" si="2152"/>
        <v>SPS1</v>
      </c>
      <c r="C1911" s="5" t="str">
        <f t="shared" si="2153"/>
        <v>CH</v>
      </c>
      <c r="D1911" t="s">
        <v>1928</v>
      </c>
      <c r="E1911" t="str">
        <f t="shared" si="215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4.0682000672256453E-3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1.0936278568897404E-2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4.1332329324618361E-2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4.7275601217584361E-2</v>
      </c>
      <c r="J1911" s="1" cm="1">
        <f t="array" ref="J1911">SUMPRODUCT(("Var_Cap"=[1]OUT_TransportEnergyCons!$B$4:$B$10000)*1,("-"=[1]OUT_TransportEnergyCons!$C$4:$C$10000)*1,ISNUMBER(SEARCH("T_C*pev*GSL*s3",[1]OUT_TransportEnergyCons!$A$4:$A$10000))*1,[1]OUT_TransportEnergyCons!H$4:H$10000)</f>
        <v>6.1422957768608712E-2</v>
      </c>
      <c r="K1911" s="1" cm="1">
        <f t="array" ref="K1911">SUMPRODUCT(("Var_Cap"=[1]OUT_TransportEnergyCons!$B$4:$B$10000)*1,("-"=[1]OUT_TransportEnergyCons!$C$4:$C$10000)*1,ISNUMBER(SEARCH("T_C*pev*GSL*s3",[1]OUT_TransportEnergyCons!$A$4:$A$10000))*1,[1]OUT_TransportEnergyCons!I$4:I$10000)</f>
        <v>3.6340259823338793E-2</v>
      </c>
      <c r="L1911" s="1" cm="1">
        <f t="array" ref="L1911">SUMPRODUCT(("Var_Cap"=[1]OUT_TransportEnergyCons!$B$4:$B$10000)*1,("-"=[1]OUT_TransportEnergyCons!$C$4:$C$10000)*1,ISNUMBER(SEARCH("T_C*pev*GSL*s3",[1]OUT_TransportEnergyCons!$A$4:$A$10000))*1,[1]OUT_TransportEnergyCons!J$4:J$10000)</f>
        <v>3.5151458155900803E-2</v>
      </c>
      <c r="M1911" s="1" cm="1">
        <f t="array" ref="M1911">SUMPRODUCT(("Var_Cap"=[1]OUT_TransportEnergyCons!$B$4:$B$10000)*1,("-"=[1]OUT_TransportEnergyCons!$C$4:$C$10000)*1,ISNUMBER(SEARCH("T_C*pev*GSL*s3",[1]OUT_TransportEnergyCons!$A$4:$A$10000))*1,[1]OUT_TransportEnergyCons!K$4:K$10000)</f>
        <v>1.3972647538915516E-2</v>
      </c>
      <c r="N1911" s="1" cm="1">
        <f t="array" ref="N1911">SUMPRODUCT(("Var_Cap"=[1]OUT_TransportEnergyCons!$B$4:$B$10000)*1,("-"=[1]OUT_TransportEnergyCons!$C$4:$C$10000)*1,ISNUMBER(SEARCH("T_C*pev*GSL*s3",[1]OUT_TransportEnergyCons!$A$4:$A$10000))*1,[1]OUT_TransportEnergyCons!L$4:L$10000)</f>
        <v>5.0825744002341938E-2</v>
      </c>
      <c r="O1911" s="1" cm="1">
        <f t="array" ref="O1911">SUMPRODUCT(("Var_Cap"=[1]OUT_TransportEnergyCons!$B$4:$B$10000)*1,("-"=[1]OUT_TransportEnergyCons!$C$4:$C$10000)*1,ISNUMBER(SEARCH("T_C*pev*GSL*s3",[1]OUT_TransportEnergyCons!$A$4:$A$10000))*1,[1]OUT_TransportEnergyCons!M$4:M$10000)</f>
        <v>4.5412488889207542E-2</v>
      </c>
      <c r="P1911" s="1" cm="1">
        <f t="array" ref="P1911">SUMPRODUCT(("Var_Cap"=[1]OUT_TransportEnergyCons!$B$4:$B$10000)*1,("-"=[1]OUT_TransportEnergyCons!$C$4:$C$10000)*1,ISNUMBER(SEARCH("T_C*pev*GSL*s3",[1]OUT_TransportEnergyCons!$A$4:$A$10000))*1,[1]OUT_TransportEnergyCons!N$4:N$10000)</f>
        <v>3.3557032434394021E-2</v>
      </c>
      <c r="Q1911" s="1" cm="1">
        <f t="array" ref="Q1911">SUMPRODUCT(("Var_Cap"=[1]OUT_TransportEnergyCons!$B$4:$B$10000)*1,("-"=[1]OUT_TransportEnergyCons!$C$4:$C$10000)*1,ISNUMBER(SEARCH("T_C*pev*GSL*s3",[1]OUT_TransportEnergyCons!$A$4:$A$10000))*1,[1]OUT_TransportEnergyCons!O$4:O$10000)</f>
        <v>6.6091599237861993E-3</v>
      </c>
      <c r="S1911" s="3"/>
    </row>
    <row r="1912" spans="2:19" x14ac:dyDescent="0.5">
      <c r="B1912" s="5" t="str">
        <f t="shared" si="2152"/>
        <v>SPS1</v>
      </c>
      <c r="C1912" s="5" t="str">
        <f t="shared" si="2153"/>
        <v>CH</v>
      </c>
      <c r="D1912" t="s">
        <v>1929</v>
      </c>
      <c r="E1912" t="str">
        <f t="shared" si="215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7.2621061092137699E-3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1.2556019683243049E-2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1.2184791246581339E-2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9.8721231782204072E-3</v>
      </c>
      <c r="J1912" s="1" cm="1">
        <f t="array" ref="J1912">SUMPRODUCT(("Var_Cap"=[1]OUT_TransportEnergyCons!$B$4:$B$10000)*1,("-"=[1]OUT_TransportEnergyCons!$C$4:$C$10000)*1,ISNUMBER(SEARCH("T_C*pev*GSL*s4",[1]OUT_TransportEnergyCons!$A$4:$A$10000))*1,[1]OUT_TransportEnergyCons!H$4:H$10000)</f>
        <v>2.2590907375070494E-3</v>
      </c>
      <c r="K1912" s="1" cm="1">
        <f t="array" ref="K1912">SUMPRODUCT(("Var_Cap"=[1]OUT_TransportEnergyCons!$B$4:$B$10000)*1,("-"=[1]OUT_TransportEnergyCons!$C$4:$C$10000)*1,ISNUMBER(SEARCH("T_C*pev*GSL*s4",[1]OUT_TransportEnergyCons!$A$4:$A$10000))*1,[1]OUT_TransportEnergyCons!I$4:I$10000)</f>
        <v>6.320689202830897E-4</v>
      </c>
      <c r="L1912" s="1" cm="1">
        <f t="array" ref="L1912">SUMPRODUCT(("Var_Cap"=[1]OUT_TransportEnergyCons!$B$4:$B$10000)*1,("-"=[1]OUT_TransportEnergyCons!$C$4:$C$10000)*1,ISNUMBER(SEARCH("T_C*pev*GSL*s4",[1]OUT_TransportEnergyCons!$A$4:$A$10000))*1,[1]OUT_TransportEnergyCons!J$4:J$10000)</f>
        <v>1.1886478305237001E-3</v>
      </c>
      <c r="M1912" s="1" cm="1">
        <f t="array" ref="M1912">SUMPRODUCT(("Var_Cap"=[1]OUT_TransportEnergyCons!$B$4:$B$10000)*1,("-"=[1]OUT_TransportEnergyCons!$C$4:$C$10000)*1,ISNUMBER(SEARCH("T_C*pev*GSL*s4",[1]OUT_TransportEnergyCons!$A$4:$A$10000))*1,[1]OUT_TransportEnergyCons!K$4:K$10000)</f>
        <v>9.1418543462840876E-4</v>
      </c>
      <c r="N1912" s="1" cm="1">
        <f t="array" ref="N1912">SUMPRODUCT(("Var_Cap"=[1]OUT_TransportEnergyCons!$B$4:$B$10000)*1,("-"=[1]OUT_TransportEnergyCons!$C$4:$C$10000)*1,ISNUMBER(SEARCH("T_C*pev*GSL*s4",[1]OUT_TransportEnergyCons!$A$4:$A$10000))*1,[1]OUT_TransportEnergyCons!L$4:L$10000)</f>
        <v>2.8111023317392174E-2</v>
      </c>
      <c r="O1912" s="1" cm="1">
        <f t="array" ref="O1912">SUMPRODUCT(("Var_Cap"=[1]OUT_TransportEnergyCons!$B$4:$B$10000)*1,("-"=[1]OUT_TransportEnergyCons!$C$4:$C$10000)*1,ISNUMBER(SEARCH("T_C*pev*GSL*s4",[1]OUT_TransportEnergyCons!$A$4:$A$10000))*1,[1]OUT_TransportEnergyCons!M$4:M$10000)</f>
        <v>2.7750890078742593E-2</v>
      </c>
      <c r="P1912" s="1" cm="1">
        <f t="array" ref="P1912">SUMPRODUCT(("Var_Cap"=[1]OUT_TransportEnergyCons!$B$4:$B$10000)*1,("-"=[1]OUT_TransportEnergyCons!$C$4:$C$10000)*1,ISNUMBER(SEARCH("T_C*pev*GSL*s4",[1]OUT_TransportEnergyCons!$A$4:$A$10000))*1,[1]OUT_TransportEnergyCons!N$4:N$10000)</f>
        <v>1.9023560955164817E-2</v>
      </c>
      <c r="Q1912" s="1" cm="1">
        <f t="array" ref="Q1912">SUMPRODUCT(("Var_Cap"=[1]OUT_TransportEnergyCons!$B$4:$B$10000)*1,("-"=[1]OUT_TransportEnergyCons!$C$4:$C$10000)*1,ISNUMBER(SEARCH("T_C*pev*GSL*s4",[1]OUT_TransportEnergyCons!$A$4:$A$10000))*1,[1]OUT_TransportEnergyCons!O$4:O$10000)</f>
        <v>0.11438514565649517</v>
      </c>
      <c r="S1912" s="3"/>
    </row>
    <row r="1913" spans="2:19" x14ac:dyDescent="0.5">
      <c r="B1913" s="5" t="str">
        <f t="shared" si="2152"/>
        <v>SPS1</v>
      </c>
      <c r="C1913" s="5" t="str">
        <f t="shared" si="2153"/>
        <v>CH</v>
      </c>
      <c r="D1913" t="s">
        <v>1930</v>
      </c>
      <c r="E1913" t="str">
        <f t="shared" si="215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5.72055369072895E-5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1.075855811285907E-4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1.3905038641529401E-4</v>
      </c>
      <c r="J1913" s="1" cm="1">
        <f t="array" ref="J1913">SUMPRODUCT(("Var_Cap"=[1]OUT_TransportEnergyCons!$B$4:$B$10000)*1,("-"=[1]OUT_TransportEnergyCons!$C$4:$C$10000)*1,ISNUMBER(SEARCH("T_C*pev*dsl*s1",[1]OUT_TransportEnergyCons!$A$4:$A$10000))*1,[1]OUT_TransportEnergyCons!H$4:H$10000)</f>
        <v>1.8595728481624141E-4</v>
      </c>
      <c r="K1913" s="1" cm="1">
        <f t="array" ref="K1913">SUMPRODUCT(("Var_Cap"=[1]OUT_TransportEnergyCons!$B$4:$B$10000)*1,("-"=[1]OUT_TransportEnergyCons!$C$4:$C$10000)*1,ISNUMBER(SEARCH("T_C*pev*dsl*s1",[1]OUT_TransportEnergyCons!$A$4:$A$10000))*1,[1]OUT_TransportEnergyCons!I$4:I$10000)</f>
        <v>3.3008297901598752E-4</v>
      </c>
      <c r="L1913" s="1" cm="1">
        <f t="array" ref="L1913">SUMPRODUCT(("Var_Cap"=[1]OUT_TransportEnergyCons!$B$4:$B$10000)*1,("-"=[1]OUT_TransportEnergyCons!$C$4:$C$10000)*1,ISNUMBER(SEARCH("T_C*pev*dsl*s1",[1]OUT_TransportEnergyCons!$A$4:$A$10000))*1,[1]OUT_TransportEnergyCons!J$4:J$10000)</f>
        <v>3.7824693955240956E-4</v>
      </c>
      <c r="M1913" s="1" cm="1">
        <f t="array" ref="M1913">SUMPRODUCT(("Var_Cap"=[1]OUT_TransportEnergyCons!$B$4:$B$10000)*1,("-"=[1]OUT_TransportEnergyCons!$C$4:$C$10000)*1,ISNUMBER(SEARCH("T_C*pev*dsl*s1",[1]OUT_TransportEnergyCons!$A$4:$A$10000))*1,[1]OUT_TransportEnergyCons!K$4:K$10000)</f>
        <v>7.0222247406969568E-4</v>
      </c>
      <c r="N1913" s="1" cm="1">
        <f t="array" ref="N1913">SUMPRODUCT(("Var_Cap"=[1]OUT_TransportEnergyCons!$B$4:$B$10000)*1,("-"=[1]OUT_TransportEnergyCons!$C$4:$C$10000)*1,ISNUMBER(SEARCH("T_C*pev*dsl*s1",[1]OUT_TransportEnergyCons!$A$4:$A$10000))*1,[1]OUT_TransportEnergyCons!L$4:L$10000)</f>
        <v>5.3162809038917588E-4</v>
      </c>
      <c r="O1913" s="1" cm="1">
        <f t="array" ref="O1913">SUMPRODUCT(("Var_Cap"=[1]OUT_TransportEnergyCons!$B$4:$B$10000)*1,("-"=[1]OUT_TransportEnergyCons!$C$4:$C$10000)*1,ISNUMBER(SEARCH("T_C*pev*dsl*s1",[1]OUT_TransportEnergyCons!$A$4:$A$10000))*1,[1]OUT_TransportEnergyCons!M$4:M$10000)</f>
        <v>1.68282474820418E-4</v>
      </c>
      <c r="P1913" s="1" cm="1">
        <f t="array" ref="P1913">SUMPRODUCT(("Var_Cap"=[1]OUT_TransportEnergyCons!$B$4:$B$10000)*1,("-"=[1]OUT_TransportEnergyCons!$C$4:$C$10000)*1,ISNUMBER(SEARCH("T_C*pev*dsl*s1",[1]OUT_TransportEnergyCons!$A$4:$A$10000))*1,[1]OUT_TransportEnergyCons!N$4:N$10000)</f>
        <v>6.9144069825082105E-5</v>
      </c>
      <c r="Q1913" s="1" cm="1">
        <f t="array" ref="Q1913">SUMPRODUCT(("Var_Cap"=[1]OUT_TransportEnergyCons!$B$4:$B$10000)*1,("-"=[1]OUT_TransportEnergyCons!$C$4:$C$10000)*1,ISNUMBER(SEARCH("T_C*pev*dsl*s1",[1]OUT_TransportEnergyCons!$A$4:$A$10000))*1,[1]OUT_TransportEnergyCons!O$4:O$10000)</f>
        <v>4.3690329726717213E-5</v>
      </c>
      <c r="S1913" s="3"/>
    </row>
    <row r="1914" spans="2:19" x14ac:dyDescent="0.5">
      <c r="B1914" s="5" t="str">
        <f t="shared" si="2152"/>
        <v>SPS1</v>
      </c>
      <c r="C1914" s="5" t="str">
        <f t="shared" si="2153"/>
        <v>CH</v>
      </c>
      <c r="D1914" t="s">
        <v>1931</v>
      </c>
      <c r="E1914" t="str">
        <f t="shared" si="215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3.8216457962172065E-5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1.9420799213705999E-4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2.8556002403535928E-4</v>
      </c>
      <c r="J1914" s="1" cm="1">
        <f t="array" ref="J1914">SUMPRODUCT(("Var_Cap"=[1]OUT_TransportEnergyCons!$B$4:$B$10000)*1,("-"=[1]OUT_TransportEnergyCons!$C$4:$C$10000)*1,ISNUMBER(SEARCH("T_C*pev*dsl*s2",[1]OUT_TransportEnergyCons!$A$4:$A$10000))*1,[1]OUT_TransportEnergyCons!H$4:H$10000)</f>
        <v>7.7254592609590864E-4</v>
      </c>
      <c r="K1914" s="1" cm="1">
        <f t="array" ref="K1914">SUMPRODUCT(("Var_Cap"=[1]OUT_TransportEnergyCons!$B$4:$B$10000)*1,("-"=[1]OUT_TransportEnergyCons!$C$4:$C$10000)*1,ISNUMBER(SEARCH("T_C*pev*dsl*s2",[1]OUT_TransportEnergyCons!$A$4:$A$10000))*1,[1]OUT_TransportEnergyCons!I$4:I$10000)</f>
        <v>1.1580185585145951E-3</v>
      </c>
      <c r="L1914" s="1" cm="1">
        <f t="array" ref="L1914">SUMPRODUCT(("Var_Cap"=[1]OUT_TransportEnergyCons!$B$4:$B$10000)*1,("-"=[1]OUT_TransportEnergyCons!$C$4:$C$10000)*1,ISNUMBER(SEARCH("T_C*pev*dsl*s2",[1]OUT_TransportEnergyCons!$A$4:$A$10000))*1,[1]OUT_TransportEnergyCons!J$4:J$10000)</f>
        <v>1.1869004293394586E-3</v>
      </c>
      <c r="M1914" s="1" cm="1">
        <f t="array" ref="M1914">SUMPRODUCT(("Var_Cap"=[1]OUT_TransportEnergyCons!$B$4:$B$10000)*1,("-"=[1]OUT_TransportEnergyCons!$C$4:$C$10000)*1,ISNUMBER(SEARCH("T_C*pev*dsl*s2",[1]OUT_TransportEnergyCons!$A$4:$A$10000))*1,[1]OUT_TransportEnergyCons!K$4:K$10000)</f>
        <v>1.3002328528143399E-3</v>
      </c>
      <c r="N1914" s="1" cm="1">
        <f t="array" ref="N1914">SUMPRODUCT(("Var_Cap"=[1]OUT_TransportEnergyCons!$B$4:$B$10000)*1,("-"=[1]OUT_TransportEnergyCons!$C$4:$C$10000)*1,ISNUMBER(SEARCH("T_C*pev*dsl*s2",[1]OUT_TransportEnergyCons!$A$4:$A$10000))*1,[1]OUT_TransportEnergyCons!L$4:L$10000)</f>
        <v>8.4641717514773217E-4</v>
      </c>
      <c r="O1914" s="1" cm="1">
        <f t="array" ref="O1914">SUMPRODUCT(("Var_Cap"=[1]OUT_TransportEnergyCons!$B$4:$B$10000)*1,("-"=[1]OUT_TransportEnergyCons!$C$4:$C$10000)*1,ISNUMBER(SEARCH("T_C*pev*dsl*s2",[1]OUT_TransportEnergyCons!$A$4:$A$10000))*1,[1]OUT_TransportEnergyCons!M$4:M$10000)</f>
        <v>4.6139355286730179E-4</v>
      </c>
      <c r="P1914" s="1" cm="1">
        <f t="array" ref="P1914">SUMPRODUCT(("Var_Cap"=[1]OUT_TransportEnergyCons!$B$4:$B$10000)*1,("-"=[1]OUT_TransportEnergyCons!$C$4:$C$10000)*1,ISNUMBER(SEARCH("T_C*pev*dsl*s2",[1]OUT_TransportEnergyCons!$A$4:$A$10000))*1,[1]OUT_TransportEnergyCons!N$4:N$10000)</f>
        <v>1.0946378252058096E-4</v>
      </c>
      <c r="Q1914" s="1" cm="1">
        <f t="array" ref="Q1914">SUMPRODUCT(("Var_Cap"=[1]OUT_TransportEnergyCons!$B$4:$B$10000)*1,("-"=[1]OUT_TransportEnergyCons!$C$4:$C$10000)*1,ISNUMBER(SEARCH("T_C*pev*dsl*s2",[1]OUT_TransportEnergyCons!$A$4:$A$10000))*1,[1]OUT_TransportEnergyCons!O$4:O$10000)</f>
        <v>4.5059071878484118E-5</v>
      </c>
      <c r="S1914" s="3"/>
    </row>
    <row r="1915" spans="2:19" x14ac:dyDescent="0.5">
      <c r="B1915" s="5" t="str">
        <f t="shared" si="2152"/>
        <v>SPS1</v>
      </c>
      <c r="C1915" s="5" t="str">
        <f t="shared" si="2153"/>
        <v>CH</v>
      </c>
      <c r="D1915" t="s">
        <v>1932</v>
      </c>
      <c r="E1915" t="str">
        <f t="shared" si="215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3.2078459465472775E-2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0.10846536105099423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0.38931414421522414</v>
      </c>
      <c r="J1915" s="1" cm="1">
        <f t="array" ref="J1915">SUMPRODUCT(("Var_Cap"=[1]OUT_TransportEnergyCons!$B$4:$B$10000)*1,("-"=[1]OUT_TransportEnergyCons!$C$4:$C$10000)*1,ISNUMBER(SEARCH("T_C*pev*dsl*s3",[1]OUT_TransportEnergyCons!$A$4:$A$10000))*1,[1]OUT_TransportEnergyCons!H$4:H$10000)</f>
        <v>0.62250557680282714</v>
      </c>
      <c r="K1915" s="1" cm="1">
        <f t="array" ref="K1915">SUMPRODUCT(("Var_Cap"=[1]OUT_TransportEnergyCons!$B$4:$B$10000)*1,("-"=[1]OUT_TransportEnergyCons!$C$4:$C$10000)*1,ISNUMBER(SEARCH("T_C*pev*dsl*s3",[1]OUT_TransportEnergyCons!$A$4:$A$10000))*1,[1]OUT_TransportEnergyCons!I$4:I$10000)</f>
        <v>0.43845769477045554</v>
      </c>
      <c r="L1915" s="1" cm="1">
        <f t="array" ref="L1915">SUMPRODUCT(("Var_Cap"=[1]OUT_TransportEnergyCons!$B$4:$B$10000)*1,("-"=[1]OUT_TransportEnergyCons!$C$4:$C$10000)*1,ISNUMBER(SEARCH("T_C*pev*dsl*s3",[1]OUT_TransportEnergyCons!$A$4:$A$10000))*1,[1]OUT_TransportEnergyCons!J$4:J$10000)</f>
        <v>0.31466673724462779</v>
      </c>
      <c r="M1915" s="1" cm="1">
        <f t="array" ref="M1915">SUMPRODUCT(("Var_Cap"=[1]OUT_TransportEnergyCons!$B$4:$B$10000)*1,("-"=[1]OUT_TransportEnergyCons!$C$4:$C$10000)*1,ISNUMBER(SEARCH("T_C*pev*dsl*s3",[1]OUT_TransportEnergyCons!$A$4:$A$10000))*1,[1]OUT_TransportEnergyCons!K$4:K$10000)</f>
        <v>0.30514885586280083</v>
      </c>
      <c r="N1915" s="1" cm="1">
        <f t="array" ref="N1915">SUMPRODUCT(("Var_Cap"=[1]OUT_TransportEnergyCons!$B$4:$B$10000)*1,("-"=[1]OUT_TransportEnergyCons!$C$4:$C$10000)*1,ISNUMBER(SEARCH("T_C*pev*dsl*s3",[1]OUT_TransportEnergyCons!$A$4:$A$10000))*1,[1]OUT_TransportEnergyCons!L$4:L$10000)</f>
        <v>0.24524950948045787</v>
      </c>
      <c r="O1915" s="1" cm="1">
        <f t="array" ref="O1915">SUMPRODUCT(("Var_Cap"=[1]OUT_TransportEnergyCons!$B$4:$B$10000)*1,("-"=[1]OUT_TransportEnergyCons!$C$4:$C$10000)*1,ISNUMBER(SEARCH("T_C*pev*dsl*s3",[1]OUT_TransportEnergyCons!$A$4:$A$10000))*1,[1]OUT_TransportEnergyCons!M$4:M$10000)</f>
        <v>0.13113038068732191</v>
      </c>
      <c r="P1915" s="1" cm="1">
        <f t="array" ref="P1915">SUMPRODUCT(("Var_Cap"=[1]OUT_TransportEnergyCons!$B$4:$B$10000)*1,("-"=[1]OUT_TransportEnergyCons!$C$4:$C$10000)*1,ISNUMBER(SEARCH("T_C*pev*dsl*s3",[1]OUT_TransportEnergyCons!$A$4:$A$10000))*1,[1]OUT_TransportEnergyCons!N$4:N$10000)</f>
        <v>1.7758980388515359E-2</v>
      </c>
      <c r="Q1915" s="1" cm="1">
        <f t="array" ref="Q1915">SUMPRODUCT(("Var_Cap"=[1]OUT_TransportEnergyCons!$B$4:$B$10000)*1,("-"=[1]OUT_TransportEnergyCons!$C$4:$C$10000)*1,ISNUMBER(SEARCH("T_C*pev*dsl*s3",[1]OUT_TransportEnergyCons!$A$4:$A$10000))*1,[1]OUT_TransportEnergyCons!O$4:O$10000)</f>
        <v>4.5294118898385695E-5</v>
      </c>
      <c r="S1915" s="3"/>
    </row>
    <row r="1916" spans="2:19" x14ac:dyDescent="0.5">
      <c r="B1916" s="5" t="str">
        <f t="shared" si="2152"/>
        <v>SPS1</v>
      </c>
      <c r="C1916" s="5" t="str">
        <f t="shared" si="2153"/>
        <v>CH</v>
      </c>
      <c r="D1916" t="s">
        <v>1933</v>
      </c>
      <c r="E1916" t="str">
        <f t="shared" si="215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2.5877452320823376E-4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8.4423085302368095E-4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1.0050067690870312E-3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1.036898291883481E-3</v>
      </c>
      <c r="J1916" s="1" cm="1">
        <f t="array" ref="J1916">SUMPRODUCT(("Var_Cap"=[1]OUT_TransportEnergyCons!$B$4:$B$10000)*1,("-"=[1]OUT_TransportEnergyCons!$C$4:$C$10000)*1,ISNUMBER(SEARCH("T_C*pev*dsl*s4",[1]OUT_TransportEnergyCons!$A$4:$A$10000))*1,[1]OUT_TransportEnergyCons!H$4:H$10000)</f>
        <v>0.14082226009434515</v>
      </c>
      <c r="K1916" s="1" cm="1">
        <f t="array" ref="K1916">SUMPRODUCT(("Var_Cap"=[1]OUT_TransportEnergyCons!$B$4:$B$10000)*1,("-"=[1]OUT_TransportEnergyCons!$C$4:$C$10000)*1,ISNUMBER(SEARCH("T_C*pev*dsl*s4",[1]OUT_TransportEnergyCons!$A$4:$A$10000))*1,[1]OUT_TransportEnergyCons!I$4:I$10000)</f>
        <v>0.3604042256742529</v>
      </c>
      <c r="L1916" s="1" cm="1">
        <f t="array" ref="L1916">SUMPRODUCT(("Var_Cap"=[1]OUT_TransportEnergyCons!$B$4:$B$10000)*1,("-"=[1]OUT_TransportEnergyCons!$C$4:$C$10000)*1,ISNUMBER(SEARCH("T_C*pev*dsl*s4",[1]OUT_TransportEnergyCons!$A$4:$A$10000))*1,[1]OUT_TransportEnergyCons!J$4:J$10000)</f>
        <v>0.4431918221623492</v>
      </c>
      <c r="M1916" s="1" cm="1">
        <f t="array" ref="M1916">SUMPRODUCT(("Var_Cap"=[1]OUT_TransportEnergyCons!$B$4:$B$10000)*1,("-"=[1]OUT_TransportEnergyCons!$C$4:$C$10000)*1,ISNUMBER(SEARCH("T_C*pev*dsl*s4",[1]OUT_TransportEnergyCons!$A$4:$A$10000))*1,[1]OUT_TransportEnergyCons!K$4:K$10000)</f>
        <v>0.41317585593741446</v>
      </c>
      <c r="N1916" s="1" cm="1">
        <f t="array" ref="N1916">SUMPRODUCT(("Var_Cap"=[1]OUT_TransportEnergyCons!$B$4:$B$10000)*1,("-"=[1]OUT_TransportEnergyCons!$C$4:$C$10000)*1,ISNUMBER(SEARCH("T_C*pev*dsl*s4",[1]OUT_TransportEnergyCons!$A$4:$A$10000))*1,[1]OUT_TransportEnergyCons!L$4:L$10000)</f>
        <v>0.43759363646688704</v>
      </c>
      <c r="O1916" s="1" cm="1">
        <f t="array" ref="O1916">SUMPRODUCT(("Var_Cap"=[1]OUT_TransportEnergyCons!$B$4:$B$10000)*1,("-"=[1]OUT_TransportEnergyCons!$C$4:$C$10000)*1,ISNUMBER(SEARCH("T_C*pev*dsl*s4",[1]OUT_TransportEnergyCons!$A$4:$A$10000))*1,[1]OUT_TransportEnergyCons!M$4:M$10000)</f>
        <v>0.56127244782290231</v>
      </c>
      <c r="P1916" s="1" cm="1">
        <f t="array" ref="P1916">SUMPRODUCT(("Var_Cap"=[1]OUT_TransportEnergyCons!$B$4:$B$10000)*1,("-"=[1]OUT_TransportEnergyCons!$C$4:$C$10000)*1,ISNUMBER(SEARCH("T_C*pev*dsl*s4",[1]OUT_TransportEnergyCons!$A$4:$A$10000))*1,[1]OUT_TransportEnergyCons!N$4:N$10000)</f>
        <v>0.71903541381574698</v>
      </c>
      <c r="Q1916" s="1" cm="1">
        <f t="array" ref="Q1916">SUMPRODUCT(("Var_Cap"=[1]OUT_TransportEnergyCons!$B$4:$B$10000)*1,("-"=[1]OUT_TransportEnergyCons!$C$4:$C$10000)*1,ISNUMBER(SEARCH("T_C*pev*dsl*s4",[1]OUT_TransportEnergyCons!$A$4:$A$10000))*1,[1]OUT_TransportEnergyCons!O$4:O$10000)</f>
        <v>0.70247826731781127</v>
      </c>
      <c r="S1916" s="3"/>
    </row>
    <row r="1917" spans="2:19" x14ac:dyDescent="0.5">
      <c r="B1917" s="5" t="str">
        <f t="shared" si="2152"/>
        <v>SPS1</v>
      </c>
      <c r="C1917" s="5" t="str">
        <f t="shared" si="2153"/>
        <v>CH</v>
      </c>
      <c r="D1917" t="s">
        <v>1934</v>
      </c>
      <c r="E1917" t="str">
        <f t="shared" si="215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2.4105786162332502E-6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3.9089615407463402E-6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1.2861950334607001E-6</v>
      </c>
      <c r="J1917" s="1" cm="1">
        <f t="array" ref="J1917">SUMPRODUCT(("Var_Cap"=[1]OUT_TransportEnergyCons!$B$4:$B$10000)*1,("-"=[1]OUT_TransportEnergyCons!$C$4:$C$10000)*1,ISNUMBER(SEARCH("T_C*h2o*s1",[1]OUT_TransportEnergyCons!$A$4:$A$10000))*1,[1]OUT_TransportEnergyCons!H$4:H$10000)</f>
        <v>2.0873464244339102E-6</v>
      </c>
      <c r="K1917" s="1" cm="1">
        <f t="array" ref="K1917">SUMPRODUCT(("Var_Cap"=[1]OUT_TransportEnergyCons!$B$4:$B$10000)*1,("-"=[1]OUT_TransportEnergyCons!$C$4:$C$10000)*1,ISNUMBER(SEARCH("T_C*h2o*s1",[1]OUT_TransportEnergyCons!$A$4:$A$10000))*1,[1]OUT_TransportEnergyCons!I$4:I$10000)</f>
        <v>2.6067812933954699E-6</v>
      </c>
      <c r="L1917" s="1" cm="1">
        <f t="array" ref="L1917">SUMPRODUCT(("Var_Cap"=[1]OUT_TransportEnergyCons!$B$4:$B$10000)*1,("-"=[1]OUT_TransportEnergyCons!$C$4:$C$10000)*1,ISNUMBER(SEARCH("T_C*h2o*s1",[1]OUT_TransportEnergyCons!$A$4:$A$10000))*1,[1]OUT_TransportEnergyCons!J$4:J$10000)</f>
        <v>2.0739891504629219E-6</v>
      </c>
      <c r="M1917" s="1" cm="1">
        <f t="array" ref="M1917">SUMPRODUCT(("Var_Cap"=[1]OUT_TransportEnergyCons!$B$4:$B$10000)*1,("-"=[1]OUT_TransportEnergyCons!$C$4:$C$10000)*1,ISNUMBER(SEARCH("T_C*h2o*s1",[1]OUT_TransportEnergyCons!$A$4:$A$10000))*1,[1]OUT_TransportEnergyCons!K$4:K$10000)</f>
        <v>1.8748218538679E-6</v>
      </c>
      <c r="N1917" s="1" cm="1">
        <f t="array" ref="N1917">SUMPRODUCT(("Var_Cap"=[1]OUT_TransportEnergyCons!$B$4:$B$10000)*1,("-"=[1]OUT_TransportEnergyCons!$C$4:$C$10000)*1,ISNUMBER(SEARCH("T_C*h2o*s1",[1]OUT_TransportEnergyCons!$A$4:$A$10000))*1,[1]OUT_TransportEnergyCons!L$4:L$10000)</f>
        <v>1.7657689812720195E-6</v>
      </c>
      <c r="O1917" s="1" cm="1">
        <f t="array" ref="O1917">SUMPRODUCT(("Var_Cap"=[1]OUT_TransportEnergyCons!$B$4:$B$10000)*1,("-"=[1]OUT_TransportEnergyCons!$C$4:$C$10000)*1,ISNUMBER(SEARCH("T_C*h2o*s1",[1]OUT_TransportEnergyCons!$A$4:$A$10000))*1,[1]OUT_TransportEnergyCons!M$4:M$10000)</f>
        <v>1.4062236126928E-6</v>
      </c>
      <c r="P1917" s="1" cm="1">
        <f t="array" ref="P1917">SUMPRODUCT(("Var_Cap"=[1]OUT_TransportEnergyCons!$B$4:$B$10000)*1,("-"=[1]OUT_TransportEnergyCons!$C$4:$C$10000)*1,ISNUMBER(SEARCH("T_C*h2o*s1",[1]OUT_TransportEnergyCons!$A$4:$A$10000))*1,[1]OUT_TransportEnergyCons!N$4:N$10000)</f>
        <v>1.042713740978847E-6</v>
      </c>
      <c r="Q1917" s="1" cm="1">
        <f t="array" ref="Q1917">SUMPRODUCT(("Var_Cap"=[1]OUT_TransportEnergyCons!$B$4:$B$10000)*1,("-"=[1]OUT_TransportEnergyCons!$C$4:$C$10000)*1,ISNUMBER(SEARCH("T_C*h2o*s1",[1]OUT_TransportEnergyCons!$A$4:$A$10000))*1,[1]OUT_TransportEnergyCons!O$4:O$10000)</f>
        <v>5.74445778836621E-6</v>
      </c>
      <c r="S1917" s="3"/>
    </row>
    <row r="1918" spans="2:19" x14ac:dyDescent="0.5">
      <c r="B1918" s="5" t="str">
        <f t="shared" si="2152"/>
        <v>SPS1</v>
      </c>
      <c r="C1918" s="5" t="str">
        <f t="shared" si="2153"/>
        <v>CH</v>
      </c>
      <c r="D1918" t="s">
        <v>1935</v>
      </c>
      <c r="E1918" t="str">
        <f t="shared" si="215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6.2754707246480763E-6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7.5783044734951199E-6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8.4819885257196807E-6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2.0332464212062602E-6</v>
      </c>
      <c r="J1918" s="1" cm="1">
        <f t="array" ref="J1918">SUMPRODUCT(("Var_Cap"=[1]OUT_TransportEnergyCons!$B$4:$B$10000)*1,("-"=[1]OUT_TransportEnergyCons!$C$4:$C$10000)*1,ISNUMBER(SEARCH("T_C*h2o*s2",[1]OUT_TransportEnergyCons!$A$4:$A$10000))*1,[1]OUT_TransportEnergyCons!H$4:H$10000)</f>
        <v>1.931977943827129E-6</v>
      </c>
      <c r="K1918" s="1" cm="1">
        <f t="array" ref="K1918">SUMPRODUCT(("Var_Cap"=[1]OUT_TransportEnergyCons!$B$4:$B$10000)*1,("-"=[1]OUT_TransportEnergyCons!$C$4:$C$10000)*1,ISNUMBER(SEARCH("T_C*h2o*s2",[1]OUT_TransportEnergyCons!$A$4:$A$10000))*1,[1]OUT_TransportEnergyCons!I$4:I$10000)</f>
        <v>1.85032784790313E-6</v>
      </c>
      <c r="L1918" s="1" cm="1">
        <f t="array" ref="L1918">SUMPRODUCT(("Var_Cap"=[1]OUT_TransportEnergyCons!$B$4:$B$10000)*1,("-"=[1]OUT_TransportEnergyCons!$C$4:$C$10000)*1,ISNUMBER(SEARCH("T_C*h2o*s2",[1]OUT_TransportEnergyCons!$A$4:$A$10000))*1,[1]OUT_TransportEnergyCons!J$4:J$10000)</f>
        <v>1.8445660978575485E-6</v>
      </c>
      <c r="M1918" s="1" cm="1">
        <f t="array" ref="M1918">SUMPRODUCT(("Var_Cap"=[1]OUT_TransportEnergyCons!$B$4:$B$10000)*1,("-"=[1]OUT_TransportEnergyCons!$C$4:$C$10000)*1,ISNUMBER(SEARCH("T_C*h2o*s2",[1]OUT_TransportEnergyCons!$A$4:$A$10000))*1,[1]OUT_TransportEnergyCons!K$4:K$10000)</f>
        <v>1.7862463120599183E-6</v>
      </c>
      <c r="N1918" s="1" cm="1">
        <f t="array" ref="N1918">SUMPRODUCT(("Var_Cap"=[1]OUT_TransportEnergyCons!$B$4:$B$10000)*1,("-"=[1]OUT_TransportEnergyCons!$C$4:$C$10000)*1,ISNUMBER(SEARCH("T_C*h2o*s2",[1]OUT_TransportEnergyCons!$A$4:$A$10000))*1,[1]OUT_TransportEnergyCons!L$4:L$10000)</f>
        <v>1.6911353447989688E-6</v>
      </c>
      <c r="O1918" s="1" cm="1">
        <f t="array" ref="O1918">SUMPRODUCT(("Var_Cap"=[1]OUT_TransportEnergyCons!$B$4:$B$10000)*1,("-"=[1]OUT_TransportEnergyCons!$C$4:$C$10000)*1,ISNUMBER(SEARCH("T_C*h2o*s2",[1]OUT_TransportEnergyCons!$A$4:$A$10000))*1,[1]OUT_TransportEnergyCons!M$4:M$10000)</f>
        <v>1.6741907111760061E-6</v>
      </c>
      <c r="P1918" s="1" cm="1">
        <f t="array" ref="P1918">SUMPRODUCT(("Var_Cap"=[1]OUT_TransportEnergyCons!$B$4:$B$10000)*1,("-"=[1]OUT_TransportEnergyCons!$C$4:$C$10000)*1,ISNUMBER(SEARCH("T_C*h2o*s2",[1]OUT_TransportEnergyCons!$A$4:$A$10000))*1,[1]OUT_TransportEnergyCons!N$4:N$10000)</f>
        <v>1.6479049916386151E-6</v>
      </c>
      <c r="Q1918" s="1" cm="1">
        <f t="array" ref="Q1918">SUMPRODUCT(("Var_Cap"=[1]OUT_TransportEnergyCons!$B$4:$B$10000)*1,("-"=[1]OUT_TransportEnergyCons!$C$4:$C$10000)*1,ISNUMBER(SEARCH("T_C*h2o*s2",[1]OUT_TransportEnergyCons!$A$4:$A$10000))*1,[1]OUT_TransportEnergyCons!O$4:O$10000)</f>
        <v>6.1471374615264499E-6</v>
      </c>
      <c r="S1918" s="3"/>
    </row>
    <row r="1919" spans="2:19" x14ac:dyDescent="0.5">
      <c r="B1919" s="5" t="str">
        <f t="shared" si="2152"/>
        <v>SPS1</v>
      </c>
      <c r="C1919" s="5" t="str">
        <f t="shared" si="2153"/>
        <v>CH</v>
      </c>
      <c r="D1919" t="s">
        <v>1936</v>
      </c>
      <c r="E1919" t="str">
        <f t="shared" si="215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5.3464088216257387E-5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1.0915161215807503E-4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1.0464129310698424E-4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3.0975720634544965E-6</v>
      </c>
      <c r="J1919" s="1" cm="1">
        <f t="array" ref="J1919">SUMPRODUCT(("Var_Cap"=[1]OUT_TransportEnergyCons!$B$4:$B$10000)*1,("-"=[1]OUT_TransportEnergyCons!$C$4:$C$10000)*1,ISNUMBER(SEARCH("T_C*h2o*s3",[1]OUT_TransportEnergyCons!$A$4:$A$10000))*1,[1]OUT_TransportEnergyCons!H$4:H$10000)</f>
        <v>2.103748996121147E-6</v>
      </c>
      <c r="K1919" s="1" cm="1">
        <f t="array" ref="K1919">SUMPRODUCT(("Var_Cap"=[1]OUT_TransportEnergyCons!$B$4:$B$10000)*1,("-"=[1]OUT_TransportEnergyCons!$C$4:$C$10000)*1,ISNUMBER(SEARCH("T_C*h2o*s3",[1]OUT_TransportEnergyCons!$A$4:$A$10000))*1,[1]OUT_TransportEnergyCons!I$4:I$10000)</f>
        <v>1.5993567617657401E-6</v>
      </c>
      <c r="L1919" s="1" cm="1">
        <f t="array" ref="L1919">SUMPRODUCT(("Var_Cap"=[1]OUT_TransportEnergyCons!$B$4:$B$10000)*1,("-"=[1]OUT_TransportEnergyCons!$C$4:$C$10000)*1,ISNUMBER(SEARCH("T_C*h2o*s3",[1]OUT_TransportEnergyCons!$A$4:$A$10000))*1,[1]OUT_TransportEnergyCons!J$4:J$10000)</f>
        <v>1.6882803716490748E-6</v>
      </c>
      <c r="M1919" s="1" cm="1">
        <f t="array" ref="M1919">SUMPRODUCT(("Var_Cap"=[1]OUT_TransportEnergyCons!$B$4:$B$10000)*1,("-"=[1]OUT_TransportEnergyCons!$C$4:$C$10000)*1,ISNUMBER(SEARCH("T_C*h2o*s3",[1]OUT_TransportEnergyCons!$A$4:$A$10000))*1,[1]OUT_TransportEnergyCons!K$4:K$10000)</f>
        <v>1.6832042049457809E-6</v>
      </c>
      <c r="N1919" s="1" cm="1">
        <f t="array" ref="N1919">SUMPRODUCT(("Var_Cap"=[1]OUT_TransportEnergyCons!$B$4:$B$10000)*1,("-"=[1]OUT_TransportEnergyCons!$C$4:$C$10000)*1,ISNUMBER(SEARCH("T_C*h2o*s3",[1]OUT_TransportEnergyCons!$A$4:$A$10000))*1,[1]OUT_TransportEnergyCons!L$4:L$10000)</f>
        <v>1.657197948324E-6</v>
      </c>
      <c r="O1919" s="1" cm="1">
        <f t="array" ref="O1919">SUMPRODUCT(("Var_Cap"=[1]OUT_TransportEnergyCons!$B$4:$B$10000)*1,("-"=[1]OUT_TransportEnergyCons!$C$4:$C$10000)*1,ISNUMBER(SEARCH("T_C*h2o*s3",[1]OUT_TransportEnergyCons!$A$4:$A$10000))*1,[1]OUT_TransportEnergyCons!M$4:M$10000)</f>
        <v>1.7473148654759245E-6</v>
      </c>
      <c r="P1919" s="1" cm="1">
        <f t="array" ref="P1919">SUMPRODUCT(("Var_Cap"=[1]OUT_TransportEnergyCons!$B$4:$B$10000)*1,("-"=[1]OUT_TransportEnergyCons!$C$4:$C$10000)*1,ISNUMBER(SEARCH("T_C*h2o*s3",[1]OUT_TransportEnergyCons!$A$4:$A$10000))*1,[1]OUT_TransportEnergyCons!N$4:N$10000)</f>
        <v>1.9195387981922671E-6</v>
      </c>
      <c r="Q1919" s="1" cm="1">
        <f t="array" ref="Q1919">SUMPRODUCT(("Var_Cap"=[1]OUT_TransportEnergyCons!$B$4:$B$10000)*1,("-"=[1]OUT_TransportEnergyCons!$C$4:$C$10000)*1,ISNUMBER(SEARCH("T_C*h2o*s3",[1]OUT_TransportEnergyCons!$A$4:$A$10000))*1,[1]OUT_TransportEnergyCons!O$4:O$10000)</f>
        <v>6.55681771131945E-6</v>
      </c>
      <c r="S1919" s="3"/>
    </row>
    <row r="1920" spans="2:19" x14ac:dyDescent="0.5">
      <c r="B1920" s="5" t="str">
        <f t="shared" si="2152"/>
        <v>SPS1</v>
      </c>
      <c r="C1920" s="5" t="str">
        <f t="shared" si="2153"/>
        <v>CH</v>
      </c>
      <c r="D1920" t="s">
        <v>1937</v>
      </c>
      <c r="E1920" t="str">
        <f t="shared" si="215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1.3596675154908999E-6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2.20815049924013E-6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1.694464566511462E-6</v>
      </c>
      <c r="J1920" s="1" cm="1">
        <f t="array" ref="J1920">SUMPRODUCT(("Var_Cap"=[1]OUT_TransportEnergyCons!$B$4:$B$10000)*1,("-"=[1]OUT_TransportEnergyCons!$C$4:$C$10000)*1,ISNUMBER(SEARCH("T_C*h2o*s4",[1]OUT_TransportEnergyCons!$A$4:$A$10000))*1,[1]OUT_TransportEnergyCons!H$4:H$10000)</f>
        <v>1.9933114217815919E-6</v>
      </c>
      <c r="K1920" s="1" cm="1">
        <f t="array" ref="K1920">SUMPRODUCT(("Var_Cap"=[1]OUT_TransportEnergyCons!$B$4:$B$10000)*1,("-"=[1]OUT_TransportEnergyCons!$C$4:$C$10000)*1,ISNUMBER(SEARCH("T_C*h2o*s4",[1]OUT_TransportEnergyCons!$A$4:$A$10000))*1,[1]OUT_TransportEnergyCons!I$4:I$10000)</f>
        <v>1.95866176368613E-6</v>
      </c>
      <c r="L1920" s="1" cm="1">
        <f t="array" ref="L1920">SUMPRODUCT(("Var_Cap"=[1]OUT_TransportEnergyCons!$B$4:$B$10000)*1,("-"=[1]OUT_TransportEnergyCons!$C$4:$C$10000)*1,ISNUMBER(SEARCH("T_C*h2o*s4",[1]OUT_TransportEnergyCons!$A$4:$A$10000))*1,[1]OUT_TransportEnergyCons!J$4:J$10000)</f>
        <v>2.0215490658405485E-6</v>
      </c>
      <c r="M1920" s="1" cm="1">
        <f t="array" ref="M1920">SUMPRODUCT(("Var_Cap"=[1]OUT_TransportEnergyCons!$B$4:$B$10000)*1,("-"=[1]OUT_TransportEnergyCons!$C$4:$C$10000)*1,ISNUMBER(SEARCH("T_C*h2o*s4",[1]OUT_TransportEnergyCons!$A$4:$A$10000))*1,[1]OUT_TransportEnergyCons!K$4:K$10000)</f>
        <v>1.944828723786438E-6</v>
      </c>
      <c r="N1920" s="1" cm="1">
        <f t="array" ref="N1920">SUMPRODUCT(("Var_Cap"=[1]OUT_TransportEnergyCons!$B$4:$B$10000)*1,("-"=[1]OUT_TransportEnergyCons!$C$4:$C$10000)*1,ISNUMBER(SEARCH("T_C*h2o*s4",[1]OUT_TransportEnergyCons!$A$4:$A$10000))*1,[1]OUT_TransportEnergyCons!L$4:L$10000)</f>
        <v>1.80122335868577E-6</v>
      </c>
      <c r="O1920" s="1" cm="1">
        <f t="array" ref="O1920">SUMPRODUCT(("Var_Cap"=[1]OUT_TransportEnergyCons!$B$4:$B$10000)*1,("-"=[1]OUT_TransportEnergyCons!$C$4:$C$10000)*1,ISNUMBER(SEARCH("T_C*h2o*s4",[1]OUT_TransportEnergyCons!$A$4:$A$10000))*1,[1]OUT_TransportEnergyCons!M$4:M$10000)</f>
        <v>1.7166515212221971E-6</v>
      </c>
      <c r="P1920" s="1" cm="1">
        <f t="array" ref="P1920">SUMPRODUCT(("Var_Cap"=[1]OUT_TransportEnergyCons!$B$4:$B$10000)*1,("-"=[1]OUT_TransportEnergyCons!$C$4:$C$10000)*1,ISNUMBER(SEARCH("T_C*h2o*s4",[1]OUT_TransportEnergyCons!$A$4:$A$10000))*1,[1]OUT_TransportEnergyCons!N$4:N$10000)</f>
        <v>1.569928093330022E-6</v>
      </c>
      <c r="Q1920" s="1" cm="1">
        <f t="array" ref="Q1920">SUMPRODUCT(("Var_Cap"=[1]OUT_TransportEnergyCons!$B$4:$B$10000)*1,("-"=[1]OUT_TransportEnergyCons!$C$4:$C$10000)*1,ISNUMBER(SEARCH("T_C*h2o*s4",[1]OUT_TransportEnergyCons!$A$4:$A$10000))*1,[1]OUT_TransportEnergyCons!O$4:O$10000)</f>
        <v>6.6781980376523198E-6</v>
      </c>
      <c r="S1920" s="3"/>
    </row>
    <row r="1921" spans="2:19" x14ac:dyDescent="0.5">
      <c r="B1921" s="5" t="str">
        <f t="shared" si="2152"/>
        <v>SPS1</v>
      </c>
      <c r="C1921" s="5" t="str">
        <f t="shared" si="2153"/>
        <v>CH</v>
      </c>
      <c r="D1921" t="s">
        <v>1938</v>
      </c>
      <c r="E1921" t="str">
        <f t="shared" si="215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6.5792228077161369E-2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5.7063052440882341E-2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4.3894632684785891E-2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2.1947320096543706E-2</v>
      </c>
      <c r="J1921" s="1" cm="1">
        <f t="array" ref="J1921">SUMPRODUCT(("Var_Cap"=[1]OUT_TransportEnergyCons!$B$4:$B$10000)*1,("-"=[1]OUT_TransportEnergyCons!$C$4:$C$10000)*1,ISNUMBER(SEARCH("T_C*hy*GSL*ext",[1]OUT_TransportEnergyCons!$A$4:$A$10000))*1,[1]OUT_TransportEnergyCons!H$4:H$10000)</f>
        <v>0</v>
      </c>
      <c r="K1921" s="1" cm="1">
        <f t="array" ref="K1921">SUMPRODUCT(("Var_Cap"=[1]OUT_TransportEnergyCons!$B$4:$B$10000)*1,("-"=[1]OUT_TransportEnergyCons!$C$4:$C$10000)*1,ISNUMBER(SEARCH("T_C*hy*GSL*ext",[1]OUT_TransportEnergyCons!$A$4:$A$10000))*1,[1]OUT_TransportEnergyCons!I$4:I$10000)</f>
        <v>0</v>
      </c>
      <c r="L1921" s="1" cm="1">
        <f t="array" ref="L1921">SUMPRODUCT(("Var_Cap"=[1]OUT_TransportEnergyCons!$B$4:$B$10000)*1,("-"=[1]OUT_TransportEnergyCons!$C$4:$C$10000)*1,ISNUMBER(SEARCH("T_C*hy*GSL*ext",[1]OUT_TransportEnergyCons!$A$4:$A$10000))*1,[1]OUT_TransportEnergyCons!J$4:J$10000)</f>
        <v>0</v>
      </c>
      <c r="M1921" s="1" cm="1">
        <f t="array" ref="M1921">SUMPRODUCT(("Var_Cap"=[1]OUT_TransportEnergyCons!$B$4:$B$10000)*1,("-"=[1]OUT_TransportEnergyCons!$C$4:$C$10000)*1,ISNUMBER(SEARCH("T_C*hy*GSL*ext",[1]OUT_TransportEnergyCons!$A$4:$A$10000))*1,[1]OUT_TransportEnergyCons!K$4:K$10000)</f>
        <v>0</v>
      </c>
      <c r="N1921" s="1" cm="1">
        <f t="array" ref="N1921">SUMPRODUCT(("Var_Cap"=[1]OUT_TransportEnergyCons!$B$4:$B$10000)*1,("-"=[1]OUT_TransportEnergyCons!$C$4:$C$10000)*1,ISNUMBER(SEARCH("T_C*hy*GSL*ext",[1]OUT_TransportEnergyCons!$A$4:$A$10000))*1,[1]OUT_TransportEnergyCons!L$4:L$10000)</f>
        <v>0</v>
      </c>
      <c r="O1921" s="1" cm="1">
        <f t="array" ref="O1921">SUMPRODUCT(("Var_Cap"=[1]OUT_TransportEnergyCons!$B$4:$B$10000)*1,("-"=[1]OUT_TransportEnergyCons!$C$4:$C$10000)*1,ISNUMBER(SEARCH("T_C*hy*GSL*ext",[1]OUT_TransportEnergyCons!$A$4:$A$10000))*1,[1]OUT_TransportEnergyCons!M$4:M$10000)</f>
        <v>0</v>
      </c>
      <c r="P1921" s="1" cm="1">
        <f t="array" ref="P1921">SUMPRODUCT(("Var_Cap"=[1]OUT_TransportEnergyCons!$B$4:$B$10000)*1,("-"=[1]OUT_TransportEnergyCons!$C$4:$C$10000)*1,ISNUMBER(SEARCH("T_C*hy*GSL*ext",[1]OUT_TransportEnergyCons!$A$4:$A$10000))*1,[1]OUT_TransportEnergyCons!N$4:N$10000)</f>
        <v>0</v>
      </c>
      <c r="Q1921" s="1" cm="1">
        <f t="array" ref="Q1921">SUMPRODUCT(("Var_Cap"=[1]OUT_TransportEnergyCons!$B$4:$B$10000)*1,("-"=[1]OUT_TransportEnergyCons!$C$4:$C$10000)*1,ISNUMBER(SEARCH("T_C*hy*GSL*ext",[1]OUT_TransportEnergyCons!$A$4:$A$10000))*1,[1]OUT_TransportEnergyCons!O$4:O$10000)</f>
        <v>0</v>
      </c>
      <c r="S1921" s="3"/>
    </row>
    <row r="1922" spans="2:19" x14ac:dyDescent="0.5">
      <c r="B1922" s="5" t="str">
        <f t="shared" si="2152"/>
        <v>SPS1</v>
      </c>
      <c r="C1922" s="5" t="str">
        <f t="shared" si="2153"/>
        <v>CH</v>
      </c>
      <c r="D1922" t="s">
        <v>1939</v>
      </c>
      <c r="E1922" t="str">
        <f t="shared" si="215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5.668260671328436E-3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6.6811112264837857E-3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2.4550059660800493E-2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2.2148225789026615E-2</v>
      </c>
      <c r="J1922" s="1" cm="1">
        <f t="array" ref="J1922">SUMPRODUCT(("Var_Cap"=[1]OUT_TransportEnergyCons!$B$4:$B$10000)*1,("-"=[1]OUT_TransportEnergyCons!$C$4:$C$10000)*1,ISNUMBER(SEARCH("T_C*hy*GSL*s1",[1]OUT_TransportEnergyCons!$A$4:$A$10000))*1,[1]OUT_TransportEnergyCons!H$4:H$10000)</f>
        <v>4.9309558079557211E-2</v>
      </c>
      <c r="K1922" s="1" cm="1">
        <f t="array" ref="K1922">SUMPRODUCT(("Var_Cap"=[1]OUT_TransportEnergyCons!$B$4:$B$10000)*1,("-"=[1]OUT_TransportEnergyCons!$C$4:$C$10000)*1,ISNUMBER(SEARCH("T_C*hy*GSL*s1",[1]OUT_TransportEnergyCons!$A$4:$A$10000))*1,[1]OUT_TransportEnergyCons!I$4:I$10000)</f>
        <v>7.7196810143925917E-2</v>
      </c>
      <c r="L1922" s="1" cm="1">
        <f t="array" ref="L1922">SUMPRODUCT(("Var_Cap"=[1]OUT_TransportEnergyCons!$B$4:$B$10000)*1,("-"=[1]OUT_TransportEnergyCons!$C$4:$C$10000)*1,ISNUMBER(SEARCH("T_C*hy*GSL*s1",[1]OUT_TransportEnergyCons!$A$4:$A$10000))*1,[1]OUT_TransportEnergyCons!J$4:J$10000)</f>
        <v>5.8733271054184112E-2</v>
      </c>
      <c r="M1922" s="1" cm="1">
        <f t="array" ref="M1922">SUMPRODUCT(("Var_Cap"=[1]OUT_TransportEnergyCons!$B$4:$B$10000)*1,("-"=[1]OUT_TransportEnergyCons!$C$4:$C$10000)*1,ISNUMBER(SEARCH("T_C*hy*GSL*s1",[1]OUT_TransportEnergyCons!$A$4:$A$10000))*1,[1]OUT_TransportEnergyCons!K$4:K$10000)</f>
        <v>2.5839110719293883E-2</v>
      </c>
      <c r="N1922" s="1" cm="1">
        <f t="array" ref="N1922">SUMPRODUCT(("Var_Cap"=[1]OUT_TransportEnergyCons!$B$4:$B$10000)*1,("-"=[1]OUT_TransportEnergyCons!$C$4:$C$10000)*1,ISNUMBER(SEARCH("T_C*hy*GSL*s1",[1]OUT_TransportEnergyCons!$A$4:$A$10000))*1,[1]OUT_TransportEnergyCons!L$4:L$10000)</f>
        <v>3.9387397096115415E-3</v>
      </c>
      <c r="O1922" s="1" cm="1">
        <f t="array" ref="O1922">SUMPRODUCT(("Var_Cap"=[1]OUT_TransportEnergyCons!$B$4:$B$10000)*1,("-"=[1]OUT_TransportEnergyCons!$C$4:$C$10000)*1,ISNUMBER(SEARCH("T_C*hy*GSL*s1",[1]OUT_TransportEnergyCons!$A$4:$A$10000))*1,[1]OUT_TransportEnergyCons!M$4:M$10000)</f>
        <v>2.2687663513946008E-2</v>
      </c>
      <c r="P1922" s="1" cm="1">
        <f t="array" ref="P1922">SUMPRODUCT(("Var_Cap"=[1]OUT_TransportEnergyCons!$B$4:$B$10000)*1,("-"=[1]OUT_TransportEnergyCons!$C$4:$C$10000)*1,ISNUMBER(SEARCH("T_C*hy*GSL*s1",[1]OUT_TransportEnergyCons!$A$4:$A$10000))*1,[1]OUT_TransportEnergyCons!N$4:N$10000)</f>
        <v>7.9264773571523631E-2</v>
      </c>
      <c r="Q1922" s="1" cm="1">
        <f t="array" ref="Q1922">SUMPRODUCT(("Var_Cap"=[1]OUT_TransportEnergyCons!$B$4:$B$10000)*1,("-"=[1]OUT_TransportEnergyCons!$C$4:$C$10000)*1,ISNUMBER(SEARCH("T_C*hy*GSL*s1",[1]OUT_TransportEnergyCons!$A$4:$A$10000))*1,[1]OUT_TransportEnergyCons!O$4:O$10000)</f>
        <v>0.10765167590793463</v>
      </c>
      <c r="S1922" s="3"/>
    </row>
    <row r="1923" spans="2:19" x14ac:dyDescent="0.5">
      <c r="B1923" s="5" t="str">
        <f t="shared" si="2152"/>
        <v>SPS1</v>
      </c>
      <c r="C1923" s="5" t="str">
        <f t="shared" si="2153"/>
        <v>CH</v>
      </c>
      <c r="D1923" t="s">
        <v>1940</v>
      </c>
      <c r="E1923" t="str">
        <f t="shared" si="215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1.7226446787954854E-2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2.9535171748522635E-2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3.8687315189339204E-2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3.1919325997834126E-2</v>
      </c>
      <c r="J1923" s="1" cm="1">
        <f t="array" ref="J1923">SUMPRODUCT(("Var_Cap"=[1]OUT_TransportEnergyCons!$B$4:$B$10000)*1,("-"=[1]OUT_TransportEnergyCons!$C$4:$C$10000)*1,ISNUMBER(SEARCH("T_C*hy*GSL*s2",[1]OUT_TransportEnergyCons!$A$4:$A$10000))*1,[1]OUT_TransportEnergyCons!H$4:H$10000)</f>
        <v>9.3917097408681496E-2</v>
      </c>
      <c r="K1923" s="1" cm="1">
        <f t="array" ref="K1923">SUMPRODUCT(("Var_Cap"=[1]OUT_TransportEnergyCons!$B$4:$B$10000)*1,("-"=[1]OUT_TransportEnergyCons!$C$4:$C$10000)*1,ISNUMBER(SEARCH("T_C*hy*GSL*s2",[1]OUT_TransportEnergyCons!$A$4:$A$10000))*1,[1]OUT_TransportEnergyCons!I$4:I$10000)</f>
        <v>7.5693564999989166E-2</v>
      </c>
      <c r="L1923" s="1" cm="1">
        <f t="array" ref="L1923">SUMPRODUCT(("Var_Cap"=[1]OUT_TransportEnergyCons!$B$4:$B$10000)*1,("-"=[1]OUT_TransportEnergyCons!$C$4:$C$10000)*1,ISNUMBER(SEARCH("T_C*hy*GSL*s2",[1]OUT_TransportEnergyCons!$A$4:$A$10000))*1,[1]OUT_TransportEnergyCons!J$4:J$10000)</f>
        <v>5.3183557691408943E-2</v>
      </c>
      <c r="M1923" s="1" cm="1">
        <f t="array" ref="M1923">SUMPRODUCT(("Var_Cap"=[1]OUT_TransportEnergyCons!$B$4:$B$10000)*1,("-"=[1]OUT_TransportEnergyCons!$C$4:$C$10000)*1,ISNUMBER(SEARCH("T_C*hy*GSL*s2",[1]OUT_TransportEnergyCons!$A$4:$A$10000))*1,[1]OUT_TransportEnergyCons!K$4:K$10000)</f>
        <v>5.0942568787724592E-4</v>
      </c>
      <c r="N1923" s="1" cm="1">
        <f t="array" ref="N1923">SUMPRODUCT(("Var_Cap"=[1]OUT_TransportEnergyCons!$B$4:$B$10000)*1,("-"=[1]OUT_TransportEnergyCons!$C$4:$C$10000)*1,ISNUMBER(SEARCH("T_C*hy*GSL*s2",[1]OUT_TransportEnergyCons!$A$4:$A$10000))*1,[1]OUT_TransportEnergyCons!L$4:L$10000)</f>
        <v>3.6748916406370894E-4</v>
      </c>
      <c r="O1923" s="1" cm="1">
        <f t="array" ref="O1923">SUMPRODUCT(("Var_Cap"=[1]OUT_TransportEnergyCons!$B$4:$B$10000)*1,("-"=[1]OUT_TransportEnergyCons!$C$4:$C$10000)*1,ISNUMBER(SEARCH("T_C*hy*GSL*s2",[1]OUT_TransportEnergyCons!$A$4:$A$10000))*1,[1]OUT_TransportEnergyCons!M$4:M$10000)</f>
        <v>5.1042727004044176E-4</v>
      </c>
      <c r="P1923" s="1" cm="1">
        <f t="array" ref="P1923">SUMPRODUCT(("Var_Cap"=[1]OUT_TransportEnergyCons!$B$4:$B$10000)*1,("-"=[1]OUT_TransportEnergyCons!$C$4:$C$10000)*1,ISNUMBER(SEARCH("T_C*hy*GSL*s2",[1]OUT_TransportEnergyCons!$A$4:$A$10000))*1,[1]OUT_TransportEnergyCons!N$4:N$10000)</f>
        <v>7.5149065019239803E-4</v>
      </c>
      <c r="Q1923" s="1" cm="1">
        <f t="array" ref="Q1923">SUMPRODUCT(("Var_Cap"=[1]OUT_TransportEnergyCons!$B$4:$B$10000)*1,("-"=[1]OUT_TransportEnergyCons!$C$4:$C$10000)*1,ISNUMBER(SEARCH("T_C*hy*GSL*s2",[1]OUT_TransportEnergyCons!$A$4:$A$10000))*1,[1]OUT_TransportEnergyCons!O$4:O$10000)</f>
        <v>7.933922447174263E-4</v>
      </c>
      <c r="S1923" s="3"/>
    </row>
    <row r="1924" spans="2:19" x14ac:dyDescent="0.5">
      <c r="B1924" s="5" t="str">
        <f t="shared" si="2152"/>
        <v>SPS1</v>
      </c>
      <c r="C1924" s="5" t="str">
        <f t="shared" si="2153"/>
        <v>CH</v>
      </c>
      <c r="D1924" t="s">
        <v>1941</v>
      </c>
      <c r="E1924" t="str">
        <f t="shared" si="215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1.4248200707256733E-2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0.19123021933604303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0.18081562555215086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0.14568950544230339</v>
      </c>
      <c r="J1924" s="1" cm="1">
        <f t="array" ref="J1924">SUMPRODUCT(("Var_Cap"=[1]OUT_TransportEnergyCons!$B$4:$B$10000)*1,("-"=[1]OUT_TransportEnergyCons!$C$4:$C$10000)*1,ISNUMBER(SEARCH("T_C*hy*GSL*s3",[1]OUT_TransportEnergyCons!$A$4:$A$10000))*1,[1]OUT_TransportEnergyCons!H$4:H$10000)</f>
        <v>4.7045127792326454E-2</v>
      </c>
      <c r="K1924" s="1" cm="1">
        <f t="array" ref="K1924">SUMPRODUCT(("Var_Cap"=[1]OUT_TransportEnergyCons!$B$4:$B$10000)*1,("-"=[1]OUT_TransportEnergyCons!$C$4:$C$10000)*1,ISNUMBER(SEARCH("T_C*hy*GSL*s3",[1]OUT_TransportEnergyCons!$A$4:$A$10000))*1,[1]OUT_TransportEnergyCons!I$4:I$10000)</f>
        <v>2.1702895210186531E-4</v>
      </c>
      <c r="L1924" s="1" cm="1">
        <f t="array" ref="L1924">SUMPRODUCT(("Var_Cap"=[1]OUT_TransportEnergyCons!$B$4:$B$10000)*1,("-"=[1]OUT_TransportEnergyCons!$C$4:$C$10000)*1,ISNUMBER(SEARCH("T_C*hy*GSL*s3",[1]OUT_TransportEnergyCons!$A$4:$A$10000))*1,[1]OUT_TransportEnergyCons!J$4:J$10000)</f>
        <v>2.0845235790334599E-4</v>
      </c>
      <c r="M1924" s="1" cm="1">
        <f t="array" ref="M1924">SUMPRODUCT(("Var_Cap"=[1]OUT_TransportEnergyCons!$B$4:$B$10000)*1,("-"=[1]OUT_TransportEnergyCons!$C$4:$C$10000)*1,ISNUMBER(SEARCH("T_C*hy*GSL*s3",[1]OUT_TransportEnergyCons!$A$4:$A$10000))*1,[1]OUT_TransportEnergyCons!K$4:K$10000)</f>
        <v>2.4715045047953672E-4</v>
      </c>
      <c r="N1924" s="1" cm="1">
        <f t="array" ref="N1924">SUMPRODUCT(("Var_Cap"=[1]OUT_TransportEnergyCons!$B$4:$B$10000)*1,("-"=[1]OUT_TransportEnergyCons!$C$4:$C$10000)*1,ISNUMBER(SEARCH("T_C*hy*GSL*s3",[1]OUT_TransportEnergyCons!$A$4:$A$10000))*1,[1]OUT_TransportEnergyCons!L$4:L$10000)</f>
        <v>2.5510360125180568E-4</v>
      </c>
      <c r="O1924" s="1" cm="1">
        <f t="array" ref="O1924">SUMPRODUCT(("Var_Cap"=[1]OUT_TransportEnergyCons!$B$4:$B$10000)*1,("-"=[1]OUT_TransportEnergyCons!$C$4:$C$10000)*1,ISNUMBER(SEARCH("T_C*hy*GSL*s3",[1]OUT_TransportEnergyCons!$A$4:$A$10000))*1,[1]OUT_TransportEnergyCons!M$4:M$10000)</f>
        <v>3.1679628741701743E-4</v>
      </c>
      <c r="P1924" s="1" cm="1">
        <f t="array" ref="P1924">SUMPRODUCT(("Var_Cap"=[1]OUT_TransportEnergyCons!$B$4:$B$10000)*1,("-"=[1]OUT_TransportEnergyCons!$C$4:$C$10000)*1,ISNUMBER(SEARCH("T_C*hy*GSL*s3",[1]OUT_TransportEnergyCons!$A$4:$A$10000))*1,[1]OUT_TransportEnergyCons!N$4:N$10000)</f>
        <v>4.0440485104462499E-4</v>
      </c>
      <c r="Q1924" s="1" cm="1">
        <f t="array" ref="Q1924">SUMPRODUCT(("Var_Cap"=[1]OUT_TransportEnergyCons!$B$4:$B$10000)*1,("-"=[1]OUT_TransportEnergyCons!$C$4:$C$10000)*1,ISNUMBER(SEARCH("T_C*hy*GSL*s3",[1]OUT_TransportEnergyCons!$A$4:$A$10000))*1,[1]OUT_TransportEnergyCons!O$4:O$10000)</f>
        <v>4.2085617755375886E-4</v>
      </c>
      <c r="S1924" s="3"/>
    </row>
    <row r="1925" spans="2:19" x14ac:dyDescent="0.5">
      <c r="B1925" s="5" t="str">
        <f t="shared" si="2152"/>
        <v>SPS1</v>
      </c>
      <c r="C1925" s="5" t="str">
        <f t="shared" si="2153"/>
        <v>CH</v>
      </c>
      <c r="D1925" t="s">
        <v>1942</v>
      </c>
      <c r="E1925" t="str">
        <f t="shared" si="215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8.3199039246641387E-3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1.4197509769794966E-2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4.6620323543931363E-2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0.15450110828384514</v>
      </c>
      <c r="J1925" s="1" cm="1">
        <f t="array" ref="J1925">SUMPRODUCT(("Var_Cap"=[1]OUT_TransportEnergyCons!$B$4:$B$10000)*1,("-"=[1]OUT_TransportEnergyCons!$C$4:$C$10000)*1,ISNUMBER(SEARCH("T_C*hy*GSL*s4",[1]OUT_TransportEnergyCons!$A$4:$A$10000))*1,[1]OUT_TransportEnergyCons!H$4:H$10000)</f>
        <v>0.16398645067587053</v>
      </c>
      <c r="K1925" s="1" cm="1">
        <f t="array" ref="K1925">SUMPRODUCT(("Var_Cap"=[1]OUT_TransportEnergyCons!$B$4:$B$10000)*1,("-"=[1]OUT_TransportEnergyCons!$C$4:$C$10000)*1,ISNUMBER(SEARCH("T_C*hy*GSL*s4",[1]OUT_TransportEnergyCons!$A$4:$A$10000))*1,[1]OUT_TransportEnergyCons!I$4:I$10000)</f>
        <v>0.20112832095294478</v>
      </c>
      <c r="L1925" s="1" cm="1">
        <f t="array" ref="L1925">SUMPRODUCT(("Var_Cap"=[1]OUT_TransportEnergyCons!$B$4:$B$10000)*1,("-"=[1]OUT_TransportEnergyCons!$C$4:$C$10000)*1,ISNUMBER(SEARCH("T_C*hy*GSL*s4",[1]OUT_TransportEnergyCons!$A$4:$A$10000))*1,[1]OUT_TransportEnergyCons!J$4:J$10000)</f>
        <v>0.24211061817905519</v>
      </c>
      <c r="M1925" s="1" cm="1">
        <f t="array" ref="M1925">SUMPRODUCT(("Var_Cap"=[1]OUT_TransportEnergyCons!$B$4:$B$10000)*1,("-"=[1]OUT_TransportEnergyCons!$C$4:$C$10000)*1,ISNUMBER(SEARCH("T_C*hy*GSL*s4",[1]OUT_TransportEnergyCons!$A$4:$A$10000))*1,[1]OUT_TransportEnergyCons!K$4:K$10000)</f>
        <v>0.32764030740238537</v>
      </c>
      <c r="N1925" s="1" cm="1">
        <f t="array" ref="N1925">SUMPRODUCT(("Var_Cap"=[1]OUT_TransportEnergyCons!$B$4:$B$10000)*1,("-"=[1]OUT_TransportEnergyCons!$C$4:$C$10000)*1,ISNUMBER(SEARCH("T_C*hy*GSL*s4",[1]OUT_TransportEnergyCons!$A$4:$A$10000))*1,[1]OUT_TransportEnergyCons!L$4:L$10000)</f>
        <v>0.3496749708993353</v>
      </c>
      <c r="O1925" s="1" cm="1">
        <f t="array" ref="O1925">SUMPRODUCT(("Var_Cap"=[1]OUT_TransportEnergyCons!$B$4:$B$10000)*1,("-"=[1]OUT_TransportEnergyCons!$C$4:$C$10000)*1,ISNUMBER(SEARCH("T_C*hy*GSL*s4",[1]OUT_TransportEnergyCons!$A$4:$A$10000))*1,[1]OUT_TransportEnergyCons!M$4:M$10000)</f>
        <v>0.33072154742137094</v>
      </c>
      <c r="P1925" s="1" cm="1">
        <f t="array" ref="P1925">SUMPRODUCT(("Var_Cap"=[1]OUT_TransportEnergyCons!$B$4:$B$10000)*1,("-"=[1]OUT_TransportEnergyCons!$C$4:$C$10000)*1,ISNUMBER(SEARCH("T_C*hy*GSL*s4",[1]OUT_TransportEnergyCons!$A$4:$A$10000))*1,[1]OUT_TransportEnergyCons!N$4:N$10000)</f>
        <v>0.27381606424801097</v>
      </c>
      <c r="Q1925" s="1" cm="1">
        <f t="array" ref="Q1925">SUMPRODUCT(("Var_Cap"=[1]OUT_TransportEnergyCons!$B$4:$B$10000)*1,("-"=[1]OUT_TransportEnergyCons!$C$4:$C$10000)*1,ISNUMBER(SEARCH("T_C*hy*GSL*s4",[1]OUT_TransportEnergyCons!$A$4:$A$10000))*1,[1]OUT_TransportEnergyCons!O$4:O$10000)</f>
        <v>0.24537090408200904</v>
      </c>
      <c r="S1925" s="3"/>
    </row>
    <row r="1926" spans="2:19" x14ac:dyDescent="0.5">
      <c r="B1926" s="5" t="str">
        <f t="shared" si="2152"/>
        <v>SPS1</v>
      </c>
      <c r="C1926" s="5" t="str">
        <f t="shared" si="2153"/>
        <v>CH</v>
      </c>
      <c r="D1926" t="s">
        <v>1943</v>
      </c>
      <c r="E1926" t="str">
        <f t="shared" si="215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2.4923089916078323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2.1591608330451302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1.6628846041983816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0.83143927243251681</v>
      </c>
      <c r="J1926" s="1" cm="1">
        <f t="array" ref="J1926">SUMPRODUCT(("Var_Cap"=[1]OUT_TransportEnergyCons!$B$4:$B$10000)*1,("-"=[1]OUT_TransportEnergyCons!$C$4:$C$10000)*1,ISNUMBER(SEARCH("T_C*ICE*GSL*ext",[1]OUT_TransportEnergyCons!$A$4:$A$10000))*1,[1]OUT_TransportEnergyCons!H$4:H$10000)</f>
        <v>0</v>
      </c>
      <c r="K1926" s="1" cm="1">
        <f t="array" ref="K1926">SUMPRODUCT(("Var_Cap"=[1]OUT_TransportEnergyCons!$B$4:$B$10000)*1,("-"=[1]OUT_TransportEnergyCons!$C$4:$C$10000)*1,ISNUMBER(SEARCH("T_C*ICE*GSL*ext",[1]OUT_TransportEnergyCons!$A$4:$A$10000))*1,[1]OUT_TransportEnergyCons!I$4:I$10000)</f>
        <v>0</v>
      </c>
      <c r="L1926" s="1" cm="1">
        <f t="array" ref="L1926">SUMPRODUCT(("Var_Cap"=[1]OUT_TransportEnergyCons!$B$4:$B$10000)*1,("-"=[1]OUT_TransportEnergyCons!$C$4:$C$10000)*1,ISNUMBER(SEARCH("T_C*ICE*GSL*ext",[1]OUT_TransportEnergyCons!$A$4:$A$10000))*1,[1]OUT_TransportEnergyCons!J$4:J$10000)</f>
        <v>0</v>
      </c>
      <c r="M1926" s="1" cm="1">
        <f t="array" ref="M1926">SUMPRODUCT(("Var_Cap"=[1]OUT_TransportEnergyCons!$B$4:$B$10000)*1,("-"=[1]OUT_TransportEnergyCons!$C$4:$C$10000)*1,ISNUMBER(SEARCH("T_C*ICE*GSL*ext",[1]OUT_TransportEnergyCons!$A$4:$A$10000))*1,[1]OUT_TransportEnergyCons!K$4:K$10000)</f>
        <v>0</v>
      </c>
      <c r="N1926" s="1" cm="1">
        <f t="array" ref="N1926">SUMPRODUCT(("Var_Cap"=[1]OUT_TransportEnergyCons!$B$4:$B$10000)*1,("-"=[1]OUT_TransportEnergyCons!$C$4:$C$10000)*1,ISNUMBER(SEARCH("T_C*ICE*GSL*ext",[1]OUT_TransportEnergyCons!$A$4:$A$10000))*1,[1]OUT_TransportEnergyCons!L$4:L$10000)</f>
        <v>0</v>
      </c>
      <c r="O1926" s="1" cm="1">
        <f t="array" ref="O1926">SUMPRODUCT(("Var_Cap"=[1]OUT_TransportEnergyCons!$B$4:$B$10000)*1,("-"=[1]OUT_TransportEnergyCons!$C$4:$C$10000)*1,ISNUMBER(SEARCH("T_C*ICE*GSL*ext",[1]OUT_TransportEnergyCons!$A$4:$A$10000))*1,[1]OUT_TransportEnergyCons!M$4:M$10000)</f>
        <v>0</v>
      </c>
      <c r="P1926" s="1" cm="1">
        <f t="array" ref="P1926">SUMPRODUCT(("Var_Cap"=[1]OUT_TransportEnergyCons!$B$4:$B$10000)*1,("-"=[1]OUT_TransportEnergyCons!$C$4:$C$10000)*1,ISNUMBER(SEARCH("T_C*ICE*GSL*ext",[1]OUT_TransportEnergyCons!$A$4:$A$10000))*1,[1]OUT_TransportEnergyCons!N$4:N$10000)</f>
        <v>0</v>
      </c>
      <c r="Q1926" s="1" cm="1">
        <f t="array" ref="Q1926">SUMPRODUCT(("Var_Cap"=[1]OUT_TransportEnergyCons!$B$4:$B$10000)*1,("-"=[1]OUT_TransportEnergyCons!$C$4:$C$10000)*1,ISNUMBER(SEARCH("T_C*ICE*GSL*ext",[1]OUT_TransportEnergyCons!$A$4:$A$10000))*1,[1]OUT_TransportEnergyCons!O$4:O$10000)</f>
        <v>0</v>
      </c>
      <c r="S1926" s="3"/>
    </row>
    <row r="1927" spans="2:19" x14ac:dyDescent="0.5">
      <c r="B1927" s="5" t="str">
        <f t="shared" si="2152"/>
        <v>SPS1</v>
      </c>
      <c r="C1927" s="5" t="str">
        <f t="shared" si="2153"/>
        <v>CH</v>
      </c>
      <c r="D1927" t="s">
        <v>1944</v>
      </c>
      <c r="E1927" t="str">
        <f t="shared" si="215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3.654159736963232E-2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3.9790158360936238E-2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3.9434093653075167E-2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3.032977084109973E-2</v>
      </c>
      <c r="J1927" s="1" cm="1">
        <f t="array" ref="J1927">SUMPRODUCT(("Var_Cap"=[1]OUT_TransportEnergyCons!$B$4:$B$10000)*1,("-"=[1]OUT_TransportEnergyCons!$C$4:$C$10000)*1,ISNUMBER(SEARCH("T_C*ICE*GSL*s1",[1]OUT_TransportEnergyCons!$A$4:$A$10000))*1,[1]OUT_TransportEnergyCons!H$4:H$10000)</f>
        <v>1.6191105224406122E-3</v>
      </c>
      <c r="K1927" s="1" cm="1">
        <f t="array" ref="K1927">SUMPRODUCT(("Var_Cap"=[1]OUT_TransportEnergyCons!$B$4:$B$10000)*1,("-"=[1]OUT_TransportEnergyCons!$C$4:$C$10000)*1,ISNUMBER(SEARCH("T_C*ICE*GSL*s1",[1]OUT_TransportEnergyCons!$A$4:$A$10000))*1,[1]OUT_TransportEnergyCons!I$4:I$10000)</f>
        <v>2.4079323137584784E-4</v>
      </c>
      <c r="L1927" s="1" cm="1">
        <f t="array" ref="L1927">SUMPRODUCT(("Var_Cap"=[1]OUT_TransportEnergyCons!$B$4:$B$10000)*1,("-"=[1]OUT_TransportEnergyCons!$C$4:$C$10000)*1,ISNUMBER(SEARCH("T_C*ICE*GSL*s1",[1]OUT_TransportEnergyCons!$A$4:$A$10000))*1,[1]OUT_TransportEnergyCons!J$4:J$10000)</f>
        <v>1.6005343591002399E-4</v>
      </c>
      <c r="M1927" s="1" cm="1">
        <f t="array" ref="M1927">SUMPRODUCT(("Var_Cap"=[1]OUT_TransportEnergyCons!$B$4:$B$10000)*1,("-"=[1]OUT_TransportEnergyCons!$C$4:$C$10000)*1,ISNUMBER(SEARCH("T_C*ICE*GSL*s1",[1]OUT_TransportEnergyCons!$A$4:$A$10000))*1,[1]OUT_TransportEnergyCons!K$4:K$10000)</f>
        <v>1.0714010838410025E-4</v>
      </c>
      <c r="N1927" s="1" cm="1">
        <f t="array" ref="N1927">SUMPRODUCT(("Var_Cap"=[1]OUT_TransportEnergyCons!$B$4:$B$10000)*1,("-"=[1]OUT_TransportEnergyCons!$C$4:$C$10000)*1,ISNUMBER(SEARCH("T_C*ICE*GSL*s1",[1]OUT_TransportEnergyCons!$A$4:$A$10000))*1,[1]OUT_TransportEnergyCons!L$4:L$10000)</f>
        <v>5.9954603260067384E-5</v>
      </c>
      <c r="O1927" s="1" cm="1">
        <f t="array" ref="O1927">SUMPRODUCT(("Var_Cap"=[1]OUT_TransportEnergyCons!$B$4:$B$10000)*1,("-"=[1]OUT_TransportEnergyCons!$C$4:$C$10000)*1,ISNUMBER(SEARCH("T_C*ICE*GSL*s1",[1]OUT_TransportEnergyCons!$A$4:$A$10000))*1,[1]OUT_TransportEnergyCons!M$4:M$10000)</f>
        <v>6.0901869490866641E-5</v>
      </c>
      <c r="P1927" s="1" cm="1">
        <f t="array" ref="P1927">SUMPRODUCT(("Var_Cap"=[1]OUT_TransportEnergyCons!$B$4:$B$10000)*1,("-"=[1]OUT_TransportEnergyCons!$C$4:$C$10000)*1,ISNUMBER(SEARCH("T_C*ICE*GSL*s1",[1]OUT_TransportEnergyCons!$A$4:$A$10000))*1,[1]OUT_TransportEnergyCons!N$4:N$10000)</f>
        <v>7.2045830261430833E-5</v>
      </c>
      <c r="Q1927" s="1" cm="1">
        <f t="array" ref="Q1927">SUMPRODUCT(("Var_Cap"=[1]OUT_TransportEnergyCons!$B$4:$B$10000)*1,("-"=[1]OUT_TransportEnergyCons!$C$4:$C$10000)*1,ISNUMBER(SEARCH("T_C*ICE*GSL*s1",[1]OUT_TransportEnergyCons!$A$4:$A$10000))*1,[1]OUT_TransportEnergyCons!O$4:O$10000)</f>
        <v>9.6396392818886973E-5</v>
      </c>
      <c r="S1927" s="3"/>
    </row>
    <row r="1928" spans="2:19" x14ac:dyDescent="0.5">
      <c r="B1928" s="5" t="str">
        <f t="shared" si="2152"/>
        <v>SPS1</v>
      </c>
      <c r="C1928" s="5" t="str">
        <f t="shared" si="2153"/>
        <v>CH</v>
      </c>
      <c r="D1928" t="s">
        <v>1945</v>
      </c>
      <c r="E1928" t="str">
        <f t="shared" si="215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0.21742994431720739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0.24339913039368458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0.24103412375152744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0.19075499778060809</v>
      </c>
      <c r="J1928" s="1" cm="1">
        <f t="array" ref="J1928">SUMPRODUCT(("Var_Cap"=[1]OUT_TransportEnergyCons!$B$4:$B$10000)*1,("-"=[1]OUT_TransportEnergyCons!$C$4:$C$10000)*1,ISNUMBER(SEARCH("T_C*ICE*GSL*s2",[1]OUT_TransportEnergyCons!$A$4:$A$10000))*1,[1]OUT_TransportEnergyCons!H$4:H$10000)</f>
        <v>1.1276039056258893E-2</v>
      </c>
      <c r="K1928" s="1" cm="1">
        <f t="array" ref="K1928">SUMPRODUCT(("Var_Cap"=[1]OUT_TransportEnergyCons!$B$4:$B$10000)*1,("-"=[1]OUT_TransportEnergyCons!$C$4:$C$10000)*1,ISNUMBER(SEARCH("T_C*ICE*GSL*s2",[1]OUT_TransportEnergyCons!$A$4:$A$10000))*1,[1]OUT_TransportEnergyCons!I$4:I$10000)</f>
        <v>5.4259649063397508E-4</v>
      </c>
      <c r="L1928" s="1" cm="1">
        <f t="array" ref="L1928">SUMPRODUCT(("Var_Cap"=[1]OUT_TransportEnergyCons!$B$4:$B$10000)*1,("-"=[1]OUT_TransportEnergyCons!$C$4:$C$10000)*1,ISNUMBER(SEARCH("T_C*ICE*GSL*s2",[1]OUT_TransportEnergyCons!$A$4:$A$10000))*1,[1]OUT_TransportEnergyCons!J$4:J$10000)</f>
        <v>2.7767081649220527E-4</v>
      </c>
      <c r="M1928" s="1" cm="1">
        <f t="array" ref="M1928">SUMPRODUCT(("Var_Cap"=[1]OUT_TransportEnergyCons!$B$4:$B$10000)*1,("-"=[1]OUT_TransportEnergyCons!$C$4:$C$10000)*1,ISNUMBER(SEARCH("T_C*ICE*GSL*s2",[1]OUT_TransportEnergyCons!$A$4:$A$10000))*1,[1]OUT_TransportEnergyCons!K$4:K$10000)</f>
        <v>1.4341855407231784E-4</v>
      </c>
      <c r="N1928" s="1" cm="1">
        <f t="array" ref="N1928">SUMPRODUCT(("Var_Cap"=[1]OUT_TransportEnergyCons!$B$4:$B$10000)*1,("-"=[1]OUT_TransportEnergyCons!$C$4:$C$10000)*1,ISNUMBER(SEARCH("T_C*ICE*GSL*s2",[1]OUT_TransportEnergyCons!$A$4:$A$10000))*1,[1]OUT_TransportEnergyCons!L$4:L$10000)</f>
        <v>7.9966091289920027E-5</v>
      </c>
      <c r="O1928" s="1" cm="1">
        <f t="array" ref="O1928">SUMPRODUCT(("Var_Cap"=[1]OUT_TransportEnergyCons!$B$4:$B$10000)*1,("-"=[1]OUT_TransportEnergyCons!$C$4:$C$10000)*1,ISNUMBER(SEARCH("T_C*ICE*GSL*s2",[1]OUT_TransportEnergyCons!$A$4:$A$10000))*1,[1]OUT_TransportEnergyCons!M$4:M$10000)</f>
        <v>8.2687641888627472E-5</v>
      </c>
      <c r="P1928" s="1" cm="1">
        <f t="array" ref="P1928">SUMPRODUCT(("Var_Cap"=[1]OUT_TransportEnergyCons!$B$4:$B$10000)*1,("-"=[1]OUT_TransportEnergyCons!$C$4:$C$10000)*1,ISNUMBER(SEARCH("T_C*ICE*GSL*s2",[1]OUT_TransportEnergyCons!$A$4:$A$10000))*1,[1]OUT_TransportEnergyCons!N$4:N$10000)</f>
        <v>9.9881537071942517E-5</v>
      </c>
      <c r="Q1928" s="1" cm="1">
        <f t="array" ref="Q1928">SUMPRODUCT(("Var_Cap"=[1]OUT_TransportEnergyCons!$B$4:$B$10000)*1,("-"=[1]OUT_TransportEnergyCons!$C$4:$C$10000)*1,ISNUMBER(SEARCH("T_C*ICE*GSL*s2",[1]OUT_TransportEnergyCons!$A$4:$A$10000))*1,[1]OUT_TransportEnergyCons!O$4:O$10000)</f>
        <v>1.2868640098786908E-4</v>
      </c>
      <c r="S1928" s="3"/>
    </row>
    <row r="1929" spans="2:19" x14ac:dyDescent="0.5">
      <c r="B1929" s="5" t="str">
        <f t="shared" si="2152"/>
        <v>SPS1</v>
      </c>
      <c r="C1929" s="5" t="str">
        <f t="shared" si="2153"/>
        <v>CH</v>
      </c>
      <c r="D1929" t="s">
        <v>1946</v>
      </c>
      <c r="E1929" t="str">
        <f t="shared" si="215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0.1820117093944458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0.20370624052373265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0.26392576250329697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0.21959526440637281</v>
      </c>
      <c r="J1929" s="1" cm="1">
        <f t="array" ref="J1929">SUMPRODUCT(("Var_Cap"=[1]OUT_TransportEnergyCons!$B$4:$B$10000)*1,("-"=[1]OUT_TransportEnergyCons!$C$4:$C$10000)*1,ISNUMBER(SEARCH("T_C*ICE*GSL*s3",[1]OUT_TransportEnergyCons!$A$4:$A$10000))*1,[1]OUT_TransportEnergyCons!H$4:H$10000)</f>
        <v>7.6551473370863626E-2</v>
      </c>
      <c r="K1929" s="1" cm="1">
        <f t="array" ref="K1929">SUMPRODUCT(("Var_Cap"=[1]OUT_TransportEnergyCons!$B$4:$B$10000)*1,("-"=[1]OUT_TransportEnergyCons!$C$4:$C$10000)*1,ISNUMBER(SEARCH("T_C*ICE*GSL*s3",[1]OUT_TransportEnergyCons!$A$4:$A$10000))*1,[1]OUT_TransportEnergyCons!I$4:I$10000)</f>
        <v>3.1547166932642215E-2</v>
      </c>
      <c r="L1929" s="1" cm="1">
        <f t="array" ref="L1929">SUMPRODUCT(("Var_Cap"=[1]OUT_TransportEnergyCons!$B$4:$B$10000)*1,("-"=[1]OUT_TransportEnergyCons!$C$4:$C$10000)*1,ISNUMBER(SEARCH("T_C*ICE*GSL*s3",[1]OUT_TransportEnergyCons!$A$4:$A$10000))*1,[1]OUT_TransportEnergyCons!J$4:J$10000)</f>
        <v>1.7705307589791927E-2</v>
      </c>
      <c r="M1929" s="1" cm="1">
        <f t="array" ref="M1929">SUMPRODUCT(("Var_Cap"=[1]OUT_TransportEnergyCons!$B$4:$B$10000)*1,("-"=[1]OUT_TransportEnergyCons!$C$4:$C$10000)*1,ISNUMBER(SEARCH("T_C*ICE*GSL*s3",[1]OUT_TransportEnergyCons!$A$4:$A$10000))*1,[1]OUT_TransportEnergyCons!K$4:K$10000)</f>
        <v>6.0349200224551623E-4</v>
      </c>
      <c r="N1929" s="1" cm="1">
        <f t="array" ref="N1929">SUMPRODUCT(("Var_Cap"=[1]OUT_TransportEnergyCons!$B$4:$B$10000)*1,("-"=[1]OUT_TransportEnergyCons!$C$4:$C$10000)*1,ISNUMBER(SEARCH("T_C*ICE*GSL*s3",[1]OUT_TransportEnergyCons!$A$4:$A$10000))*1,[1]OUT_TransportEnergyCons!L$4:L$10000)</f>
        <v>1.684942774994204E-4</v>
      </c>
      <c r="O1929" s="1" cm="1">
        <f t="array" ref="O1929">SUMPRODUCT(("Var_Cap"=[1]OUT_TransportEnergyCons!$B$4:$B$10000)*1,("-"=[1]OUT_TransportEnergyCons!$C$4:$C$10000)*1,ISNUMBER(SEARCH("T_C*ICE*GSL*s3",[1]OUT_TransportEnergyCons!$A$4:$A$10000))*1,[1]OUT_TransportEnergyCons!M$4:M$10000)</f>
        <v>1.1936344830289393E-4</v>
      </c>
      <c r="P1929" s="1" cm="1">
        <f t="array" ref="P1929">SUMPRODUCT(("Var_Cap"=[1]OUT_TransportEnergyCons!$B$4:$B$10000)*1,("-"=[1]OUT_TransportEnergyCons!$C$4:$C$10000)*1,ISNUMBER(SEARCH("T_C*ICE*GSL*s3",[1]OUT_TransportEnergyCons!$A$4:$A$10000))*1,[1]OUT_TransportEnergyCons!N$4:N$10000)</f>
        <v>1.3655078048564927E-4</v>
      </c>
      <c r="Q1929" s="1" cm="1">
        <f t="array" ref="Q1929">SUMPRODUCT(("Var_Cap"=[1]OUT_TransportEnergyCons!$B$4:$B$10000)*1,("-"=[1]OUT_TransportEnergyCons!$C$4:$C$10000)*1,ISNUMBER(SEARCH("T_C*ICE*GSL*s3",[1]OUT_TransportEnergyCons!$A$4:$A$10000))*1,[1]OUT_TransportEnergyCons!O$4:O$10000)</f>
        <v>1.6365064429732826E-4</v>
      </c>
      <c r="S1929" s="3"/>
    </row>
    <row r="1930" spans="2:19" x14ac:dyDescent="0.5">
      <c r="B1930" s="5" t="str">
        <f t="shared" si="2152"/>
        <v>SPS1</v>
      </c>
      <c r="C1930" s="5" t="str">
        <f t="shared" si="2153"/>
        <v>CH</v>
      </c>
      <c r="D1930" t="s">
        <v>1947</v>
      </c>
      <c r="E1930" t="str">
        <f t="shared" si="215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0.1570749236786077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0.17930261213154988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0.45324027495153801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0.87656983034831704</v>
      </c>
      <c r="J1930" s="1" cm="1">
        <f t="array" ref="J1930">SUMPRODUCT(("Var_Cap"=[1]OUT_TransportEnergyCons!$B$4:$B$10000)*1,("-"=[1]OUT_TransportEnergyCons!$C$4:$C$10000)*1,ISNUMBER(SEARCH("T_C*ICE*GSL*s4",[1]OUT_TransportEnergyCons!$A$4:$A$10000))*1,[1]OUT_TransportEnergyCons!H$4:H$10000)</f>
        <v>1.14806669891681</v>
      </c>
      <c r="K1930" s="1" cm="1">
        <f t="array" ref="K1930">SUMPRODUCT(("Var_Cap"=[1]OUT_TransportEnergyCons!$B$4:$B$10000)*1,("-"=[1]OUT_TransportEnergyCons!$C$4:$C$10000)*1,ISNUMBER(SEARCH("T_C*ICE*GSL*s4",[1]OUT_TransportEnergyCons!$A$4:$A$10000))*1,[1]OUT_TransportEnergyCons!I$4:I$10000)</f>
        <v>1.2114383741157411</v>
      </c>
      <c r="L1930" s="1" cm="1">
        <f t="array" ref="L1930">SUMPRODUCT(("Var_Cap"=[1]OUT_TransportEnergyCons!$B$4:$B$10000)*1,("-"=[1]OUT_TransportEnergyCons!$C$4:$C$10000)*1,ISNUMBER(SEARCH("T_C*ICE*GSL*s4",[1]OUT_TransportEnergyCons!$A$4:$A$10000))*1,[1]OUT_TransportEnergyCons!J$4:J$10000)</f>
        <v>1.2264399833919961</v>
      </c>
      <c r="M1930" s="1" cm="1">
        <f t="array" ref="M1930">SUMPRODUCT(("Var_Cap"=[1]OUT_TransportEnergyCons!$B$4:$B$10000)*1,("-"=[1]OUT_TransportEnergyCons!$C$4:$C$10000)*1,ISNUMBER(SEARCH("T_C*ICE*GSL*s4",[1]OUT_TransportEnergyCons!$A$4:$A$10000))*1,[1]OUT_TransportEnergyCons!K$4:K$10000)</f>
        <v>1.2447844763888498</v>
      </c>
      <c r="N1930" s="1" cm="1">
        <f t="array" ref="N1930">SUMPRODUCT(("Var_Cap"=[1]OUT_TransportEnergyCons!$B$4:$B$10000)*1,("-"=[1]OUT_TransportEnergyCons!$C$4:$C$10000)*1,ISNUMBER(SEARCH("T_C*ICE*GSL*s4",[1]OUT_TransportEnergyCons!$A$4:$A$10000))*1,[1]OUT_TransportEnergyCons!L$4:L$10000)</f>
        <v>1.2478334126633563</v>
      </c>
      <c r="O1930" s="1" cm="1">
        <f t="array" ref="O1930">SUMPRODUCT(("Var_Cap"=[1]OUT_TransportEnergyCons!$B$4:$B$10000)*1,("-"=[1]OUT_TransportEnergyCons!$C$4:$C$10000)*1,ISNUMBER(SEARCH("T_C*ICE*GSL*s4",[1]OUT_TransportEnergyCons!$A$4:$A$10000))*1,[1]OUT_TransportEnergyCons!M$4:M$10000)</f>
        <v>1.2482734075970281</v>
      </c>
      <c r="P1930" s="1" cm="1">
        <f t="array" ref="P1930">SUMPRODUCT(("Var_Cap"=[1]OUT_TransportEnergyCons!$B$4:$B$10000)*1,("-"=[1]OUT_TransportEnergyCons!$C$4:$C$10000)*1,ISNUMBER(SEARCH("T_C*ICE*GSL*s4",[1]OUT_TransportEnergyCons!$A$4:$A$10000))*1,[1]OUT_TransportEnergyCons!N$4:N$10000)</f>
        <v>1.2375439339875955</v>
      </c>
      <c r="Q1930" s="1" cm="1">
        <f t="array" ref="Q1930">SUMPRODUCT(("Var_Cap"=[1]OUT_TransportEnergyCons!$B$4:$B$10000)*1,("-"=[1]OUT_TransportEnergyCons!$C$4:$C$10000)*1,ISNUMBER(SEARCH("T_C*ICE*GSL*s4",[1]OUT_TransportEnergyCons!$A$4:$A$10000))*1,[1]OUT_TransportEnergyCons!O$4:O$10000)</f>
        <v>1.1770469825257093</v>
      </c>
      <c r="S1930" s="3"/>
    </row>
    <row r="1931" spans="2:19" x14ac:dyDescent="0.5">
      <c r="B1931" s="5" t="str">
        <f t="shared" si="2152"/>
        <v>SPS1</v>
      </c>
      <c r="C1931" s="5" t="str">
        <f t="shared" si="2153"/>
        <v>CH</v>
      </c>
      <c r="D1931" t="s">
        <v>1948</v>
      </c>
      <c r="E1931" t="str">
        <f t="shared" si="215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3.1720134604485803E-5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1.7932432348448699E-2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1.6828857832850101E-2</v>
      </c>
      <c r="J1931" s="1" cm="1">
        <f t="array" ref="J1931">SUMPRODUCT(("Var_Cap"=[1]OUT_TransportEnergyCons!$B$4:$B$10000)*1,("-"=[1]OUT_TransportEnergyCons!$C$4:$C$10000)*1,ISNUMBER(SEARCH("T_C*mhy*GSL*s1",[1]OUT_TransportEnergyCons!$A$4:$A$10000))*1,[1]OUT_TransportEnergyCons!H$4:H$10000)</f>
        <v>1.21482427705485E-2</v>
      </c>
      <c r="K1931" s="1" cm="1">
        <f t="array" ref="K1931">SUMPRODUCT(("Var_Cap"=[1]OUT_TransportEnergyCons!$B$4:$B$10000)*1,("-"=[1]OUT_TransportEnergyCons!$C$4:$C$10000)*1,ISNUMBER(SEARCH("T_C*mhy*GSL*s1",[1]OUT_TransportEnergyCons!$A$4:$A$10000))*1,[1]OUT_TransportEnergyCons!I$4:I$10000)</f>
        <v>2.4173304516928399E-3</v>
      </c>
      <c r="L1931" s="1" cm="1">
        <f t="array" ref="L1931">SUMPRODUCT(("Var_Cap"=[1]OUT_TransportEnergyCons!$B$4:$B$10000)*1,("-"=[1]OUT_TransportEnergyCons!$C$4:$C$10000)*1,ISNUMBER(SEARCH("T_C*mhy*GSL*s1",[1]OUT_TransportEnergyCons!$A$4:$A$10000))*1,[1]OUT_TransportEnergyCons!J$4:J$10000)</f>
        <v>1.15640187810356E-4</v>
      </c>
      <c r="M1931" s="1" cm="1">
        <f t="array" ref="M1931">SUMPRODUCT(("Var_Cap"=[1]OUT_TransportEnergyCons!$B$4:$B$10000)*1,("-"=[1]OUT_TransportEnergyCons!$C$4:$C$10000)*1,ISNUMBER(SEARCH("T_C*mhy*GSL*s1",[1]OUT_TransportEnergyCons!$A$4:$A$10000))*1,[1]OUT_TransportEnergyCons!K$4:K$10000)</f>
        <v>9.4061560173914205E-5</v>
      </c>
      <c r="N1931" s="1" cm="1">
        <f t="array" ref="N1931">SUMPRODUCT(("Var_Cap"=[1]OUT_TransportEnergyCons!$B$4:$B$10000)*1,("-"=[1]OUT_TransportEnergyCons!$C$4:$C$10000)*1,ISNUMBER(SEARCH("T_C*mhy*GSL*s1",[1]OUT_TransportEnergyCons!$A$4:$A$10000))*1,[1]OUT_TransportEnergyCons!L$4:L$10000)</f>
        <v>7.4772709876413506E-5</v>
      </c>
      <c r="O1931" s="1" cm="1">
        <f t="array" ref="O1931">SUMPRODUCT(("Var_Cap"=[1]OUT_TransportEnergyCons!$B$4:$B$10000)*1,("-"=[1]OUT_TransportEnergyCons!$C$4:$C$10000)*1,ISNUMBER(SEARCH("T_C*mhy*GSL*s1",[1]OUT_TransportEnergyCons!$A$4:$A$10000))*1,[1]OUT_TransportEnergyCons!M$4:M$10000)</f>
        <v>1.17459347645414E-4</v>
      </c>
      <c r="P1931" s="1" cm="1">
        <f t="array" ref="P1931">SUMPRODUCT(("Var_Cap"=[1]OUT_TransportEnergyCons!$B$4:$B$10000)*1,("-"=[1]OUT_TransportEnergyCons!$C$4:$C$10000)*1,ISNUMBER(SEARCH("T_C*mhy*GSL*s1",[1]OUT_TransportEnergyCons!$A$4:$A$10000))*1,[1]OUT_TransportEnergyCons!N$4:N$10000)</f>
        <v>2.9355603634162301E-4</v>
      </c>
      <c r="Q1931" s="1" cm="1">
        <f t="array" ref="Q1931">SUMPRODUCT(("Var_Cap"=[1]OUT_TransportEnergyCons!$B$4:$B$10000)*1,("-"=[1]OUT_TransportEnergyCons!$C$4:$C$10000)*1,ISNUMBER(SEARCH("T_C*mhy*GSL*s1",[1]OUT_TransportEnergyCons!$A$4:$A$10000))*1,[1]OUT_TransportEnergyCons!O$4:O$10000)</f>
        <v>3.92776008662732E-4</v>
      </c>
      <c r="S1931" s="3"/>
    </row>
    <row r="1932" spans="2:19" x14ac:dyDescent="0.5">
      <c r="B1932" s="5" t="str">
        <f t="shared" si="2152"/>
        <v>SPS1</v>
      </c>
      <c r="C1932" s="5" t="str">
        <f t="shared" si="2153"/>
        <v>CH</v>
      </c>
      <c r="D1932" t="s">
        <v>1949</v>
      </c>
      <c r="E1932" t="str">
        <f t="shared" si="215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1.4692934045657599E-5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2.0550489921770501E-4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2.9759476395754798E-4</v>
      </c>
      <c r="J1932" s="1" cm="1">
        <f t="array" ref="J1932">SUMPRODUCT(("Var_Cap"=[1]OUT_TransportEnergyCons!$B$4:$B$10000)*1,("-"=[1]OUT_TransportEnergyCons!$C$4:$C$10000)*1,ISNUMBER(SEARCH("T_C*mhy*GSL*s2",[1]OUT_TransportEnergyCons!$A$4:$A$10000))*1,[1]OUT_TransportEnergyCons!H$4:H$10000)</f>
        <v>2.7295695338898601E-4</v>
      </c>
      <c r="K1932" s="1" cm="1">
        <f t="array" ref="K1932">SUMPRODUCT(("Var_Cap"=[1]OUT_TransportEnergyCons!$B$4:$B$10000)*1,("-"=[1]OUT_TransportEnergyCons!$C$4:$C$10000)*1,ISNUMBER(SEARCH("T_C*mhy*GSL*s2",[1]OUT_TransportEnergyCons!$A$4:$A$10000))*1,[1]OUT_TransportEnergyCons!I$4:I$10000)</f>
        <v>1.7412104970678099E-4</v>
      </c>
      <c r="L1932" s="1" cm="1">
        <f t="array" ref="L1932">SUMPRODUCT(("Var_Cap"=[1]OUT_TransportEnergyCons!$B$4:$B$10000)*1,("-"=[1]OUT_TransportEnergyCons!$C$4:$C$10000)*1,ISNUMBER(SEARCH("T_C*mhy*GSL*s2",[1]OUT_TransportEnergyCons!$A$4:$A$10000))*1,[1]OUT_TransportEnergyCons!J$4:J$10000)</f>
        <v>1.07797599928351E-4</v>
      </c>
      <c r="M1932" s="1" cm="1">
        <f t="array" ref="M1932">SUMPRODUCT(("Var_Cap"=[1]OUT_TransportEnergyCons!$B$4:$B$10000)*1,("-"=[1]OUT_TransportEnergyCons!$C$4:$C$10000)*1,ISNUMBER(SEARCH("T_C*mhy*GSL*s2",[1]OUT_TransportEnergyCons!$A$4:$A$10000))*1,[1]OUT_TransportEnergyCons!K$4:K$10000)</f>
        <v>9.4218303469934401E-5</v>
      </c>
      <c r="N1932" s="1" cm="1">
        <f t="array" ref="N1932">SUMPRODUCT(("Var_Cap"=[1]OUT_TransportEnergyCons!$B$4:$B$10000)*1,("-"=[1]OUT_TransportEnergyCons!$C$4:$C$10000)*1,ISNUMBER(SEARCH("T_C*mhy*GSL*s2",[1]OUT_TransportEnergyCons!$A$4:$A$10000))*1,[1]OUT_TransportEnergyCons!L$4:L$10000)</f>
        <v>8.2300319817969099E-5</v>
      </c>
      <c r="O1932" s="1" cm="1">
        <f t="array" ref="O1932">SUMPRODUCT(("Var_Cap"=[1]OUT_TransportEnergyCons!$B$4:$B$10000)*1,("-"=[1]OUT_TransportEnergyCons!$C$4:$C$10000)*1,ISNUMBER(SEARCH("T_C*mhy*GSL*s2",[1]OUT_TransportEnergyCons!$A$4:$A$10000))*1,[1]OUT_TransportEnergyCons!M$4:M$10000)</f>
        <v>1.14087797987046E-4</v>
      </c>
      <c r="P1932" s="1" cm="1">
        <f t="array" ref="P1932">SUMPRODUCT(("Var_Cap"=[1]OUT_TransportEnergyCons!$B$4:$B$10000)*1,("-"=[1]OUT_TransportEnergyCons!$C$4:$C$10000)*1,ISNUMBER(SEARCH("T_C*mhy*GSL*s2",[1]OUT_TransportEnergyCons!$A$4:$A$10000))*1,[1]OUT_TransportEnergyCons!N$4:N$10000)</f>
        <v>1.81953235109618E-4</v>
      </c>
      <c r="Q1932" s="1" cm="1">
        <f t="array" ref="Q1932">SUMPRODUCT(("Var_Cap"=[1]OUT_TransportEnergyCons!$B$4:$B$10000)*1,("-"=[1]OUT_TransportEnergyCons!$C$4:$C$10000)*1,ISNUMBER(SEARCH("T_C*mhy*GSL*s2",[1]OUT_TransportEnergyCons!$A$4:$A$10000))*1,[1]OUT_TransportEnergyCons!O$4:O$10000)</f>
        <v>2.0931947484105899E-4</v>
      </c>
      <c r="S1932" s="3"/>
    </row>
    <row r="1933" spans="2:19" x14ac:dyDescent="0.5">
      <c r="B1933" s="5" t="str">
        <f t="shared" si="2152"/>
        <v>SPS1</v>
      </c>
      <c r="C1933" s="5" t="str">
        <f t="shared" si="2153"/>
        <v>CH</v>
      </c>
      <c r="D1933" t="s">
        <v>1950</v>
      </c>
      <c r="E1933" t="str">
        <f t="shared" si="215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1.8776149596209401E-5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1.12209330300058E-4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1.64531202276489E-4</v>
      </c>
      <c r="J1933" s="1" cm="1">
        <f t="array" ref="J1933">SUMPRODUCT(("Var_Cap"=[1]OUT_TransportEnergyCons!$B$4:$B$10000)*1,("-"=[1]OUT_TransportEnergyCons!$C$4:$C$10000)*1,ISNUMBER(SEARCH("T_C*mhy*GSL*s3",[1]OUT_TransportEnergyCons!$A$4:$A$10000))*1,[1]OUT_TransportEnergyCons!H$4:H$10000)</f>
        <v>1.60346757052748E-4</v>
      </c>
      <c r="K1933" s="1" cm="1">
        <f t="array" ref="K1933">SUMPRODUCT(("Var_Cap"=[1]OUT_TransportEnergyCons!$B$4:$B$10000)*1,("-"=[1]OUT_TransportEnergyCons!$C$4:$C$10000)*1,ISNUMBER(SEARCH("T_C*mhy*GSL*s3",[1]OUT_TransportEnergyCons!$A$4:$A$10000))*1,[1]OUT_TransportEnergyCons!I$4:I$10000)</f>
        <v>1.2712657611336299E-4</v>
      </c>
      <c r="L1933" s="1" cm="1">
        <f t="array" ref="L1933">SUMPRODUCT(("Var_Cap"=[1]OUT_TransportEnergyCons!$B$4:$B$10000)*1,("-"=[1]OUT_TransportEnergyCons!$C$4:$C$10000)*1,ISNUMBER(SEARCH("T_C*mhy*GSL*s3",[1]OUT_TransportEnergyCons!$A$4:$A$10000))*1,[1]OUT_TransportEnergyCons!J$4:J$10000)</f>
        <v>1.0661868630160301E-4</v>
      </c>
      <c r="M1933" s="1" cm="1">
        <f t="array" ref="M1933">SUMPRODUCT(("Var_Cap"=[1]OUT_TransportEnergyCons!$B$4:$B$10000)*1,("-"=[1]OUT_TransportEnergyCons!$C$4:$C$10000)*1,ISNUMBER(SEARCH("T_C*mhy*GSL*s3",[1]OUT_TransportEnergyCons!$A$4:$A$10000))*1,[1]OUT_TransportEnergyCons!K$4:K$10000)</f>
        <v>1.1558686814890501E-4</v>
      </c>
      <c r="N1933" s="1" cm="1">
        <f t="array" ref="N1933">SUMPRODUCT(("Var_Cap"=[1]OUT_TransportEnergyCons!$B$4:$B$10000)*1,("-"=[1]OUT_TransportEnergyCons!$C$4:$C$10000)*1,ISNUMBER(SEARCH("T_C*mhy*GSL*s3",[1]OUT_TransportEnergyCons!$A$4:$A$10000))*1,[1]OUT_TransportEnergyCons!L$4:L$10000)</f>
        <v>1.15222236674392E-4</v>
      </c>
      <c r="O1933" s="1" cm="1">
        <f t="array" ref="O1933">SUMPRODUCT(("Var_Cap"=[1]OUT_TransportEnergyCons!$B$4:$B$10000)*1,("-"=[1]OUT_TransportEnergyCons!$C$4:$C$10000)*1,ISNUMBER(SEARCH("T_C*mhy*GSL*s3",[1]OUT_TransportEnergyCons!$A$4:$A$10000))*1,[1]OUT_TransportEnergyCons!M$4:M$10000)</f>
        <v>1.5635461447767999E-4</v>
      </c>
      <c r="P1933" s="1" cm="1">
        <f t="array" ref="P1933">SUMPRODUCT(("Var_Cap"=[1]OUT_TransportEnergyCons!$B$4:$B$10000)*1,("-"=[1]OUT_TransportEnergyCons!$C$4:$C$10000)*1,ISNUMBER(SEARCH("T_C*mhy*GSL*s3",[1]OUT_TransportEnergyCons!$A$4:$A$10000))*1,[1]OUT_TransportEnergyCons!N$4:N$10000)</f>
        <v>2.3713239266374601E-4</v>
      </c>
      <c r="Q1933" s="1" cm="1">
        <f t="array" ref="Q1933">SUMPRODUCT(("Var_Cap"=[1]OUT_TransportEnergyCons!$B$4:$B$10000)*1,("-"=[1]OUT_TransportEnergyCons!$C$4:$C$10000)*1,ISNUMBER(SEARCH("T_C*mhy*GSL*s3",[1]OUT_TransportEnergyCons!$A$4:$A$10000))*1,[1]OUT_TransportEnergyCons!O$4:O$10000)</f>
        <v>2.5161763542082998E-4</v>
      </c>
      <c r="S1933" s="3"/>
    </row>
    <row r="1934" spans="2:19" x14ac:dyDescent="0.5">
      <c r="B1934" s="5" t="str">
        <f t="shared" si="2152"/>
        <v>SPS1</v>
      </c>
      <c r="C1934" s="5" t="str">
        <f t="shared" si="2153"/>
        <v>CH</v>
      </c>
      <c r="D1934" t="s">
        <v>1951</v>
      </c>
      <c r="E1934" t="str">
        <f t="shared" si="215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2.8478311938950799E-5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3.3000597804837099E-2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0.14308987037073101</v>
      </c>
      <c r="J1934" s="1" cm="1">
        <f t="array" ref="J1934">SUMPRODUCT(("Var_Cap"=[1]OUT_TransportEnergyCons!$B$4:$B$10000)*1,("-"=[1]OUT_TransportEnergyCons!$C$4:$C$10000)*1,ISNUMBER(SEARCH("T_C*mhy*GSL*s4",[1]OUT_TransportEnergyCons!$A$4:$A$10000))*1,[1]OUT_TransportEnergyCons!H$4:H$10000)</f>
        <v>0.161876837430982</v>
      </c>
      <c r="K1934" s="1" cm="1">
        <f t="array" ref="K1934">SUMPRODUCT(("Var_Cap"=[1]OUT_TransportEnergyCons!$B$4:$B$10000)*1,("-"=[1]OUT_TransportEnergyCons!$C$4:$C$10000)*1,ISNUMBER(SEARCH("T_C*mhy*GSL*s4",[1]OUT_TransportEnergyCons!$A$4:$A$10000))*1,[1]OUT_TransportEnergyCons!I$4:I$10000)</f>
        <v>0.20083141793317899</v>
      </c>
      <c r="L1934" s="1" cm="1">
        <f t="array" ref="L1934">SUMPRODUCT(("Var_Cap"=[1]OUT_TransportEnergyCons!$B$4:$B$10000)*1,("-"=[1]OUT_TransportEnergyCons!$C$4:$C$10000)*1,ISNUMBER(SEARCH("T_C*mhy*GSL*s4",[1]OUT_TransportEnergyCons!$A$4:$A$10000))*1,[1]OUT_TransportEnergyCons!J$4:J$10000)</f>
        <v>0.241690720820604</v>
      </c>
      <c r="M1934" s="1" cm="1">
        <f t="array" ref="M1934">SUMPRODUCT(("Var_Cap"=[1]OUT_TransportEnergyCons!$B$4:$B$10000)*1,("-"=[1]OUT_TransportEnergyCons!$C$4:$C$10000)*1,ISNUMBER(SEARCH("T_C*mhy*GSL*s4",[1]OUT_TransportEnergyCons!$A$4:$A$10000))*1,[1]OUT_TransportEnergyCons!K$4:K$10000)</f>
        <v>0.25070715685154599</v>
      </c>
      <c r="N1934" s="1" cm="1">
        <f t="array" ref="N1934">SUMPRODUCT(("Var_Cap"=[1]OUT_TransportEnergyCons!$B$4:$B$10000)*1,("-"=[1]OUT_TransportEnergyCons!$C$4:$C$10000)*1,ISNUMBER(SEARCH("T_C*mhy*GSL*s4",[1]OUT_TransportEnergyCons!$A$4:$A$10000))*1,[1]OUT_TransportEnergyCons!L$4:L$10000)</f>
        <v>0.25475847801936002</v>
      </c>
      <c r="O1934" s="1" cm="1">
        <f t="array" ref="O1934">SUMPRODUCT(("Var_Cap"=[1]OUT_TransportEnergyCons!$B$4:$B$10000)*1,("-"=[1]OUT_TransportEnergyCons!$C$4:$C$10000)*1,ISNUMBER(SEARCH("T_C*mhy*GSL*s4",[1]OUT_TransportEnergyCons!$A$4:$A$10000))*1,[1]OUT_TransportEnergyCons!M$4:M$10000)</f>
        <v>0.25517023393659499</v>
      </c>
      <c r="P1934" s="1" cm="1">
        <f t="array" ref="P1934">SUMPRODUCT(("Var_Cap"=[1]OUT_TransportEnergyCons!$B$4:$B$10000)*1,("-"=[1]OUT_TransportEnergyCons!$C$4:$C$10000)*1,ISNUMBER(SEARCH("T_C*mhy*GSL*s4",[1]OUT_TransportEnergyCons!$A$4:$A$10000))*1,[1]OUT_TransportEnergyCons!N$4:N$10000)</f>
        <v>0.24840498289858501</v>
      </c>
      <c r="Q1934" s="1" cm="1">
        <f t="array" ref="Q1934">SUMPRODUCT(("Var_Cap"=[1]OUT_TransportEnergyCons!$B$4:$B$10000)*1,("-"=[1]OUT_TransportEnergyCons!$C$4:$C$10000)*1,ISNUMBER(SEARCH("T_C*mhy*GSL*s4",[1]OUT_TransportEnergyCons!$A$4:$A$10000))*1,[1]OUT_TransportEnergyCons!O$4:O$10000)</f>
        <v>0.24493884323586099</v>
      </c>
      <c r="S1934" s="3"/>
    </row>
    <row r="1935" spans="2:19" x14ac:dyDescent="0.5">
      <c r="B1935" s="5" t="str">
        <f t="shared" si="2152"/>
        <v>SPS1</v>
      </c>
      <c r="C1935" s="5" t="str">
        <f t="shared" si="2153"/>
        <v>CH</v>
      </c>
      <c r="D1935" t="s">
        <v>1952</v>
      </c>
      <c r="E1935" t="str">
        <f t="shared" si="215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SUMPRODUCT(("Var_Cap"=[1]OUT_TransportEnergyCons!$B$4:$B$10000)*1,("-"=[1]OUT_TransportEnergyCons!$C$4:$C$10000)*1,ISNUMBER(SEARCH("T_C*hy*dsl*ext",[1]OUT_TransportEnergyCons!$A$4:$A$10000))*1,[1]OUT_TransportEnergyCons!H$4:H$10000)</f>
        <v>0</v>
      </c>
      <c r="K1935" s="1" cm="1">
        <f t="array" ref="K1935">SUMPRODUCT(("Var_Cap"=[1]OUT_TransportEnergyCons!$B$4:$B$10000)*1,("-"=[1]OUT_TransportEnergyCons!$C$4:$C$10000)*1,ISNUMBER(SEARCH("T_C*hy*dsl*ext",[1]OUT_TransportEnergyCons!$A$4:$A$10000))*1,[1]OUT_TransportEnergyCons!I$4:I$10000)</f>
        <v>0</v>
      </c>
      <c r="L1935" s="1" cm="1">
        <f t="array" ref="L1935">SUMPRODUCT(("Var_Cap"=[1]OUT_TransportEnergyCons!$B$4:$B$10000)*1,("-"=[1]OUT_TransportEnergyCons!$C$4:$C$10000)*1,ISNUMBER(SEARCH("T_C*hy*dsl*ext",[1]OUT_TransportEnergyCons!$A$4:$A$10000))*1,[1]OUT_TransportEnergyCons!J$4:J$10000)</f>
        <v>0</v>
      </c>
      <c r="M1935" s="1" cm="1">
        <f t="array" ref="M1935">SUMPRODUCT(("Var_Cap"=[1]OUT_TransportEnergyCons!$B$4:$B$10000)*1,("-"=[1]OUT_TransportEnergyCons!$C$4:$C$10000)*1,ISNUMBER(SEARCH("T_C*hy*dsl*ext",[1]OUT_TransportEnergyCons!$A$4:$A$10000))*1,[1]OUT_TransportEnergyCons!K$4:K$10000)</f>
        <v>0</v>
      </c>
      <c r="N1935" s="1" cm="1">
        <f t="array" ref="N1935">SUMPRODUCT(("Var_Cap"=[1]OUT_TransportEnergyCons!$B$4:$B$10000)*1,("-"=[1]OUT_TransportEnergyCons!$C$4:$C$10000)*1,ISNUMBER(SEARCH("T_C*hy*dsl*ext",[1]OUT_TransportEnergyCons!$A$4:$A$10000))*1,[1]OUT_TransportEnergyCons!L$4:L$10000)</f>
        <v>0</v>
      </c>
      <c r="O1935" s="1" cm="1">
        <f t="array" ref="O1935">SUMPRODUCT(("Var_Cap"=[1]OUT_TransportEnergyCons!$B$4:$B$10000)*1,("-"=[1]OUT_TransportEnergyCons!$C$4:$C$10000)*1,ISNUMBER(SEARCH("T_C*hy*dsl*ext",[1]OUT_TransportEnergyCons!$A$4:$A$10000))*1,[1]OUT_TransportEnergyCons!M$4:M$10000)</f>
        <v>0</v>
      </c>
      <c r="P1935" s="1" cm="1">
        <f t="array" ref="P1935">SUMPRODUCT(("Var_Cap"=[1]OUT_TransportEnergyCons!$B$4:$B$10000)*1,("-"=[1]OUT_TransportEnergyCons!$C$4:$C$10000)*1,ISNUMBER(SEARCH("T_C*hy*dsl*ext",[1]OUT_TransportEnergyCons!$A$4:$A$10000))*1,[1]OUT_TransportEnergyCons!N$4:N$10000)</f>
        <v>0</v>
      </c>
      <c r="Q1935" s="1" cm="1">
        <f t="array" ref="Q1935">SUMPRODUCT(("Var_Cap"=[1]OUT_TransportEnergyCons!$B$4:$B$10000)*1,("-"=[1]OUT_TransportEnergyCons!$C$4:$C$10000)*1,ISNUMBER(SEARCH("T_C*hy*dsl*ext",[1]OUT_TransportEnergyCons!$A$4:$A$10000))*1,[1]OUT_TransportEnergyCons!O$4:O$10000)</f>
        <v>0</v>
      </c>
      <c r="S1935" s="3"/>
    </row>
    <row r="1936" spans="2:19" x14ac:dyDescent="0.5">
      <c r="B1936" s="5" t="str">
        <f t="shared" si="2152"/>
        <v>SPS1</v>
      </c>
      <c r="C1936" s="5" t="str">
        <f t="shared" si="2153"/>
        <v>CH</v>
      </c>
      <c r="D1936" t="s">
        <v>1953</v>
      </c>
      <c r="E1936" t="str">
        <f t="shared" si="215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2.907633729428313E-2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0.10293995939120495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0.22619033271866212</v>
      </c>
      <c r="J1936" s="1" cm="1">
        <f t="array" ref="J1936">SUMPRODUCT(("Var_Cap"=[1]OUT_TransportEnergyCons!$B$4:$B$10000)*1,("-"=[1]OUT_TransportEnergyCons!$C$4:$C$10000)*1,ISNUMBER(SEARCH("T_C*hy*dsl*s1",[1]OUT_TransportEnergyCons!$A$4:$A$10000))*1,[1]OUT_TransportEnergyCons!H$4:H$10000)</f>
        <v>0.29996383411653549</v>
      </c>
      <c r="K1936" s="1" cm="1">
        <f t="array" ref="K1936">SUMPRODUCT(("Var_Cap"=[1]OUT_TransportEnergyCons!$B$4:$B$10000)*1,("-"=[1]OUT_TransportEnergyCons!$C$4:$C$10000)*1,ISNUMBER(SEARCH("T_C*hy*dsl*s1",[1]OUT_TransportEnergyCons!$A$4:$A$10000))*1,[1]OUT_TransportEnergyCons!I$4:I$10000)</f>
        <v>0.23970474200296404</v>
      </c>
      <c r="L1936" s="1" cm="1">
        <f t="array" ref="L1936">SUMPRODUCT(("Var_Cap"=[1]OUT_TransportEnergyCons!$B$4:$B$10000)*1,("-"=[1]OUT_TransportEnergyCons!$C$4:$C$10000)*1,ISNUMBER(SEARCH("T_C*hy*dsl*s1",[1]OUT_TransportEnergyCons!$A$4:$A$10000))*1,[1]OUT_TransportEnergyCons!J$4:J$10000)</f>
        <v>0.1887854380762847</v>
      </c>
      <c r="M1936" s="1" cm="1">
        <f t="array" ref="M1936">SUMPRODUCT(("Var_Cap"=[1]OUT_TransportEnergyCons!$B$4:$B$10000)*1,("-"=[1]OUT_TransportEnergyCons!$C$4:$C$10000)*1,ISNUMBER(SEARCH("T_C*hy*dsl*s1",[1]OUT_TransportEnergyCons!$A$4:$A$10000))*1,[1]OUT_TransportEnergyCons!K$4:K$10000)</f>
        <v>8.5633138979293866E-2</v>
      </c>
      <c r="N1936" s="1" cm="1">
        <f t="array" ref="N1936">SUMPRODUCT(("Var_Cap"=[1]OUT_TransportEnergyCons!$B$4:$B$10000)*1,("-"=[1]OUT_TransportEnergyCons!$C$4:$C$10000)*1,ISNUMBER(SEARCH("T_C*hy*dsl*s1",[1]OUT_TransportEnergyCons!$A$4:$A$10000))*1,[1]OUT_TransportEnergyCons!L$4:L$10000)</f>
        <v>8.487698512328011E-2</v>
      </c>
      <c r="O1936" s="1" cm="1">
        <f t="array" ref="O1936">SUMPRODUCT(("Var_Cap"=[1]OUT_TransportEnergyCons!$B$4:$B$10000)*1,("-"=[1]OUT_TransportEnergyCons!$C$4:$C$10000)*1,ISNUMBER(SEARCH("T_C*hy*dsl*s1",[1]OUT_TransportEnergyCons!$A$4:$A$10000))*1,[1]OUT_TransportEnergyCons!M$4:M$10000)</f>
        <v>6.6487519651424312E-2</v>
      </c>
      <c r="P1936" s="1" cm="1">
        <f t="array" ref="P1936">SUMPRODUCT(("Var_Cap"=[1]OUT_TransportEnergyCons!$B$4:$B$10000)*1,("-"=[1]OUT_TransportEnergyCons!$C$4:$C$10000)*1,ISNUMBER(SEARCH("T_C*hy*dsl*s1",[1]OUT_TransportEnergyCons!$A$4:$A$10000))*1,[1]OUT_TransportEnergyCons!N$4:N$10000)</f>
        <v>3.2780648697055409E-4</v>
      </c>
      <c r="Q1936" s="1" cm="1">
        <f t="array" ref="Q1936">SUMPRODUCT(("Var_Cap"=[1]OUT_TransportEnergyCons!$B$4:$B$10000)*1,("-"=[1]OUT_TransportEnergyCons!$C$4:$C$10000)*1,ISNUMBER(SEARCH("T_C*hy*dsl*s1",[1]OUT_TransportEnergyCons!$A$4:$A$10000))*1,[1]OUT_TransportEnergyCons!O$4:O$10000)</f>
        <v>3.3698976044229328E-4</v>
      </c>
      <c r="S1936" s="3"/>
    </row>
    <row r="1937" spans="2:19" x14ac:dyDescent="0.5">
      <c r="B1937" s="5" t="str">
        <f t="shared" si="2152"/>
        <v>SPS1</v>
      </c>
      <c r="C1937" s="5" t="str">
        <f t="shared" si="2153"/>
        <v>CH</v>
      </c>
      <c r="D1937" t="s">
        <v>1954</v>
      </c>
      <c r="E1937" t="str">
        <f t="shared" si="215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2.5973759056279415E-4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0.11992287850769631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0.15165413029025035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0.12488383092585381</v>
      </c>
      <c r="J1937" s="1" cm="1">
        <f t="array" ref="J1937">SUMPRODUCT(("Var_Cap"=[1]OUT_TransportEnergyCons!$B$4:$B$10000)*1,("-"=[1]OUT_TransportEnergyCons!$C$4:$C$10000)*1,ISNUMBER(SEARCH("T_C*hy*dsl*s2",[1]OUT_TransportEnergyCons!$A$4:$A$10000))*1,[1]OUT_TransportEnergyCons!H$4:H$10000)</f>
        <v>5.6402509104169475E-2</v>
      </c>
      <c r="K1937" s="1" cm="1">
        <f t="array" ref="K1937">SUMPRODUCT(("Var_Cap"=[1]OUT_TransportEnergyCons!$B$4:$B$10000)*1,("-"=[1]OUT_TransportEnergyCons!$C$4:$C$10000)*1,ISNUMBER(SEARCH("T_C*hy*dsl*s2",[1]OUT_TransportEnergyCons!$A$4:$A$10000))*1,[1]OUT_TransportEnergyCons!I$4:I$10000)</f>
        <v>5.1885723064075242E-3</v>
      </c>
      <c r="L1937" s="1" cm="1">
        <f t="array" ref="L1937">SUMPRODUCT(("Var_Cap"=[1]OUT_TransportEnergyCons!$B$4:$B$10000)*1,("-"=[1]OUT_TransportEnergyCons!$C$4:$C$10000)*1,ISNUMBER(SEARCH("T_C*hy*dsl*s2",[1]OUT_TransportEnergyCons!$A$4:$A$10000))*1,[1]OUT_TransportEnergyCons!J$4:J$10000)</f>
        <v>1.4625762513995326E-3</v>
      </c>
      <c r="M1937" s="1" cm="1">
        <f t="array" ref="M1937">SUMPRODUCT(("Var_Cap"=[1]OUT_TransportEnergyCons!$B$4:$B$10000)*1,("-"=[1]OUT_TransportEnergyCons!$C$4:$C$10000)*1,ISNUMBER(SEARCH("T_C*hy*dsl*s2",[1]OUT_TransportEnergyCons!$A$4:$A$10000))*1,[1]OUT_TransportEnergyCons!K$4:K$10000)</f>
        <v>9.1049984779825895E-4</v>
      </c>
      <c r="N1937" s="1" cm="1">
        <f t="array" ref="N1937">SUMPRODUCT(("Var_Cap"=[1]OUT_TransportEnergyCons!$B$4:$B$10000)*1,("-"=[1]OUT_TransportEnergyCons!$C$4:$C$10000)*1,ISNUMBER(SEARCH("T_C*hy*dsl*s2",[1]OUT_TransportEnergyCons!$A$4:$A$10000))*1,[1]OUT_TransportEnergyCons!L$4:L$10000)</f>
        <v>6.6191614259357185E-4</v>
      </c>
      <c r="O1937" s="1" cm="1">
        <f t="array" ref="O1937">SUMPRODUCT(("Var_Cap"=[1]OUT_TransportEnergyCons!$B$4:$B$10000)*1,("-"=[1]OUT_TransportEnergyCons!$C$4:$C$10000)*1,ISNUMBER(SEARCH("T_C*hy*dsl*s2",[1]OUT_TransportEnergyCons!$A$4:$A$10000))*1,[1]OUT_TransportEnergyCons!M$4:M$10000)</f>
        <v>8.3883676104719177E-4</v>
      </c>
      <c r="P1937" s="1" cm="1">
        <f t="array" ref="P1937">SUMPRODUCT(("Var_Cap"=[1]OUT_TransportEnergyCons!$B$4:$B$10000)*1,("-"=[1]OUT_TransportEnergyCons!$C$4:$C$10000)*1,ISNUMBER(SEARCH("T_C*hy*dsl*s2",[1]OUT_TransportEnergyCons!$A$4:$A$10000))*1,[1]OUT_TransportEnergyCons!N$4:N$10000)</f>
        <v>4.2391564097868165E-2</v>
      </c>
      <c r="Q1937" s="1" cm="1">
        <f t="array" ref="Q1937">SUMPRODUCT(("Var_Cap"=[1]OUT_TransportEnergyCons!$B$4:$B$10000)*1,("-"=[1]OUT_TransportEnergyCons!$C$4:$C$10000)*1,ISNUMBER(SEARCH("T_C*hy*dsl*s2",[1]OUT_TransportEnergyCons!$A$4:$A$10000))*1,[1]OUT_TransportEnergyCons!O$4:O$10000)</f>
        <v>4.8947895208629758E-2</v>
      </c>
      <c r="S1937" s="3"/>
    </row>
    <row r="1938" spans="2:19" x14ac:dyDescent="0.5">
      <c r="B1938" s="5" t="str">
        <f t="shared" si="2152"/>
        <v>SPS1</v>
      </c>
      <c r="C1938" s="5" t="str">
        <f t="shared" si="2153"/>
        <v>CH</v>
      </c>
      <c r="D1938" t="s">
        <v>1955</v>
      </c>
      <c r="E1938" t="str">
        <f t="shared" si="215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1.8560452890842532E-3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3.8157376051838384E-3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3.7292280097801266E-3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3.0748676576291692E-3</v>
      </c>
      <c r="J1938" s="1" cm="1">
        <f t="array" ref="J1938">SUMPRODUCT(("Var_Cap"=[1]OUT_TransportEnergyCons!$B$4:$B$10000)*1,("-"=[1]OUT_TransportEnergyCons!$C$4:$C$10000)*1,ISNUMBER(SEARCH("T_C*hy*dsl*s3",[1]OUT_TransportEnergyCons!$A$4:$A$10000))*1,[1]OUT_TransportEnergyCons!H$4:H$10000)</f>
        <v>3.2371575560256631E-3</v>
      </c>
      <c r="K1938" s="1" cm="1">
        <f t="array" ref="K1938">SUMPRODUCT(("Var_Cap"=[1]OUT_TransportEnergyCons!$B$4:$B$10000)*1,("-"=[1]OUT_TransportEnergyCons!$C$4:$C$10000)*1,ISNUMBER(SEARCH("T_C*hy*dsl*s3",[1]OUT_TransportEnergyCons!$A$4:$A$10000))*1,[1]OUT_TransportEnergyCons!I$4:I$10000)</f>
        <v>4.2856001064808094E-2</v>
      </c>
      <c r="L1938" s="1" cm="1">
        <f t="array" ref="L1938">SUMPRODUCT(("Var_Cap"=[1]OUT_TransportEnergyCons!$B$4:$B$10000)*1,("-"=[1]OUT_TransportEnergyCons!$C$4:$C$10000)*1,ISNUMBER(SEARCH("T_C*hy*dsl*s3",[1]OUT_TransportEnergyCons!$A$4:$A$10000))*1,[1]OUT_TransportEnergyCons!J$4:J$10000)</f>
        <v>8.8137571658340103E-2</v>
      </c>
      <c r="M1938" s="1" cm="1">
        <f t="array" ref="M1938">SUMPRODUCT(("Var_Cap"=[1]OUT_TransportEnergyCons!$B$4:$B$10000)*1,("-"=[1]OUT_TransportEnergyCons!$C$4:$C$10000)*1,ISNUMBER(SEARCH("T_C*hy*dsl*s3",[1]OUT_TransportEnergyCons!$A$4:$A$10000))*1,[1]OUT_TransportEnergyCons!K$4:K$10000)</f>
        <v>0.10119168651648978</v>
      </c>
      <c r="N1938" s="1" cm="1">
        <f t="array" ref="N1938">SUMPRODUCT(("Var_Cap"=[1]OUT_TransportEnergyCons!$B$4:$B$10000)*1,("-"=[1]OUT_TransportEnergyCons!$C$4:$C$10000)*1,ISNUMBER(SEARCH("T_C*hy*dsl*s3",[1]OUT_TransportEnergyCons!$A$4:$A$10000))*1,[1]OUT_TransportEnergyCons!L$4:L$10000)</f>
        <v>0.10763739987256095</v>
      </c>
      <c r="O1938" s="1" cm="1">
        <f t="array" ref="O1938">SUMPRODUCT(("Var_Cap"=[1]OUT_TransportEnergyCons!$B$4:$B$10000)*1,("-"=[1]OUT_TransportEnergyCons!$C$4:$C$10000)*1,ISNUMBER(SEARCH("T_C*hy*dsl*s3",[1]OUT_TransportEnergyCons!$A$4:$A$10000))*1,[1]OUT_TransportEnergyCons!M$4:M$10000)</f>
        <v>0.10867243796015609</v>
      </c>
      <c r="P1938" s="1" cm="1">
        <f t="array" ref="P1938">SUMPRODUCT(("Var_Cap"=[1]OUT_TransportEnergyCons!$B$4:$B$10000)*1,("-"=[1]OUT_TransportEnergyCons!$C$4:$C$10000)*1,ISNUMBER(SEARCH("T_C*hy*dsl*s3",[1]OUT_TransportEnergyCons!$A$4:$A$10000))*1,[1]OUT_TransportEnergyCons!N$4:N$10000)</f>
        <v>0.10618956934776411</v>
      </c>
      <c r="Q1938" s="1" cm="1">
        <f t="array" ref="Q1938">SUMPRODUCT(("Var_Cap"=[1]OUT_TransportEnergyCons!$B$4:$B$10000)*1,("-"=[1]OUT_TransportEnergyCons!$C$4:$C$10000)*1,ISNUMBER(SEARCH("T_C*hy*dsl*s3",[1]OUT_TransportEnergyCons!$A$4:$A$10000))*1,[1]OUT_TransportEnergyCons!O$4:O$10000)</f>
        <v>0.10953702186937649</v>
      </c>
      <c r="S1938" s="3"/>
    </row>
    <row r="1939" spans="2:19" x14ac:dyDescent="0.5">
      <c r="B1939" s="5" t="str">
        <f t="shared" si="2152"/>
        <v>SPS1</v>
      </c>
      <c r="C1939" s="5" t="str">
        <f t="shared" si="2153"/>
        <v>CH</v>
      </c>
      <c r="D1939" t="s">
        <v>1956</v>
      </c>
      <c r="E1939" t="str">
        <f t="shared" si="215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3.7726529038714287E-3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8.9251192954658831E-3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8.5695120424943098E-3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7.22432807871555E-3</v>
      </c>
      <c r="J1939" s="1" cm="1">
        <f t="array" ref="J1939">SUMPRODUCT(("Var_Cap"=[1]OUT_TransportEnergyCons!$B$4:$B$10000)*1,("-"=[1]OUT_TransportEnergyCons!$C$4:$C$10000)*1,ISNUMBER(SEARCH("T_C*hy*dsl*s4",[1]OUT_TransportEnergyCons!$A$4:$A$10000))*1,[1]OUT_TransportEnergyCons!H$4:H$10000)</f>
        <v>1.7700392472048279E-3</v>
      </c>
      <c r="K1939" s="1" cm="1">
        <f t="array" ref="K1939">SUMPRODUCT(("Var_Cap"=[1]OUT_TransportEnergyCons!$B$4:$B$10000)*1,("-"=[1]OUT_TransportEnergyCons!$C$4:$C$10000)*1,ISNUMBER(SEARCH("T_C*hy*dsl*s4",[1]OUT_TransportEnergyCons!$A$4:$A$10000))*1,[1]OUT_TransportEnergyCons!I$4:I$10000)</f>
        <v>3.9868001807036139E-4</v>
      </c>
      <c r="L1939" s="1" cm="1">
        <f t="array" ref="L1939">SUMPRODUCT(("Var_Cap"=[1]OUT_TransportEnergyCons!$B$4:$B$10000)*1,("-"=[1]OUT_TransportEnergyCons!$C$4:$C$10000)*1,ISNUMBER(SEARCH("T_C*hy*dsl*s4",[1]OUT_TransportEnergyCons!$A$4:$A$10000))*1,[1]OUT_TransportEnergyCons!J$4:J$10000)</f>
        <v>9.7625307781857538E-3</v>
      </c>
      <c r="M1939" s="1" cm="1">
        <f t="array" ref="M1939">SUMPRODUCT(("Var_Cap"=[1]OUT_TransportEnergyCons!$B$4:$B$10000)*1,("-"=[1]OUT_TransportEnergyCons!$C$4:$C$10000)*1,ISNUMBER(SEARCH("T_C*hy*dsl*s4",[1]OUT_TransportEnergyCons!$A$4:$A$10000))*1,[1]OUT_TransportEnergyCons!K$4:K$10000)</f>
        <v>0.10041295973010866</v>
      </c>
      <c r="N1939" s="1" cm="1">
        <f t="array" ref="N1939">SUMPRODUCT(("Var_Cap"=[1]OUT_TransportEnergyCons!$B$4:$B$10000)*1,("-"=[1]OUT_TransportEnergyCons!$C$4:$C$10000)*1,ISNUMBER(SEARCH("T_C*hy*dsl*s4",[1]OUT_TransportEnergyCons!$A$4:$A$10000))*1,[1]OUT_TransportEnergyCons!L$4:L$10000)</f>
        <v>9.4955222840405959E-2</v>
      </c>
      <c r="O1939" s="1" cm="1">
        <f t="array" ref="O1939">SUMPRODUCT(("Var_Cap"=[1]OUT_TransportEnergyCons!$B$4:$B$10000)*1,("-"=[1]OUT_TransportEnergyCons!$C$4:$C$10000)*1,ISNUMBER(SEARCH("T_C*hy*dsl*s4",[1]OUT_TransportEnergyCons!$A$4:$A$10000))*1,[1]OUT_TransportEnergyCons!M$4:M$10000)</f>
        <v>6.6598027176952915E-2</v>
      </c>
      <c r="P1939" s="1" cm="1">
        <f t="array" ref="P1939">SUMPRODUCT(("Var_Cap"=[1]OUT_TransportEnergyCons!$B$4:$B$10000)*1,("-"=[1]OUT_TransportEnergyCons!$C$4:$C$10000)*1,ISNUMBER(SEARCH("T_C*hy*dsl*s4",[1]OUT_TransportEnergyCons!$A$4:$A$10000))*1,[1]OUT_TransportEnergyCons!N$4:N$10000)</f>
        <v>1.4102377474046576E-2</v>
      </c>
      <c r="Q1939" s="1" cm="1">
        <f t="array" ref="Q1939">SUMPRODUCT(("Var_Cap"=[1]OUT_TransportEnergyCons!$B$4:$B$10000)*1,("-"=[1]OUT_TransportEnergyCons!$C$4:$C$10000)*1,ISNUMBER(SEARCH("T_C*hy*dsl*s4",[1]OUT_TransportEnergyCons!$A$4:$A$10000))*1,[1]OUT_TransportEnergyCons!O$4:O$10000)</f>
        <v>4.1895968285711929E-3</v>
      </c>
      <c r="S1939" s="3"/>
    </row>
    <row r="1940" spans="2:19" x14ac:dyDescent="0.5">
      <c r="B1940" s="5" t="str">
        <f t="shared" si="2152"/>
        <v>SPS1</v>
      </c>
      <c r="C1940" s="5" t="str">
        <f t="shared" si="2153"/>
        <v>CH</v>
      </c>
      <c r="D1940" t="s">
        <v>1957</v>
      </c>
      <c r="E1940" t="str">
        <f t="shared" si="215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1.0585411832196938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0.91828358843280233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0.70637197284242303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0.35318571531823184</v>
      </c>
      <c r="J1940" s="1" cm="1">
        <f t="array" ref="J1940">SUMPRODUCT(("Var_Cap"=[1]OUT_TransportEnergyCons!$B$4:$B$10000)*1,("-"=[1]OUT_TransportEnergyCons!$C$4:$C$10000)*1,ISNUMBER(SEARCH("T_C*ICE*dsl*ext",[1]OUT_TransportEnergyCons!$A$4:$A$10000))*1,[1]OUT_TransportEnergyCons!H$4:H$10000)</f>
        <v>0</v>
      </c>
      <c r="K1940" s="1" cm="1">
        <f t="array" ref="K1940">SUMPRODUCT(("Var_Cap"=[1]OUT_TransportEnergyCons!$B$4:$B$10000)*1,("-"=[1]OUT_TransportEnergyCons!$C$4:$C$10000)*1,ISNUMBER(SEARCH("T_C*ICE*dsl*ext",[1]OUT_TransportEnergyCons!$A$4:$A$10000))*1,[1]OUT_TransportEnergyCons!I$4:I$10000)</f>
        <v>0</v>
      </c>
      <c r="L1940" s="1" cm="1">
        <f t="array" ref="L1940">SUMPRODUCT(("Var_Cap"=[1]OUT_TransportEnergyCons!$B$4:$B$10000)*1,("-"=[1]OUT_TransportEnergyCons!$C$4:$C$10000)*1,ISNUMBER(SEARCH("T_C*ICE*dsl*ext",[1]OUT_TransportEnergyCons!$A$4:$A$10000))*1,[1]OUT_TransportEnergyCons!J$4:J$10000)</f>
        <v>0</v>
      </c>
      <c r="M1940" s="1" cm="1">
        <f t="array" ref="M1940">SUMPRODUCT(("Var_Cap"=[1]OUT_TransportEnergyCons!$B$4:$B$10000)*1,("-"=[1]OUT_TransportEnergyCons!$C$4:$C$10000)*1,ISNUMBER(SEARCH("T_C*ICE*dsl*ext",[1]OUT_TransportEnergyCons!$A$4:$A$10000))*1,[1]OUT_TransportEnergyCons!K$4:K$10000)</f>
        <v>0</v>
      </c>
      <c r="N1940" s="1" cm="1">
        <f t="array" ref="N1940">SUMPRODUCT(("Var_Cap"=[1]OUT_TransportEnergyCons!$B$4:$B$10000)*1,("-"=[1]OUT_TransportEnergyCons!$C$4:$C$10000)*1,ISNUMBER(SEARCH("T_C*ICE*dsl*ext",[1]OUT_TransportEnergyCons!$A$4:$A$10000))*1,[1]OUT_TransportEnergyCons!L$4:L$10000)</f>
        <v>0</v>
      </c>
      <c r="O1940" s="1" cm="1">
        <f t="array" ref="O1940">SUMPRODUCT(("Var_Cap"=[1]OUT_TransportEnergyCons!$B$4:$B$10000)*1,("-"=[1]OUT_TransportEnergyCons!$C$4:$C$10000)*1,ISNUMBER(SEARCH("T_C*ICE*dsl*ext",[1]OUT_TransportEnergyCons!$A$4:$A$10000))*1,[1]OUT_TransportEnergyCons!M$4:M$10000)</f>
        <v>0</v>
      </c>
      <c r="P1940" s="1" cm="1">
        <f t="array" ref="P1940">SUMPRODUCT(("Var_Cap"=[1]OUT_TransportEnergyCons!$B$4:$B$10000)*1,("-"=[1]OUT_TransportEnergyCons!$C$4:$C$10000)*1,ISNUMBER(SEARCH("T_C*ICE*dsl*ext",[1]OUT_TransportEnergyCons!$A$4:$A$10000))*1,[1]OUT_TransportEnergyCons!N$4:N$10000)</f>
        <v>0</v>
      </c>
      <c r="Q1940" s="1" cm="1">
        <f t="array" ref="Q1940">SUMPRODUCT(("Var_Cap"=[1]OUT_TransportEnergyCons!$B$4:$B$10000)*1,("-"=[1]OUT_TransportEnergyCons!$C$4:$C$10000)*1,ISNUMBER(SEARCH("T_C*ICE*dsl*ext",[1]OUT_TransportEnergyCons!$A$4:$A$10000))*1,[1]OUT_TransportEnergyCons!O$4:O$10000)</f>
        <v>0</v>
      </c>
      <c r="S1940" s="3"/>
    </row>
    <row r="1941" spans="2:19" x14ac:dyDescent="0.5">
      <c r="B1941" s="5" t="str">
        <f t="shared" si="2152"/>
        <v>SPS1</v>
      </c>
      <c r="C1941" s="5" t="str">
        <f t="shared" si="2153"/>
        <v>CH</v>
      </c>
      <c r="D1941" t="s">
        <v>1958</v>
      </c>
      <c r="E1941" t="str">
        <f t="shared" si="215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4.4437778687351088E-4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5.1332960745450182E-4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5.6856626049126501E-4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4.9125251776082853E-4</v>
      </c>
      <c r="J1941" s="1" cm="1">
        <f t="array" ref="J1941">SUMPRODUCT(("Var_Cap"=[1]OUT_TransportEnergyCons!$B$4:$B$10000)*1,("-"=[1]OUT_TransportEnergyCons!$C$4:$C$10000)*1,ISNUMBER(SEARCH("T_C*ICE*dsl*s1",[1]OUT_TransportEnergyCons!$A$4:$A$10000))*1,[1]OUT_TransportEnergyCons!H$4:H$10000)</f>
        <v>2.593225966062744E-4</v>
      </c>
      <c r="K1941" s="1" cm="1">
        <f t="array" ref="K1941">SUMPRODUCT(("Var_Cap"=[1]OUT_TransportEnergyCons!$B$4:$B$10000)*1,("-"=[1]OUT_TransportEnergyCons!$C$4:$C$10000)*1,ISNUMBER(SEARCH("T_C*ICE*dsl*s1",[1]OUT_TransportEnergyCons!$A$4:$A$10000))*1,[1]OUT_TransportEnergyCons!I$4:I$10000)</f>
        <v>4.686134426161997E-3</v>
      </c>
      <c r="L1941" s="1" cm="1">
        <f t="array" ref="L1941">SUMPRODUCT(("Var_Cap"=[1]OUT_TransportEnergyCons!$B$4:$B$10000)*1,("-"=[1]OUT_TransportEnergyCons!$C$4:$C$10000)*1,ISNUMBER(SEARCH("T_C*ICE*dsl*s1",[1]OUT_TransportEnergyCons!$A$4:$A$10000))*1,[1]OUT_TransportEnergyCons!J$4:J$10000)</f>
        <v>3.9052649072712966E-3</v>
      </c>
      <c r="M1941" s="1" cm="1">
        <f t="array" ref="M1941">SUMPRODUCT(("Var_Cap"=[1]OUT_TransportEnergyCons!$B$4:$B$10000)*1,("-"=[1]OUT_TransportEnergyCons!$C$4:$C$10000)*1,ISNUMBER(SEARCH("T_C*ICE*dsl*s1",[1]OUT_TransportEnergyCons!$A$4:$A$10000))*1,[1]OUT_TransportEnergyCons!K$4:K$10000)</f>
        <v>2.805799842546336E-3</v>
      </c>
      <c r="N1941" s="1" cm="1">
        <f t="array" ref="N1941">SUMPRODUCT(("Var_Cap"=[1]OUT_TransportEnergyCons!$B$4:$B$10000)*1,("-"=[1]OUT_TransportEnergyCons!$C$4:$C$10000)*1,ISNUMBER(SEARCH("T_C*ICE*dsl*s1",[1]OUT_TransportEnergyCons!$A$4:$A$10000))*1,[1]OUT_TransportEnergyCons!L$4:L$10000)</f>
        <v>3.9440700516856278E-4</v>
      </c>
      <c r="O1941" s="1" cm="1">
        <f t="array" ref="O1941">SUMPRODUCT(("Var_Cap"=[1]OUT_TransportEnergyCons!$B$4:$B$10000)*1,("-"=[1]OUT_TransportEnergyCons!$C$4:$C$10000)*1,ISNUMBER(SEARCH("T_C*ICE*dsl*s1",[1]OUT_TransportEnergyCons!$A$4:$A$10000))*1,[1]OUT_TransportEnergyCons!M$4:M$10000)</f>
        <v>4.0427013272661369E-5</v>
      </c>
      <c r="P1941" s="1" cm="1">
        <f t="array" ref="P1941">SUMPRODUCT(("Var_Cap"=[1]OUT_TransportEnergyCons!$B$4:$B$10000)*1,("-"=[1]OUT_TransportEnergyCons!$C$4:$C$10000)*1,ISNUMBER(SEARCH("T_C*ICE*dsl*s1",[1]OUT_TransportEnergyCons!$A$4:$A$10000))*1,[1]OUT_TransportEnergyCons!N$4:N$10000)</f>
        <v>2.3672655683518259E-5</v>
      </c>
      <c r="Q1941" s="1" cm="1">
        <f t="array" ref="Q1941">SUMPRODUCT(("Var_Cap"=[1]OUT_TransportEnergyCons!$B$4:$B$10000)*1,("-"=[1]OUT_TransportEnergyCons!$C$4:$C$10000)*1,ISNUMBER(SEARCH("T_C*ICE*dsl*s1",[1]OUT_TransportEnergyCons!$A$4:$A$10000))*1,[1]OUT_TransportEnergyCons!O$4:O$10000)</f>
        <v>2.1785774300111162E-5</v>
      </c>
      <c r="S1941" s="3"/>
    </row>
    <row r="1942" spans="2:19" x14ac:dyDescent="0.5">
      <c r="B1942" s="5" t="str">
        <f t="shared" si="2152"/>
        <v>SPS1</v>
      </c>
      <c r="C1942" s="5" t="str">
        <f t="shared" si="2153"/>
        <v>CH</v>
      </c>
      <c r="D1942" t="s">
        <v>1959</v>
      </c>
      <c r="E1942" t="str">
        <f t="shared" si="215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6.4568884613326591E-2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6.8527828098137442E-2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6.7962282772471586E-2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5.1569090636786705E-2</v>
      </c>
      <c r="J1942" s="1" cm="1">
        <f t="array" ref="J1942">SUMPRODUCT(("Var_Cap"=[1]OUT_TransportEnergyCons!$B$4:$B$10000)*1,("-"=[1]OUT_TransportEnergyCons!$C$4:$C$10000)*1,ISNUMBER(SEARCH("T_C*ICE*dsl*s2",[1]OUT_TransportEnergyCons!$A$4:$A$10000))*1,[1]OUT_TransportEnergyCons!H$4:H$10000)</f>
        <v>1.8989069971340514E-3</v>
      </c>
      <c r="K1942" s="1" cm="1">
        <f t="array" ref="K1942">SUMPRODUCT(("Var_Cap"=[1]OUT_TransportEnergyCons!$B$4:$B$10000)*1,("-"=[1]OUT_TransportEnergyCons!$C$4:$C$10000)*1,ISNUMBER(SEARCH("T_C*ICE*dsl*s2",[1]OUT_TransportEnergyCons!$A$4:$A$10000))*1,[1]OUT_TransportEnergyCons!I$4:I$10000)</f>
        <v>1.5064809322095561E-4</v>
      </c>
      <c r="L1942" s="1" cm="1">
        <f t="array" ref="L1942">SUMPRODUCT(("Var_Cap"=[1]OUT_TransportEnergyCons!$B$4:$B$10000)*1,("-"=[1]OUT_TransportEnergyCons!$C$4:$C$10000)*1,ISNUMBER(SEARCH("T_C*ICE*dsl*s2",[1]OUT_TransportEnergyCons!$A$4:$A$10000))*1,[1]OUT_TransportEnergyCons!J$4:J$10000)</f>
        <v>1.2183468588794647E-4</v>
      </c>
      <c r="M1942" s="1" cm="1">
        <f t="array" ref="M1942">SUMPRODUCT(("Var_Cap"=[1]OUT_TransportEnergyCons!$B$4:$B$10000)*1,("-"=[1]OUT_TransportEnergyCons!$C$4:$C$10000)*1,ISNUMBER(SEARCH("T_C*ICE*dsl*s2",[1]OUT_TransportEnergyCons!$A$4:$A$10000))*1,[1]OUT_TransportEnergyCons!K$4:K$10000)</f>
        <v>1.0467543043634028E-4</v>
      </c>
      <c r="N1942" s="1" cm="1">
        <f t="array" ref="N1942">SUMPRODUCT(("Var_Cap"=[1]OUT_TransportEnergyCons!$B$4:$B$10000)*1,("-"=[1]OUT_TransportEnergyCons!$C$4:$C$10000)*1,ISNUMBER(SEARCH("T_C*ICE*dsl*s2",[1]OUT_TransportEnergyCons!$A$4:$A$10000))*1,[1]OUT_TransportEnergyCons!L$4:L$10000)</f>
        <v>6.5379692419824696E-5</v>
      </c>
      <c r="O1942" s="1" cm="1">
        <f t="array" ref="O1942">SUMPRODUCT(("Var_Cap"=[1]OUT_TransportEnergyCons!$B$4:$B$10000)*1,("-"=[1]OUT_TransportEnergyCons!$C$4:$C$10000)*1,ISNUMBER(SEARCH("T_C*ICE*dsl*s2",[1]OUT_TransportEnergyCons!$A$4:$A$10000))*1,[1]OUT_TransportEnergyCons!M$4:M$10000)</f>
        <v>4.4440360261788522E-5</v>
      </c>
      <c r="P1942" s="1" cm="1">
        <f t="array" ref="P1942">SUMPRODUCT(("Var_Cap"=[1]OUT_TransportEnergyCons!$B$4:$B$10000)*1,("-"=[1]OUT_TransportEnergyCons!$C$4:$C$10000)*1,ISNUMBER(SEARCH("T_C*ICE*dsl*s2",[1]OUT_TransportEnergyCons!$A$4:$A$10000))*1,[1]OUT_TransportEnergyCons!N$4:N$10000)</f>
        <v>2.6425218864579562E-5</v>
      </c>
      <c r="Q1942" s="1" cm="1">
        <f t="array" ref="Q1942">SUMPRODUCT(("Var_Cap"=[1]OUT_TransportEnergyCons!$B$4:$B$10000)*1,("-"=[1]OUT_TransportEnergyCons!$C$4:$C$10000)*1,ISNUMBER(SEARCH("T_C*ICE*dsl*s2",[1]OUT_TransportEnergyCons!$A$4:$A$10000))*1,[1]OUT_TransportEnergyCons!O$4:O$10000)</f>
        <v>2.3638591730323194E-5</v>
      </c>
      <c r="S1942" s="3"/>
    </row>
    <row r="1943" spans="2:19" x14ac:dyDescent="0.5">
      <c r="B1943" s="5" t="str">
        <f t="shared" si="2152"/>
        <v>SPS1</v>
      </c>
      <c r="C1943" s="5" t="str">
        <f t="shared" si="2153"/>
        <v>CH</v>
      </c>
      <c r="D1943" t="s">
        <v>1960</v>
      </c>
      <c r="E1943" t="str">
        <f t="shared" si="215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0.18324065679495682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0.19502342222591013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0.19302468716498092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0.15000091110098634</v>
      </c>
      <c r="J1943" s="1" cm="1">
        <f t="array" ref="J1943">SUMPRODUCT(("Var_Cap"=[1]OUT_TransportEnergyCons!$B$4:$B$10000)*1,("-"=[1]OUT_TransportEnergyCons!$C$4:$C$10000)*1,ISNUMBER(SEARCH("T_C*ICE*dsl*s3",[1]OUT_TransportEnergyCons!$A$4:$A$10000))*1,[1]OUT_TransportEnergyCons!H$4:H$10000)</f>
        <v>5.7046351987930406E-3</v>
      </c>
      <c r="K1943" s="1" cm="1">
        <f t="array" ref="K1943">SUMPRODUCT(("Var_Cap"=[1]OUT_TransportEnergyCons!$B$4:$B$10000)*1,("-"=[1]OUT_TransportEnergyCons!$C$4:$C$10000)*1,ISNUMBER(SEARCH("T_C*ICE*dsl*s3",[1]OUT_TransportEnergyCons!$A$4:$A$10000))*1,[1]OUT_TransportEnergyCons!I$4:I$10000)</f>
        <v>1.0438095811564554E-4</v>
      </c>
      <c r="L1943" s="1" cm="1">
        <f t="array" ref="L1943">SUMPRODUCT(("Var_Cap"=[1]OUT_TransportEnergyCons!$B$4:$B$10000)*1,("-"=[1]OUT_TransportEnergyCons!$C$4:$C$10000)*1,ISNUMBER(SEARCH("T_C*ICE*dsl*s3",[1]OUT_TransportEnergyCons!$A$4:$A$10000))*1,[1]OUT_TransportEnergyCons!J$4:J$10000)</f>
        <v>9.4782064900451768E-5</v>
      </c>
      <c r="M1943" s="1" cm="1">
        <f t="array" ref="M1943">SUMPRODUCT(("Var_Cap"=[1]OUT_TransportEnergyCons!$B$4:$B$10000)*1,("-"=[1]OUT_TransportEnergyCons!$C$4:$C$10000)*1,ISNUMBER(SEARCH("T_C*ICE*dsl*s3",[1]OUT_TransportEnergyCons!$A$4:$A$10000))*1,[1]OUT_TransportEnergyCons!K$4:K$10000)</f>
        <v>1.1140879838633613E-4</v>
      </c>
      <c r="N1943" s="1" cm="1">
        <f t="array" ref="N1943">SUMPRODUCT(("Var_Cap"=[1]OUT_TransportEnergyCons!$B$4:$B$10000)*1,("-"=[1]OUT_TransportEnergyCons!$C$4:$C$10000)*1,ISNUMBER(SEARCH("T_C*ICE*dsl*s3",[1]OUT_TransportEnergyCons!$A$4:$A$10000))*1,[1]OUT_TransportEnergyCons!L$4:L$10000)</f>
        <v>8.269587767103804E-5</v>
      </c>
      <c r="O1943" s="1" cm="1">
        <f t="array" ref="O1943">SUMPRODUCT(("Var_Cap"=[1]OUT_TransportEnergyCons!$B$4:$B$10000)*1,("-"=[1]OUT_TransportEnergyCons!$C$4:$C$10000)*1,ISNUMBER(SEARCH("T_C*ICE*dsl*s3",[1]OUT_TransportEnergyCons!$A$4:$A$10000))*1,[1]OUT_TransportEnergyCons!M$4:M$10000)</f>
        <v>5.7959743555471906E-5</v>
      </c>
      <c r="P1943" s="1" cm="1">
        <f t="array" ref="P1943">SUMPRODUCT(("Var_Cap"=[1]OUT_TransportEnergyCons!$B$4:$B$10000)*1,("-"=[1]OUT_TransportEnergyCons!$C$4:$C$10000)*1,ISNUMBER(SEARCH("T_C*ICE*dsl*s3",[1]OUT_TransportEnergyCons!$A$4:$A$10000))*1,[1]OUT_TransportEnergyCons!N$4:N$10000)</f>
        <v>3.0418984316212464E-5</v>
      </c>
      <c r="Q1943" s="1" cm="1">
        <f t="array" ref="Q1943">SUMPRODUCT(("Var_Cap"=[1]OUT_TransportEnergyCons!$B$4:$B$10000)*1,("-"=[1]OUT_TransportEnergyCons!$C$4:$C$10000)*1,ISNUMBER(SEARCH("T_C*ICE*dsl*s3",[1]OUT_TransportEnergyCons!$A$4:$A$10000))*1,[1]OUT_TransportEnergyCons!O$4:O$10000)</f>
        <v>2.4937689343473053E-5</v>
      </c>
      <c r="S1943" s="3"/>
    </row>
    <row r="1944" spans="2:19" x14ac:dyDescent="0.5">
      <c r="B1944" s="5" t="str">
        <f t="shared" si="2152"/>
        <v>SPS1</v>
      </c>
      <c r="C1944" s="5" t="str">
        <f t="shared" si="2153"/>
        <v>CH</v>
      </c>
      <c r="D1944" t="s">
        <v>1961</v>
      </c>
      <c r="E1944" t="str">
        <f t="shared" si="215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7.1261627596049676E-2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7.9347640444130479E-2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7.8228735280704467E-2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6.1090307893436849E-2</v>
      </c>
      <c r="J1944" s="1" cm="1">
        <f t="array" ref="J1944">SUMPRODUCT(("Var_Cap"=[1]OUT_TransportEnergyCons!$B$4:$B$10000)*1,("-"=[1]OUT_TransportEnergyCons!$C$4:$C$10000)*1,ISNUMBER(SEARCH("T_C*ICE*dsl*s4",[1]OUT_TransportEnergyCons!$A$4:$A$10000))*1,[1]OUT_TransportEnergyCons!H$4:H$10000)</f>
        <v>3.424196195376066E-3</v>
      </c>
      <c r="K1944" s="1" cm="1">
        <f t="array" ref="K1944">SUMPRODUCT(("Var_Cap"=[1]OUT_TransportEnergyCons!$B$4:$B$10000)*1,("-"=[1]OUT_TransportEnergyCons!$C$4:$C$10000)*1,ISNUMBER(SEARCH("T_C*ICE*dsl*s4",[1]OUT_TransportEnergyCons!$A$4:$A$10000))*1,[1]OUT_TransportEnergyCons!I$4:I$10000)</f>
        <v>9.0708035562000298E-5</v>
      </c>
      <c r="L1944" s="1" cm="1">
        <f t="array" ref="L1944">SUMPRODUCT(("Var_Cap"=[1]OUT_TransportEnergyCons!$B$4:$B$10000)*1,("-"=[1]OUT_TransportEnergyCons!$C$4:$C$10000)*1,ISNUMBER(SEARCH("T_C*ICE*dsl*s4",[1]OUT_TransportEnergyCons!$A$4:$A$10000))*1,[1]OUT_TransportEnergyCons!J$4:J$10000)</f>
        <v>9.0437421591315408E-5</v>
      </c>
      <c r="M1944" s="1" cm="1">
        <f t="array" ref="M1944">SUMPRODUCT(("Var_Cap"=[1]OUT_TransportEnergyCons!$B$4:$B$10000)*1,("-"=[1]OUT_TransportEnergyCons!$C$4:$C$10000)*1,ISNUMBER(SEARCH("T_C*ICE*dsl*s4",[1]OUT_TransportEnergyCons!$A$4:$A$10000))*1,[1]OUT_TransportEnergyCons!K$4:K$10000)</f>
        <v>1.1563391663549302E-4</v>
      </c>
      <c r="N1944" s="1" cm="1">
        <f t="array" ref="N1944">SUMPRODUCT(("Var_Cap"=[1]OUT_TransportEnergyCons!$B$4:$B$10000)*1,("-"=[1]OUT_TransportEnergyCons!$C$4:$C$10000)*1,ISNUMBER(SEARCH("T_C*ICE*dsl*s4",[1]OUT_TransportEnergyCons!$A$4:$A$10000))*1,[1]OUT_TransportEnergyCons!L$4:L$10000)</f>
        <v>8.5764849670299723E-5</v>
      </c>
      <c r="O1944" s="1" cm="1">
        <f t="array" ref="O1944">SUMPRODUCT(("Var_Cap"=[1]OUT_TransportEnergyCons!$B$4:$B$10000)*1,("-"=[1]OUT_TransportEnergyCons!$C$4:$C$10000)*1,ISNUMBER(SEARCH("T_C*ICE*dsl*s4",[1]OUT_TransportEnergyCons!$A$4:$A$10000))*1,[1]OUT_TransportEnergyCons!M$4:M$10000)</f>
        <v>5.9253433493218389E-5</v>
      </c>
      <c r="P1944" s="1" cm="1">
        <f t="array" ref="P1944">SUMPRODUCT(("Var_Cap"=[1]OUT_TransportEnergyCons!$B$4:$B$10000)*1,("-"=[1]OUT_TransportEnergyCons!$C$4:$C$10000)*1,ISNUMBER(SEARCH("T_C*ICE*dsl*s4",[1]OUT_TransportEnergyCons!$A$4:$A$10000))*1,[1]OUT_TransportEnergyCons!N$4:N$10000)</f>
        <v>2.8774470070940109E-5</v>
      </c>
      <c r="Q1944" s="1" cm="1">
        <f t="array" ref="Q1944">SUMPRODUCT(("Var_Cap"=[1]OUT_TransportEnergyCons!$B$4:$B$10000)*1,("-"=[1]OUT_TransportEnergyCons!$C$4:$C$10000)*1,ISNUMBER(SEARCH("T_C*ICE*dsl*s4",[1]OUT_TransportEnergyCons!$A$4:$A$10000))*1,[1]OUT_TransportEnergyCons!O$4:O$10000)</f>
        <v>2.3284143509074171E-5</v>
      </c>
      <c r="S1944" s="3"/>
    </row>
    <row r="1945" spans="2:19" x14ac:dyDescent="0.5">
      <c r="B1945" s="5" t="str">
        <f t="shared" si="2152"/>
        <v>SPS1</v>
      </c>
      <c r="C1945" s="5" t="str">
        <f t="shared" si="2153"/>
        <v>CH</v>
      </c>
      <c r="D1945" t="s">
        <v>1962</v>
      </c>
      <c r="E1945" t="str">
        <f t="shared" si="215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3.4940656674528401E-5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7.5446010647818501E-2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0.20407020482857599</v>
      </c>
      <c r="J1945" s="1" cm="1">
        <f t="array" ref="J1945">SUMPRODUCT(("Var_Cap"=[1]OUT_TransportEnergyCons!$B$4:$B$10000)*1,("-"=[1]OUT_TransportEnergyCons!$C$4:$C$10000)*1,ISNUMBER(SEARCH("T_C*mhy*dsl*s1",[1]OUT_TransportEnergyCons!$A$4:$A$10000))*1,[1]OUT_TransportEnergyCons!H$4:H$10000)</f>
        <v>0.187109097710939</v>
      </c>
      <c r="K1945" s="1" cm="1">
        <f t="array" ref="K1945">SUMPRODUCT(("Var_Cap"=[1]OUT_TransportEnergyCons!$B$4:$B$10000)*1,("-"=[1]OUT_TransportEnergyCons!$C$4:$C$10000)*1,ISNUMBER(SEARCH("T_C*mhy*dsl*s1",[1]OUT_TransportEnergyCons!$A$4:$A$10000))*1,[1]OUT_TransportEnergyCons!I$4:I$10000)</f>
        <v>0.11760141923909601</v>
      </c>
      <c r="L1945" s="1" cm="1">
        <f t="array" ref="L1945">SUMPRODUCT(("Var_Cap"=[1]OUT_TransportEnergyCons!$B$4:$B$10000)*1,("-"=[1]OUT_TransportEnergyCons!$C$4:$C$10000)*1,ISNUMBER(SEARCH("T_C*mhy*dsl*s1",[1]OUT_TransportEnergyCons!$A$4:$A$10000))*1,[1]OUT_TransportEnergyCons!J$4:J$10000)</f>
        <v>3.3926021260900698E-2</v>
      </c>
      <c r="M1945" s="1" cm="1">
        <f t="array" ref="M1945">SUMPRODUCT(("Var_Cap"=[1]OUT_TransportEnergyCons!$B$4:$B$10000)*1,("-"=[1]OUT_TransportEnergyCons!$C$4:$C$10000)*1,ISNUMBER(SEARCH("T_C*mhy*dsl*s1",[1]OUT_TransportEnergyCons!$A$4:$A$10000))*1,[1]OUT_TransportEnergyCons!K$4:K$10000)</f>
        <v>1.2019224480567499E-2</v>
      </c>
      <c r="N1945" s="1" cm="1">
        <f t="array" ref="N1945">SUMPRODUCT(("Var_Cap"=[1]OUT_TransportEnergyCons!$B$4:$B$10000)*1,("-"=[1]OUT_TransportEnergyCons!$C$4:$C$10000)*1,ISNUMBER(SEARCH("T_C*mhy*dsl*s1",[1]OUT_TransportEnergyCons!$A$4:$A$10000))*1,[1]OUT_TransportEnergyCons!L$4:L$10000)</f>
        <v>1.6105862132687701E-3</v>
      </c>
      <c r="O1945" s="1" cm="1">
        <f t="array" ref="O1945">SUMPRODUCT(("Var_Cap"=[1]OUT_TransportEnergyCons!$B$4:$B$10000)*1,("-"=[1]OUT_TransportEnergyCons!$C$4:$C$10000)*1,ISNUMBER(SEARCH("T_C*mhy*dsl*s1",[1]OUT_TransportEnergyCons!$A$4:$A$10000))*1,[1]OUT_TransportEnergyCons!M$4:M$10000)</f>
        <v>1.41986639872402E-4</v>
      </c>
      <c r="P1945" s="1" cm="1">
        <f t="array" ref="P1945">SUMPRODUCT(("Var_Cap"=[1]OUT_TransportEnergyCons!$B$4:$B$10000)*1,("-"=[1]OUT_TransportEnergyCons!$C$4:$C$10000)*1,ISNUMBER(SEARCH("T_C*mhy*dsl*s1",[1]OUT_TransportEnergyCons!$A$4:$A$10000))*1,[1]OUT_TransportEnergyCons!N$4:N$10000)</f>
        <v>1.6162883401384801E-4</v>
      </c>
      <c r="Q1945" s="1" cm="1">
        <f t="array" ref="Q1945">SUMPRODUCT(("Var_Cap"=[1]OUT_TransportEnergyCons!$B$4:$B$10000)*1,("-"=[1]OUT_TransportEnergyCons!$C$4:$C$10000)*1,ISNUMBER(SEARCH("T_C*mhy*dsl*s1",[1]OUT_TransportEnergyCons!$A$4:$A$10000))*1,[1]OUT_TransportEnergyCons!O$4:O$10000)</f>
        <v>1.6855104329039299E-4</v>
      </c>
      <c r="S1945" s="3"/>
    </row>
    <row r="1946" spans="2:19" x14ac:dyDescent="0.5">
      <c r="B1946" s="5" t="str">
        <f t="shared" si="2152"/>
        <v>SPS1</v>
      </c>
      <c r="C1946" s="5" t="str">
        <f t="shared" si="2153"/>
        <v>CH</v>
      </c>
      <c r="D1946" t="s">
        <v>1963</v>
      </c>
      <c r="E1946" t="str">
        <f t="shared" si="215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1.4949634977937899E-5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1.2772049214608699E-4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2.5300377601962699E-4</v>
      </c>
      <c r="J1946" s="1" cm="1">
        <f t="array" ref="J1946">SUMPRODUCT(("Var_Cap"=[1]OUT_TransportEnergyCons!$B$4:$B$10000)*1,("-"=[1]OUT_TransportEnergyCons!$C$4:$C$10000)*1,ISNUMBER(SEARCH("T_C*mhy*dsl*s2",[1]OUT_TransportEnergyCons!$A$4:$A$10000))*1,[1]OUT_TransportEnergyCons!H$4:H$10000)</f>
        <v>7.2108575667259697E-4</v>
      </c>
      <c r="K1946" s="1" cm="1">
        <f t="array" ref="K1946">SUMPRODUCT(("Var_Cap"=[1]OUT_TransportEnergyCons!$B$4:$B$10000)*1,("-"=[1]OUT_TransportEnergyCons!$C$4:$C$10000)*1,ISNUMBER(SEARCH("T_C*mhy*dsl*s2",[1]OUT_TransportEnergyCons!$A$4:$A$10000))*1,[1]OUT_TransportEnergyCons!I$4:I$10000)</f>
        <v>7.7952013352367803E-4</v>
      </c>
      <c r="L1946" s="1" cm="1">
        <f t="array" ref="L1946">SUMPRODUCT(("Var_Cap"=[1]OUT_TransportEnergyCons!$B$4:$B$10000)*1,("-"=[1]OUT_TransportEnergyCons!$C$4:$C$10000)*1,ISNUMBER(SEARCH("T_C*mhy*dsl*s2",[1]OUT_TransportEnergyCons!$A$4:$A$10000))*1,[1]OUT_TransportEnergyCons!J$4:J$10000)</f>
        <v>6.1991064163902305E-4</v>
      </c>
      <c r="M1946" s="1" cm="1">
        <f t="array" ref="M1946">SUMPRODUCT(("Var_Cap"=[1]OUT_TransportEnergyCons!$B$4:$B$10000)*1,("-"=[1]OUT_TransportEnergyCons!$C$4:$C$10000)*1,ISNUMBER(SEARCH("T_C*mhy*dsl*s2",[1]OUT_TransportEnergyCons!$A$4:$A$10000))*1,[1]OUT_TransportEnergyCons!K$4:K$10000)</f>
        <v>2.9446186697308402E-4</v>
      </c>
      <c r="N1946" s="1" cm="1">
        <f t="array" ref="N1946">SUMPRODUCT(("Var_Cap"=[1]OUT_TransportEnergyCons!$B$4:$B$10000)*1,("-"=[1]OUT_TransportEnergyCons!$C$4:$C$10000)*1,ISNUMBER(SEARCH("T_C*mhy*dsl*s2",[1]OUT_TransportEnergyCons!$A$4:$A$10000))*1,[1]OUT_TransportEnergyCons!L$4:L$10000)</f>
        <v>1.9803190827860301E-4</v>
      </c>
      <c r="O1946" s="1" cm="1">
        <f t="array" ref="O1946">SUMPRODUCT(("Var_Cap"=[1]OUT_TransportEnergyCons!$B$4:$B$10000)*1,("-"=[1]OUT_TransportEnergyCons!$C$4:$C$10000)*1,ISNUMBER(SEARCH("T_C*mhy*dsl*s2",[1]OUT_TransportEnergyCons!$A$4:$A$10000))*1,[1]OUT_TransportEnergyCons!M$4:M$10000)</f>
        <v>2.47172700683772E-4</v>
      </c>
      <c r="P1946" s="1" cm="1">
        <f t="array" ref="P1946">SUMPRODUCT(("Var_Cap"=[1]OUT_TransportEnergyCons!$B$4:$B$10000)*1,("-"=[1]OUT_TransportEnergyCons!$C$4:$C$10000)*1,ISNUMBER(SEARCH("T_C*mhy*dsl*s2",[1]OUT_TransportEnergyCons!$A$4:$A$10000))*1,[1]OUT_TransportEnergyCons!N$4:N$10000)</f>
        <v>3.5494638751080098E-4</v>
      </c>
      <c r="Q1946" s="1" cm="1">
        <f t="array" ref="Q1946">SUMPRODUCT(("Var_Cap"=[1]OUT_TransportEnergyCons!$B$4:$B$10000)*1,("-"=[1]OUT_TransportEnergyCons!$C$4:$C$10000)*1,ISNUMBER(SEARCH("T_C*mhy*dsl*s2",[1]OUT_TransportEnergyCons!$A$4:$A$10000))*1,[1]OUT_TransportEnergyCons!O$4:O$10000)</f>
        <v>4.8099561485643298E-4</v>
      </c>
      <c r="S1946" s="3"/>
    </row>
    <row r="1947" spans="2:19" x14ac:dyDescent="0.5">
      <c r="B1947" s="5" t="str">
        <f t="shared" si="2152"/>
        <v>SPS1</v>
      </c>
      <c r="C1947" s="5" t="str">
        <f t="shared" si="2153"/>
        <v>CH</v>
      </c>
      <c r="D1947" t="s">
        <v>1964</v>
      </c>
      <c r="E1947" t="str">
        <f t="shared" si="215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1.8716437097323402E-5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8.5932950180517997E-5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1.6409800398578699E-4</v>
      </c>
      <c r="J1947" s="1" cm="1">
        <f t="array" ref="J1947">SUMPRODUCT(("Var_Cap"=[1]OUT_TransportEnergyCons!$B$4:$B$10000)*1,("-"=[1]OUT_TransportEnergyCons!$C$4:$C$10000)*1,ISNUMBER(SEARCH("T_C*mhy*dsl*s3",[1]OUT_TransportEnergyCons!$A$4:$A$10000))*1,[1]OUT_TransportEnergyCons!H$4:H$10000)</f>
        <v>2.5367920248983802E-3</v>
      </c>
      <c r="K1947" s="1" cm="1">
        <f t="array" ref="K1947">SUMPRODUCT(("Var_Cap"=[1]OUT_TransportEnergyCons!$B$4:$B$10000)*1,("-"=[1]OUT_TransportEnergyCons!$C$4:$C$10000)*1,ISNUMBER(SEARCH("T_C*mhy*dsl*s3",[1]OUT_TransportEnergyCons!$A$4:$A$10000))*1,[1]OUT_TransportEnergyCons!I$4:I$10000)</f>
        <v>4.2782182390712097E-2</v>
      </c>
      <c r="L1947" s="1" cm="1">
        <f t="array" ref="L1947">SUMPRODUCT(("Var_Cap"=[1]OUT_TransportEnergyCons!$B$4:$B$10000)*1,("-"=[1]OUT_TransportEnergyCons!$C$4:$C$10000)*1,ISNUMBER(SEARCH("T_C*mhy*dsl*s3",[1]OUT_TransportEnergyCons!$A$4:$A$10000))*1,[1]OUT_TransportEnergyCons!J$4:J$10000)</f>
        <v>8.8041458413932697E-2</v>
      </c>
      <c r="M1947" s="1" cm="1">
        <f t="array" ref="M1947">SUMPRODUCT(("Var_Cap"=[1]OUT_TransportEnergyCons!$B$4:$B$10000)*1,("-"=[1]OUT_TransportEnergyCons!$C$4:$C$10000)*1,ISNUMBER(SEARCH("T_C*mhy*dsl*s3",[1]OUT_TransportEnergyCons!$A$4:$A$10000))*1,[1]OUT_TransportEnergyCons!K$4:K$10000)</f>
        <v>0.10106236255541599</v>
      </c>
      <c r="N1947" s="1" cm="1">
        <f t="array" ref="N1947">SUMPRODUCT(("Var_Cap"=[1]OUT_TransportEnergyCons!$B$4:$B$10000)*1,("-"=[1]OUT_TransportEnergyCons!$C$4:$C$10000)*1,ISNUMBER(SEARCH("T_C*mhy*dsl*s3",[1]OUT_TransportEnergyCons!$A$4:$A$10000))*1,[1]OUT_TransportEnergyCons!L$4:L$10000)</f>
        <v>0.107493835282336</v>
      </c>
      <c r="O1947" s="1" cm="1">
        <f t="array" ref="O1947">SUMPRODUCT(("Var_Cap"=[1]OUT_TransportEnergyCons!$B$4:$B$10000)*1,("-"=[1]OUT_TransportEnergyCons!$C$4:$C$10000)*1,ISNUMBER(SEARCH("T_C*mhy*dsl*s3",[1]OUT_TransportEnergyCons!$A$4:$A$10000))*1,[1]OUT_TransportEnergyCons!M$4:M$10000)</f>
        <v>0.108484403233909</v>
      </c>
      <c r="P1947" s="1" cm="1">
        <f t="array" ref="P1947">SUMPRODUCT(("Var_Cap"=[1]OUT_TransportEnergyCons!$B$4:$B$10000)*1,("-"=[1]OUT_TransportEnergyCons!$C$4:$C$10000)*1,ISNUMBER(SEARCH("T_C*mhy*dsl*s3",[1]OUT_TransportEnergyCons!$A$4:$A$10000))*1,[1]OUT_TransportEnergyCons!N$4:N$10000)</f>
        <v>0.105948331211293</v>
      </c>
      <c r="Q1947" s="1" cm="1">
        <f t="array" ref="Q1947">SUMPRODUCT(("Var_Cap"=[1]OUT_TransportEnergyCons!$B$4:$B$10000)*1,("-"=[1]OUT_TransportEnergyCons!$C$4:$C$10000)*1,ISNUMBER(SEARCH("T_C*mhy*dsl*s3",[1]OUT_TransportEnergyCons!$A$4:$A$10000))*1,[1]OUT_TransportEnergyCons!O$4:O$10000)</f>
        <v>0.10914327216754199</v>
      </c>
      <c r="S1947" s="3"/>
    </row>
    <row r="1948" spans="2:19" x14ac:dyDescent="0.5">
      <c r="B1948" s="5" t="str">
        <f t="shared" si="2152"/>
        <v>SPS1</v>
      </c>
      <c r="C1948" s="5" t="str">
        <f t="shared" si="2153"/>
        <v>CH</v>
      </c>
      <c r="D1948" t="s">
        <v>1965</v>
      </c>
      <c r="E1948" t="str">
        <f t="shared" si="215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1.30343657096087E-5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3.88476439477555E-5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5.9553961451091E-5</v>
      </c>
      <c r="J1948" s="1" cm="1">
        <f t="array" ref="J1948">SUMPRODUCT(("Var_Cap"=[1]OUT_TransportEnergyCons!$B$4:$B$10000)*1,("-"=[1]OUT_TransportEnergyCons!$C$4:$C$10000)*1,ISNUMBER(SEARCH("T_C*mhy*dsl*s4",[1]OUT_TransportEnergyCons!$A$4:$A$10000))*1,[1]OUT_TransportEnergyCons!H$4:H$10000)</f>
        <v>1.02501065297263E-4</v>
      </c>
      <c r="K1948" s="1" cm="1">
        <f t="array" ref="K1948">SUMPRODUCT(("Var_Cap"=[1]OUT_TransportEnergyCons!$B$4:$B$10000)*1,("-"=[1]OUT_TransportEnergyCons!$C$4:$C$10000)*1,ISNUMBER(SEARCH("T_C*mhy*dsl*s4",[1]OUT_TransportEnergyCons!$A$4:$A$10000))*1,[1]OUT_TransportEnergyCons!I$4:I$10000)</f>
        <v>2.14903400300582E-4</v>
      </c>
      <c r="L1948" s="1" cm="1">
        <f t="array" ref="L1948">SUMPRODUCT(("Var_Cap"=[1]OUT_TransportEnergyCons!$B$4:$B$10000)*1,("-"=[1]OUT_TransportEnergyCons!$C$4:$C$10000)*1,ISNUMBER(SEARCH("T_C*mhy*dsl*s4",[1]OUT_TransportEnergyCons!$A$4:$A$10000))*1,[1]OUT_TransportEnergyCons!J$4:J$10000)</f>
        <v>3.19958195401563E-4</v>
      </c>
      <c r="M1948" s="1" cm="1">
        <f t="array" ref="M1948">SUMPRODUCT(("Var_Cap"=[1]OUT_TransportEnergyCons!$B$4:$B$10000)*1,("-"=[1]OUT_TransportEnergyCons!$C$4:$C$10000)*1,ISNUMBER(SEARCH("T_C*mhy*dsl*s4",[1]OUT_TransportEnergyCons!$A$4:$A$10000))*1,[1]OUT_TransportEnergyCons!K$4:K$10000)</f>
        <v>5.4115401376635998E-4</v>
      </c>
      <c r="N1948" s="1" cm="1">
        <f t="array" ref="N1948">SUMPRODUCT(("Var_Cap"=[1]OUT_TransportEnergyCons!$B$4:$B$10000)*1,("-"=[1]OUT_TransportEnergyCons!$C$4:$C$10000)*1,ISNUMBER(SEARCH("T_C*mhy*dsl*s4",[1]OUT_TransportEnergyCons!$A$4:$A$10000))*1,[1]OUT_TransportEnergyCons!L$4:L$10000)</f>
        <v>5.9525404835031098E-4</v>
      </c>
      <c r="O1948" s="1" cm="1">
        <f t="array" ref="O1948">SUMPRODUCT(("Var_Cap"=[1]OUT_TransportEnergyCons!$B$4:$B$10000)*1,("-"=[1]OUT_TransportEnergyCons!$C$4:$C$10000)*1,ISNUMBER(SEARCH("T_C*mhy*dsl*s4",[1]OUT_TransportEnergyCons!$A$4:$A$10000))*1,[1]OUT_TransportEnergyCons!M$4:M$10000)</f>
        <v>4.9633696389647295E-4</v>
      </c>
      <c r="P1948" s="1" cm="1">
        <f t="array" ref="P1948">SUMPRODUCT(("Var_Cap"=[1]OUT_TransportEnergyCons!$B$4:$B$10000)*1,("-"=[1]OUT_TransportEnergyCons!$C$4:$C$10000)*1,ISNUMBER(SEARCH("T_C*mhy*dsl*s4",[1]OUT_TransportEnergyCons!$A$4:$A$10000))*1,[1]OUT_TransportEnergyCons!N$4:N$10000)</f>
        <v>3.1011979594966802E-4</v>
      </c>
      <c r="Q1948" s="1" cm="1">
        <f t="array" ref="Q1948">SUMPRODUCT(("Var_Cap"=[1]OUT_TransportEnergyCons!$B$4:$B$10000)*1,("-"=[1]OUT_TransportEnergyCons!$C$4:$C$10000)*1,ISNUMBER(SEARCH("T_C*mhy*dsl*s4",[1]OUT_TransportEnergyCons!$A$4:$A$10000))*1,[1]OUT_TransportEnergyCons!O$4:O$10000)</f>
        <v>3.0637434491623201E-4</v>
      </c>
      <c r="S1948" s="3"/>
    </row>
    <row r="1949" spans="2:19" x14ac:dyDescent="0.5">
      <c r="B1949" s="5" t="str">
        <f t="shared" si="2152"/>
        <v>SPS1</v>
      </c>
      <c r="C1949" s="5" t="str">
        <f t="shared" si="2153"/>
        <v>CH</v>
      </c>
      <c r="D1949" t="s">
        <v>1966</v>
      </c>
      <c r="E1949" t="str">
        <f t="shared" si="215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SUMPRODUCT(("Var_Cap"=[1]OUT_TransportEnergyCons!$B$4:$B$10000)*1,("-"=[1]OUT_TransportEnergyCons!$C$4:$C$10000)*1,ISNUMBER(SEARCH("T_C*ICE*nga*ext",[1]OUT_TransportEnergyCons!$A$4:$A$10000))*1,[1]OUT_TransportEnergyCons!H$4:H$10000)</f>
        <v>0</v>
      </c>
      <c r="K1949" s="1" cm="1">
        <f t="array" ref="K1949">SUMPRODUCT(("Var_Cap"=[1]OUT_TransportEnergyCons!$B$4:$B$10000)*1,("-"=[1]OUT_TransportEnergyCons!$C$4:$C$10000)*1,ISNUMBER(SEARCH("T_C*ICE*nga*ext",[1]OUT_TransportEnergyCons!$A$4:$A$10000))*1,[1]OUT_TransportEnergyCons!I$4:I$10000)</f>
        <v>0</v>
      </c>
      <c r="L1949" s="1" cm="1">
        <f t="array" ref="L1949">SUMPRODUCT(("Var_Cap"=[1]OUT_TransportEnergyCons!$B$4:$B$10000)*1,("-"=[1]OUT_TransportEnergyCons!$C$4:$C$10000)*1,ISNUMBER(SEARCH("T_C*ICE*nga*ext",[1]OUT_TransportEnergyCons!$A$4:$A$10000))*1,[1]OUT_TransportEnergyCons!J$4:J$10000)</f>
        <v>0</v>
      </c>
      <c r="M1949" s="1" cm="1">
        <f t="array" ref="M1949">SUMPRODUCT(("Var_Cap"=[1]OUT_TransportEnergyCons!$B$4:$B$10000)*1,("-"=[1]OUT_TransportEnergyCons!$C$4:$C$10000)*1,ISNUMBER(SEARCH("T_C*ICE*nga*ext",[1]OUT_TransportEnergyCons!$A$4:$A$10000))*1,[1]OUT_TransportEnergyCons!K$4:K$10000)</f>
        <v>0</v>
      </c>
      <c r="N1949" s="1" cm="1">
        <f t="array" ref="N1949">SUMPRODUCT(("Var_Cap"=[1]OUT_TransportEnergyCons!$B$4:$B$10000)*1,("-"=[1]OUT_TransportEnergyCons!$C$4:$C$10000)*1,ISNUMBER(SEARCH("T_C*ICE*nga*ext",[1]OUT_TransportEnergyCons!$A$4:$A$10000))*1,[1]OUT_TransportEnergyCons!L$4:L$10000)</f>
        <v>0</v>
      </c>
      <c r="O1949" s="1" cm="1">
        <f t="array" ref="O1949">SUMPRODUCT(("Var_Cap"=[1]OUT_TransportEnergyCons!$B$4:$B$10000)*1,("-"=[1]OUT_TransportEnergyCons!$C$4:$C$10000)*1,ISNUMBER(SEARCH("T_C*ICE*nga*ext",[1]OUT_TransportEnergyCons!$A$4:$A$10000))*1,[1]OUT_TransportEnergyCons!M$4:M$10000)</f>
        <v>0</v>
      </c>
      <c r="P1949" s="1" cm="1">
        <f t="array" ref="P1949">SUMPRODUCT(("Var_Cap"=[1]OUT_TransportEnergyCons!$B$4:$B$10000)*1,("-"=[1]OUT_TransportEnergyCons!$C$4:$C$10000)*1,ISNUMBER(SEARCH("T_C*ICE*nga*ext",[1]OUT_TransportEnergyCons!$A$4:$A$10000))*1,[1]OUT_TransportEnergyCons!N$4:N$10000)</f>
        <v>0</v>
      </c>
      <c r="Q1949" s="1" cm="1">
        <f t="array" ref="Q1949">SUMPRODUCT(("Var_Cap"=[1]OUT_TransportEnergyCons!$B$4:$B$10000)*1,("-"=[1]OUT_TransportEnergyCons!$C$4:$C$10000)*1,ISNUMBER(SEARCH("T_C*ICE*nga*ext",[1]OUT_TransportEnergyCons!$A$4:$A$10000))*1,[1]OUT_TransportEnergyCons!O$4:O$10000)</f>
        <v>0</v>
      </c>
      <c r="S1949" s="3"/>
    </row>
    <row r="1950" spans="2:19" x14ac:dyDescent="0.5">
      <c r="B1950" s="5" t="str">
        <f t="shared" si="2152"/>
        <v>SPS1</v>
      </c>
      <c r="C1950" s="5" t="str">
        <f t="shared" si="2153"/>
        <v>CH</v>
      </c>
      <c r="D1950" t="s">
        <v>1967</v>
      </c>
      <c r="E1950" t="str">
        <f t="shared" si="215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2.5562629945771975E-4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1.9575148915846935E-4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1.9791812203125934E-4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1.2794665138733099E-5</v>
      </c>
      <c r="J1950" s="1" cm="1">
        <f t="array" ref="J1950">SUMPRODUCT(("Var_Cap"=[1]OUT_TransportEnergyCons!$B$4:$B$10000)*1,("-"=[1]OUT_TransportEnergyCons!$C$4:$C$10000)*1,ISNUMBER(SEARCH("T_C*ICE*nga*s1",[1]OUT_TransportEnergyCons!$A$4:$A$10000))*1,[1]OUT_TransportEnergyCons!H$4:H$10000)</f>
        <v>6.3908627156393299E-6</v>
      </c>
      <c r="K1950" s="1" cm="1">
        <f t="array" ref="K1950">SUMPRODUCT(("Var_Cap"=[1]OUT_TransportEnergyCons!$B$4:$B$10000)*1,("-"=[1]OUT_TransportEnergyCons!$C$4:$C$10000)*1,ISNUMBER(SEARCH("T_C*ICE*nga*s1",[1]OUT_TransportEnergyCons!$A$4:$A$10000))*1,[1]OUT_TransportEnergyCons!I$4:I$10000)</f>
        <v>5.2131162665457489E-6</v>
      </c>
      <c r="L1950" s="1" cm="1">
        <f t="array" ref="L1950">SUMPRODUCT(("Var_Cap"=[1]OUT_TransportEnergyCons!$B$4:$B$10000)*1,("-"=[1]OUT_TransportEnergyCons!$C$4:$C$10000)*1,ISNUMBER(SEARCH("T_C*ICE*nga*s1",[1]OUT_TransportEnergyCons!$A$4:$A$10000))*1,[1]OUT_TransportEnergyCons!J$4:J$10000)</f>
        <v>5.0283512257197302E-6</v>
      </c>
      <c r="M1950" s="1" cm="1">
        <f t="array" ref="M1950">SUMPRODUCT(("Var_Cap"=[1]OUT_TransportEnergyCons!$B$4:$B$10000)*1,("-"=[1]OUT_TransportEnergyCons!$C$4:$C$10000)*1,ISNUMBER(SEARCH("T_C*ICE*nga*s1",[1]OUT_TransportEnergyCons!$A$4:$A$10000))*1,[1]OUT_TransportEnergyCons!K$4:K$10000)</f>
        <v>5.3972321142680876E-6</v>
      </c>
      <c r="N1950" s="1" cm="1">
        <f t="array" ref="N1950">SUMPRODUCT(("Var_Cap"=[1]OUT_TransportEnergyCons!$B$4:$B$10000)*1,("-"=[1]OUT_TransportEnergyCons!$C$4:$C$10000)*1,ISNUMBER(SEARCH("T_C*ICE*nga*s1",[1]OUT_TransportEnergyCons!$A$4:$A$10000))*1,[1]OUT_TransportEnergyCons!L$4:L$10000)</f>
        <v>5.2666299220713731E-6</v>
      </c>
      <c r="O1950" s="1" cm="1">
        <f t="array" ref="O1950">SUMPRODUCT(("Var_Cap"=[1]OUT_TransportEnergyCons!$B$4:$B$10000)*1,("-"=[1]OUT_TransportEnergyCons!$C$4:$C$10000)*1,ISNUMBER(SEARCH("T_C*ICE*nga*s1",[1]OUT_TransportEnergyCons!$A$4:$A$10000))*1,[1]OUT_TransportEnergyCons!M$4:M$10000)</f>
        <v>5.6622425491456819E-6</v>
      </c>
      <c r="P1950" s="1" cm="1">
        <f t="array" ref="P1950">SUMPRODUCT(("Var_Cap"=[1]OUT_TransportEnergyCons!$B$4:$B$10000)*1,("-"=[1]OUT_TransportEnergyCons!$C$4:$C$10000)*1,ISNUMBER(SEARCH("T_C*ICE*nga*s1",[1]OUT_TransportEnergyCons!$A$4:$A$10000))*1,[1]OUT_TransportEnergyCons!N$4:N$10000)</f>
        <v>6.0067895090611632E-6</v>
      </c>
      <c r="Q1950" s="1" cm="1">
        <f t="array" ref="Q1950">SUMPRODUCT(("Var_Cap"=[1]OUT_TransportEnergyCons!$B$4:$B$10000)*1,("-"=[1]OUT_TransportEnergyCons!$C$4:$C$10000)*1,ISNUMBER(SEARCH("T_C*ICE*nga*s1",[1]OUT_TransportEnergyCons!$A$4:$A$10000))*1,[1]OUT_TransportEnergyCons!O$4:O$10000)</f>
        <v>6.4481330315067258E-6</v>
      </c>
      <c r="S1950" s="3"/>
    </row>
    <row r="1951" spans="2:19" x14ac:dyDescent="0.5">
      <c r="B1951" s="5" t="str">
        <f t="shared" si="2152"/>
        <v>SPS1</v>
      </c>
      <c r="C1951" s="5" t="str">
        <f t="shared" si="2153"/>
        <v>CH</v>
      </c>
      <c r="D1951" t="s">
        <v>1968</v>
      </c>
      <c r="E1951" t="str">
        <f t="shared" si="215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2.387895410380439E-3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2.304234507399461E-3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2.2778611520365161E-3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5.4404112842759526E-6</v>
      </c>
      <c r="J1951" s="1" cm="1">
        <f t="array" ref="J1951">SUMPRODUCT(("Var_Cap"=[1]OUT_TransportEnergyCons!$B$4:$B$10000)*1,("-"=[1]OUT_TransportEnergyCons!$C$4:$C$10000)*1,ISNUMBER(SEARCH("T_C*ICE*nga*s2",[1]OUT_TransportEnergyCons!$A$4:$A$10000))*1,[1]OUT_TransportEnergyCons!H$4:H$10000)</f>
        <v>5.7312203962122836E-6</v>
      </c>
      <c r="K1951" s="1" cm="1">
        <f t="array" ref="K1951">SUMPRODUCT(("Var_Cap"=[1]OUT_TransportEnergyCons!$B$4:$B$10000)*1,("-"=[1]OUT_TransportEnergyCons!$C$4:$C$10000)*1,ISNUMBER(SEARCH("T_C*ICE*nga*s2",[1]OUT_TransportEnergyCons!$A$4:$A$10000))*1,[1]OUT_TransportEnergyCons!I$4:I$10000)</f>
        <v>6.2214795864358594E-6</v>
      </c>
      <c r="L1951" s="1" cm="1">
        <f t="array" ref="L1951">SUMPRODUCT(("Var_Cap"=[1]OUT_TransportEnergyCons!$B$4:$B$10000)*1,("-"=[1]OUT_TransportEnergyCons!$C$4:$C$10000)*1,ISNUMBER(SEARCH("T_C*ICE*nga*s2",[1]OUT_TransportEnergyCons!$A$4:$A$10000))*1,[1]OUT_TransportEnergyCons!J$4:J$10000)</f>
        <v>6.1606026049837191E-6</v>
      </c>
      <c r="M1951" s="1" cm="1">
        <f t="array" ref="M1951">SUMPRODUCT(("Var_Cap"=[1]OUT_TransportEnergyCons!$B$4:$B$10000)*1,("-"=[1]OUT_TransportEnergyCons!$C$4:$C$10000)*1,ISNUMBER(SEARCH("T_C*ICE*nga*s2",[1]OUT_TransportEnergyCons!$A$4:$A$10000))*1,[1]OUT_TransportEnergyCons!K$4:K$10000)</f>
        <v>6.1750968696269E-6</v>
      </c>
      <c r="N1951" s="1" cm="1">
        <f t="array" ref="N1951">SUMPRODUCT(("Var_Cap"=[1]OUT_TransportEnergyCons!$B$4:$B$10000)*1,("-"=[1]OUT_TransportEnergyCons!$C$4:$C$10000)*1,ISNUMBER(SEARCH("T_C*ICE*nga*s2",[1]OUT_TransportEnergyCons!$A$4:$A$10000))*1,[1]OUT_TransportEnergyCons!L$4:L$10000)</f>
        <v>6.2573900153433824E-6</v>
      </c>
      <c r="O1951" s="1" cm="1">
        <f t="array" ref="O1951">SUMPRODUCT(("Var_Cap"=[1]OUT_TransportEnergyCons!$B$4:$B$10000)*1,("-"=[1]OUT_TransportEnergyCons!$C$4:$C$10000)*1,ISNUMBER(SEARCH("T_C*ICE*nga*s2",[1]OUT_TransportEnergyCons!$A$4:$A$10000))*1,[1]OUT_TransportEnergyCons!M$4:M$10000)</f>
        <v>6.4865819793664822E-6</v>
      </c>
      <c r="P1951" s="1" cm="1">
        <f t="array" ref="P1951">SUMPRODUCT(("Var_Cap"=[1]OUT_TransportEnergyCons!$B$4:$B$10000)*1,("-"=[1]OUT_TransportEnergyCons!$C$4:$C$10000)*1,ISNUMBER(SEARCH("T_C*ICE*nga*s2",[1]OUT_TransportEnergyCons!$A$4:$A$10000))*1,[1]OUT_TransportEnergyCons!N$4:N$10000)</f>
        <v>6.7899131201641204E-6</v>
      </c>
      <c r="Q1951" s="1" cm="1">
        <f t="array" ref="Q1951">SUMPRODUCT(("Var_Cap"=[1]OUT_TransportEnergyCons!$B$4:$B$10000)*1,("-"=[1]OUT_TransportEnergyCons!$C$4:$C$10000)*1,ISNUMBER(SEARCH("T_C*ICE*nga*s2",[1]OUT_TransportEnergyCons!$A$4:$A$10000))*1,[1]OUT_TransportEnergyCons!O$4:O$10000)</f>
        <v>7.0095322040669943E-6</v>
      </c>
      <c r="S1951" s="3"/>
    </row>
    <row r="1952" spans="2:19" x14ac:dyDescent="0.5">
      <c r="B1952" s="5" t="str">
        <f t="shared" si="2152"/>
        <v>SPS1</v>
      </c>
      <c r="C1952" s="5" t="str">
        <f t="shared" si="2153"/>
        <v>CH</v>
      </c>
      <c r="D1952" t="s">
        <v>1969</v>
      </c>
      <c r="E1952" t="str">
        <f t="shared" si="215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1.5071010559557059E-4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1.5936036144450523E-4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1.6118144583800089E-4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1.6549537304534354E-5</v>
      </c>
      <c r="J1952" s="1" cm="1">
        <f t="array" ref="J1952">SUMPRODUCT(("Var_Cap"=[1]OUT_TransportEnergyCons!$B$4:$B$10000)*1,("-"=[1]OUT_TransportEnergyCons!$C$4:$C$10000)*1,ISNUMBER(SEARCH("T_C*ICE*nga*s3",[1]OUT_TransportEnergyCons!$A$4:$A$10000))*1,[1]OUT_TransportEnergyCons!H$4:H$10000)</f>
        <v>8.2424472058279706E-6</v>
      </c>
      <c r="K1952" s="1" cm="1">
        <f t="array" ref="K1952">SUMPRODUCT(("Var_Cap"=[1]OUT_TransportEnergyCons!$B$4:$B$10000)*1,("-"=[1]OUT_TransportEnergyCons!$C$4:$C$10000)*1,ISNUMBER(SEARCH("T_C*ICE*nga*s3",[1]OUT_TransportEnergyCons!$A$4:$A$10000))*1,[1]OUT_TransportEnergyCons!I$4:I$10000)</f>
        <v>7.2134966025993002E-6</v>
      </c>
      <c r="L1952" s="1" cm="1">
        <f t="array" ref="L1952">SUMPRODUCT(("Var_Cap"=[1]OUT_TransportEnergyCons!$B$4:$B$10000)*1,("-"=[1]OUT_TransportEnergyCons!$C$4:$C$10000)*1,ISNUMBER(SEARCH("T_C*ICE*nga*s3",[1]OUT_TransportEnergyCons!$A$4:$A$10000))*1,[1]OUT_TransportEnergyCons!J$4:J$10000)</f>
        <v>7.4935740064140285E-6</v>
      </c>
      <c r="M1952" s="1" cm="1">
        <f t="array" ref="M1952">SUMPRODUCT(("Var_Cap"=[1]OUT_TransportEnergyCons!$B$4:$B$10000)*1,("-"=[1]OUT_TransportEnergyCons!$C$4:$C$10000)*1,ISNUMBER(SEARCH("T_C*ICE*nga*s3",[1]OUT_TransportEnergyCons!$A$4:$A$10000))*1,[1]OUT_TransportEnergyCons!K$4:K$10000)</f>
        <v>7.4135597574366854E-6</v>
      </c>
      <c r="N1952" s="1" cm="1">
        <f t="array" ref="N1952">SUMPRODUCT(("Var_Cap"=[1]OUT_TransportEnergyCons!$B$4:$B$10000)*1,("-"=[1]OUT_TransportEnergyCons!$C$4:$C$10000)*1,ISNUMBER(SEARCH("T_C*ICE*nga*s3",[1]OUT_TransportEnergyCons!$A$4:$A$10000))*1,[1]OUT_TransportEnergyCons!L$4:L$10000)</f>
        <v>7.6518630063846116E-6</v>
      </c>
      <c r="O1952" s="1" cm="1">
        <f t="array" ref="O1952">SUMPRODUCT(("Var_Cap"=[1]OUT_TransportEnergyCons!$B$4:$B$10000)*1,("-"=[1]OUT_TransportEnergyCons!$C$4:$C$10000)*1,ISNUMBER(SEARCH("T_C*ICE*nga*s3",[1]OUT_TransportEnergyCons!$A$4:$A$10000))*1,[1]OUT_TransportEnergyCons!M$4:M$10000)</f>
        <v>7.7162636971278004E-6</v>
      </c>
      <c r="P1952" s="1" cm="1">
        <f t="array" ref="P1952">SUMPRODUCT(("Var_Cap"=[1]OUT_TransportEnergyCons!$B$4:$B$10000)*1,("-"=[1]OUT_TransportEnergyCons!$C$4:$C$10000)*1,ISNUMBER(SEARCH("T_C*ICE*nga*s3",[1]OUT_TransportEnergyCons!$A$4:$A$10000))*1,[1]OUT_TransportEnergyCons!N$4:N$10000)</f>
        <v>7.8127877193199946E-6</v>
      </c>
      <c r="Q1952" s="1" cm="1">
        <f t="array" ref="Q1952">SUMPRODUCT(("Var_Cap"=[1]OUT_TransportEnergyCons!$B$4:$B$10000)*1,("-"=[1]OUT_TransportEnergyCons!$C$4:$C$10000)*1,ISNUMBER(SEARCH("T_C*ICE*nga*s3",[1]OUT_TransportEnergyCons!$A$4:$A$10000))*1,[1]OUT_TransportEnergyCons!O$4:O$10000)</f>
        <v>7.7168918305623333E-6</v>
      </c>
      <c r="S1952" s="3"/>
    </row>
    <row r="1953" spans="2:19" x14ac:dyDescent="0.5">
      <c r="B1953" s="5" t="str">
        <f t="shared" si="2152"/>
        <v>SPS1</v>
      </c>
      <c r="C1953" s="5" t="str">
        <f t="shared" si="2153"/>
        <v>CH</v>
      </c>
      <c r="D1953" t="s">
        <v>1970</v>
      </c>
      <c r="E1953" t="str">
        <f t="shared" si="215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2.5355931371225664E-3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2.3664302487094255E-3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3.2925894051926297E-6</v>
      </c>
      <c r="J1953" s="1" cm="1">
        <f t="array" ref="J1953">SUMPRODUCT(("Var_Cap"=[1]OUT_TransportEnergyCons!$B$4:$B$10000)*1,("-"=[1]OUT_TransportEnergyCons!$C$4:$C$10000)*1,ISNUMBER(SEARCH("T_C*ICE*nga*s4",[1]OUT_TransportEnergyCons!$A$4:$A$10000))*1,[1]OUT_TransportEnergyCons!H$4:H$10000)</f>
        <v>7.0174228467927949E-6</v>
      </c>
      <c r="K1953" s="1" cm="1">
        <f t="array" ref="K1953">SUMPRODUCT(("Var_Cap"=[1]OUT_TransportEnergyCons!$B$4:$B$10000)*1,("-"=[1]OUT_TransportEnergyCons!$C$4:$C$10000)*1,ISNUMBER(SEARCH("T_C*ICE*nga*s4",[1]OUT_TransportEnergyCons!$A$4:$A$10000))*1,[1]OUT_TransportEnergyCons!I$4:I$10000)</f>
        <v>8.512751318036352E-6</v>
      </c>
      <c r="L1953" s="1" cm="1">
        <f t="array" ref="L1953">SUMPRODUCT(("Var_Cap"=[1]OUT_TransportEnergyCons!$B$4:$B$10000)*1,("-"=[1]OUT_TransportEnergyCons!$C$4:$C$10000)*1,ISNUMBER(SEARCH("T_C*ICE*nga*s4",[1]OUT_TransportEnergyCons!$A$4:$A$10000))*1,[1]OUT_TransportEnergyCons!J$4:J$10000)</f>
        <v>8.6114972192800475E-6</v>
      </c>
      <c r="M1953" s="1" cm="1">
        <f t="array" ref="M1953">SUMPRODUCT(("Var_Cap"=[1]OUT_TransportEnergyCons!$B$4:$B$10000)*1,("-"=[1]OUT_TransportEnergyCons!$C$4:$C$10000)*1,ISNUMBER(SEARCH("T_C*ICE*nga*s4",[1]OUT_TransportEnergyCons!$A$4:$A$10000))*1,[1]OUT_TransportEnergyCons!K$4:K$10000)</f>
        <v>8.6824052262476184E-6</v>
      </c>
      <c r="N1953" s="1" cm="1">
        <f t="array" ref="N1953">SUMPRODUCT(("Var_Cap"=[1]OUT_TransportEnergyCons!$B$4:$B$10000)*1,("-"=[1]OUT_TransportEnergyCons!$C$4:$C$10000)*1,ISNUMBER(SEARCH("T_C*ICE*nga*s4",[1]OUT_TransportEnergyCons!$A$4:$A$10000))*1,[1]OUT_TransportEnergyCons!L$4:L$10000)</f>
        <v>8.8192003926943171E-6</v>
      </c>
      <c r="O1953" s="1" cm="1">
        <f t="array" ref="O1953">SUMPRODUCT(("Var_Cap"=[1]OUT_TransportEnergyCons!$B$4:$B$10000)*1,("-"=[1]OUT_TransportEnergyCons!$C$4:$C$10000)*1,ISNUMBER(SEARCH("T_C*ICE*nga*s4",[1]OUT_TransportEnergyCons!$A$4:$A$10000))*1,[1]OUT_TransportEnergyCons!M$4:M$10000)</f>
        <v>8.4690135240122101E-6</v>
      </c>
      <c r="P1953" s="1" cm="1">
        <f t="array" ref="P1953">SUMPRODUCT(("Var_Cap"=[1]OUT_TransportEnergyCons!$B$4:$B$10000)*1,("-"=[1]OUT_TransportEnergyCons!$C$4:$C$10000)*1,ISNUMBER(SEARCH("T_C*ICE*nga*s4",[1]OUT_TransportEnergyCons!$A$4:$A$10000))*1,[1]OUT_TransportEnergyCons!N$4:N$10000)</f>
        <v>8.0969939907030129E-6</v>
      </c>
      <c r="Q1953" s="1" cm="1">
        <f t="array" ref="Q1953">SUMPRODUCT(("Var_Cap"=[1]OUT_TransportEnergyCons!$B$4:$B$10000)*1,("-"=[1]OUT_TransportEnergyCons!$C$4:$C$10000)*1,ISNUMBER(SEARCH("T_C*ICE*nga*s4",[1]OUT_TransportEnergyCons!$A$4:$A$10000))*1,[1]OUT_TransportEnergyCons!O$4:O$10000)</f>
        <v>7.8965764373537827E-6</v>
      </c>
      <c r="S1953" s="3"/>
    </row>
    <row r="1954" spans="2:19" x14ac:dyDescent="0.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5.6983623241208239</v>
      </c>
      <c r="G1954" s="3">
        <f t="shared" ref="G1954:K1954" si="2155">SUM(G1955:G1977)</f>
        <v>5.6825112259494333</v>
      </c>
      <c r="H1954" s="3">
        <f t="shared" si="2155"/>
        <v>5.8449961478614165</v>
      </c>
      <c r="I1954" s="3">
        <f t="shared" si="2155"/>
        <v>6.5999136560878391</v>
      </c>
      <c r="J1954" s="3">
        <f t="shared" si="2155"/>
        <v>6.8469049952663852</v>
      </c>
      <c r="K1954" s="3">
        <f t="shared" si="2155"/>
        <v>7.1008581138343096</v>
      </c>
      <c r="L1954" s="3">
        <f t="shared" ref="L1954:O1954" si="2156">SUM(L1955:L1977)</f>
        <v>7.3742861885899647</v>
      </c>
      <c r="M1954" s="3">
        <f t="shared" si="2156"/>
        <v>7.6629184748897154</v>
      </c>
      <c r="N1954" s="3">
        <f t="shared" si="2156"/>
        <v>7.9106592775494606</v>
      </c>
      <c r="O1954" s="3">
        <f t="shared" si="2156"/>
        <v>8.175471562377659</v>
      </c>
      <c r="P1954" s="3">
        <f>SUM(P1955:P1977)</f>
        <v>8.5080358451634996</v>
      </c>
      <c r="Q1954" s="3">
        <f>SUM(Q1955:Q1977)</f>
        <v>8.8886331320507388</v>
      </c>
      <c r="S1954" s="3"/>
    </row>
    <row r="1955" spans="2:19" x14ac:dyDescent="0.5">
      <c r="B1955" s="5" t="str">
        <f t="shared" ref="B1955:B1977" si="2157">B1954</f>
        <v>SPS1</v>
      </c>
      <c r="C1955" s="5" t="str">
        <f t="shared" ref="C1955:C1977" si="215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2.9998964320577918E-2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(SUMPRODUCT(("Var_Cap"=[1]OUT_TransportEnergyCons!$B$4:$B$10000)*1,ISNUMBER(SEARCH("T_B_u*bev*ext",[1]OUT_TransportEnergyCons!$A$4:$A$10000))*1,[1]OUT_TransportEnergyCons!H$4:H$10000))*1000</f>
        <v>0</v>
      </c>
      <c r="K1955" s="1" cm="1">
        <f t="array" ref="K1955">(SUMPRODUCT(("Var_Cap"=[1]OUT_TransportEnergyCons!$B$4:$B$10000)*1,ISNUMBER(SEARCH("T_B_u*bev*ext",[1]OUT_TransportEnergyCons!$A$4:$A$10000))*1,[1]OUT_TransportEnergyCons!I$4:I$10000))*1000</f>
        <v>0</v>
      </c>
      <c r="L1955" s="1" cm="1">
        <f t="array" ref="L1955">(SUMPRODUCT(("Var_Cap"=[1]OUT_TransportEnergyCons!$B$4:$B$10000)*1,ISNUMBER(SEARCH("T_B_u*bev*ext",[1]OUT_TransportEnergyCons!$A$4:$A$10000))*1,[1]OUT_TransportEnergyCons!J$4:J$10000))*1000</f>
        <v>0</v>
      </c>
      <c r="M1955" s="1" cm="1">
        <f t="array" ref="M1955">(SUMPRODUCT(("Var_Cap"=[1]OUT_TransportEnergyCons!$B$4:$B$10000)*1,ISNUMBER(SEARCH("T_B_u*bev*ext",[1]OUT_TransportEnergyCons!$A$4:$A$10000))*1,[1]OUT_TransportEnergyCons!K$4:K$10000))*1000</f>
        <v>0</v>
      </c>
      <c r="N1955" s="1" cm="1">
        <f t="array" ref="N1955">(SUMPRODUCT(("Var_Cap"=[1]OUT_TransportEnergyCons!$B$4:$B$10000)*1,ISNUMBER(SEARCH("T_B_u*bev*ext",[1]OUT_TransportEnergyCons!$A$4:$A$10000))*1,[1]OUT_TransportEnergyCons!L$4:L$10000))*1000</f>
        <v>0</v>
      </c>
      <c r="O1955" s="1" cm="1">
        <f t="array" ref="O1955">(SUMPRODUCT(("Var_Cap"=[1]OUT_TransportEnergyCons!$B$4:$B$10000)*1,ISNUMBER(SEARCH("T_B_u*bev*ext",[1]OUT_TransportEnergyCons!$A$4:$A$10000))*1,[1]OUT_TransportEnergyCons!M$4:M$10000))*1000</f>
        <v>0</v>
      </c>
      <c r="P1955" s="1" cm="1">
        <f t="array" ref="P1955">(SUMPRODUCT(("Var_Cap"=[1]OUT_TransportEnergyCons!$B$4:$B$10000)*1,ISNUMBER(SEARCH("T_B_u*bev*ext",[1]OUT_TransportEnergyCons!$A$4:$A$10000))*1,[1]OUT_TransportEnergyCons!N$4:N$10000))*1000</f>
        <v>0</v>
      </c>
      <c r="Q1955" s="1" cm="1">
        <f t="array" ref="Q1955">(SUMPRODUCT(("Var_Cap"=[1]OUT_TransportEnergyCons!$B$4:$B$10000)*1,ISNUMBER(SEARCH("T_B_u*bev*ext",[1]OUT_TransportEnergyCons!$A$4:$A$10000))*1,[1]OUT_TransportEnergyCons!O$4:O$10000))*1000</f>
        <v>0</v>
      </c>
      <c r="S1955" s="3"/>
    </row>
    <row r="1956" spans="2:19" x14ac:dyDescent="0.5">
      <c r="B1956" s="5" t="str">
        <f t="shared" si="2157"/>
        <v>SPS1</v>
      </c>
      <c r="C1956" s="5" t="str">
        <f t="shared" si="215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5.5324453801033433E-3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1.2425930458052998E-2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2.5635465770514538</v>
      </c>
      <c r="J1956" s="1" cm="1">
        <f t="array" ref="J1956">(SUMPRODUCT(("Var_Cap"=[1]OUT_TransportEnergyCons!$B$4:$B$10000)*1,ISNUMBER(SEARCH("T_B_u*bev*s1",[1]OUT_TransportEnergyCons!$A$4:$A$10000))*1,[1]OUT_TransportEnergyCons!H$4:H$10000))*1000</f>
        <v>2.63192736480657</v>
      </c>
      <c r="K1956" s="1" cm="1">
        <f t="array" ref="K1956">(SUMPRODUCT(("Var_Cap"=[1]OUT_TransportEnergyCons!$B$4:$B$10000)*1,ISNUMBER(SEARCH("T_B_u*bev*s1",[1]OUT_TransportEnergyCons!$A$4:$A$10000))*1,[1]OUT_TransportEnergyCons!I$4:I$10000))*1000</f>
        <v>2.7055730194597341</v>
      </c>
      <c r="L1956" s="1" cm="1">
        <f t="array" ref="L1956">(SUMPRODUCT(("Var_Cap"=[1]OUT_TransportEnergyCons!$B$4:$B$10000)*1,ISNUMBER(SEARCH("T_B_u*bev*s1",[1]OUT_TransportEnergyCons!$A$4:$A$10000))*1,[1]OUT_TransportEnergyCons!J$4:J$10000))*1000</f>
        <v>2.8208919277413447</v>
      </c>
      <c r="M1956" s="1" cm="1">
        <f t="array" ref="M1956">(SUMPRODUCT(("Var_Cap"=[1]OUT_TransportEnergyCons!$B$4:$B$10000)*1,ISNUMBER(SEARCH("T_B_u*bev*s1",[1]OUT_TransportEnergyCons!$A$4:$A$10000))*1,[1]OUT_TransportEnergyCons!K$4:K$10000))*1000</f>
        <v>2.9415201521198586</v>
      </c>
      <c r="N1956" s="1" cm="1">
        <f t="array" ref="N1956">(SUMPRODUCT(("Var_Cap"=[1]OUT_TransportEnergyCons!$B$4:$B$10000)*1,ISNUMBER(SEARCH("T_B_u*bev*s1",[1]OUT_TransportEnergyCons!$A$4:$A$10000))*1,[1]OUT_TransportEnergyCons!L$4:L$10000))*1000</f>
        <v>3.039947100957713</v>
      </c>
      <c r="O1956" s="1" cm="1">
        <f t="array" ref="O1956">(SUMPRODUCT(("Var_Cap"=[1]OUT_TransportEnergyCons!$B$4:$B$10000)*1,ISNUMBER(SEARCH("T_B_u*bev*s1",[1]OUT_TransportEnergyCons!$A$4:$A$10000))*1,[1]OUT_TransportEnergyCons!M$4:M$10000))*1000</f>
        <v>3.0744358599658903</v>
      </c>
      <c r="P1956" s="1" cm="1">
        <f t="array" ref="P1956">(SUMPRODUCT(("Var_Cap"=[1]OUT_TransportEnergyCons!$B$4:$B$10000)*1,ISNUMBER(SEARCH("T_B_u*bev*s1",[1]OUT_TransportEnergyCons!$A$4:$A$10000))*1,[1]OUT_TransportEnergyCons!N$4:N$10000))*1000</f>
        <v>2.299460901882044</v>
      </c>
      <c r="Q1956" s="1" cm="1">
        <f t="array" ref="Q1956">(SUMPRODUCT(("Var_Cap"=[1]OUT_TransportEnergyCons!$B$4:$B$10000)*1,ISNUMBER(SEARCH("T_B_u*bev*s1",[1]OUT_TransportEnergyCons!$A$4:$A$10000))*1,[1]OUT_TransportEnergyCons!O$4:O$10000))*1000</f>
        <v>1.7910395384483417</v>
      </c>
      <c r="S1956" s="3"/>
    </row>
    <row r="1957" spans="2:19" x14ac:dyDescent="0.5">
      <c r="B1957" s="5" t="str">
        <f t="shared" si="2157"/>
        <v>SPS1</v>
      </c>
      <c r="C1957" s="5" t="str">
        <f t="shared" si="215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5.4925768560646401E-3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9.0491379200872794E-3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1.3973160344704921E-2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0.75007656540234213</v>
      </c>
      <c r="J1957" s="1" cm="1">
        <f t="array" ref="J1957">(SUMPRODUCT(("Var_Cap"=[1]OUT_TransportEnergyCons!$B$4:$B$10000)*1,ISNUMBER(SEARCH("T_B_u*bev*s2",[1]OUT_TransportEnergyCons!$A$4:$A$10000))*1,[1]OUT_TransportEnergyCons!H$4:H$10000))*1000</f>
        <v>0.78250062553670507</v>
      </c>
      <c r="K1957" s="1" cm="1">
        <f t="array" ref="K1957">(SUMPRODUCT(("Var_Cap"=[1]OUT_TransportEnergyCons!$B$4:$B$10000)*1,ISNUMBER(SEARCH("T_B_u*bev*s2",[1]OUT_TransportEnergyCons!$A$4:$A$10000))*1,[1]OUT_TransportEnergyCons!I$4:I$10000))*1000</f>
        <v>0.81497243734255098</v>
      </c>
      <c r="L1957" s="1" cm="1">
        <f t="array" ref="L1957">(SUMPRODUCT(("Var_Cap"=[1]OUT_TransportEnergyCons!$B$4:$B$10000)*1,ISNUMBER(SEARCH("T_B_u*bev*s2",[1]OUT_TransportEnergyCons!$A$4:$A$10000))*1,[1]OUT_TransportEnergyCons!J$4:J$10000))*1000</f>
        <v>0.84161484278153098</v>
      </c>
      <c r="M1957" s="1" cm="1">
        <f t="array" ref="M1957">(SUMPRODUCT(("Var_Cap"=[1]OUT_TransportEnergyCons!$B$4:$B$10000)*1,ISNUMBER(SEARCH("T_B_u*bev*s2",[1]OUT_TransportEnergyCons!$A$4:$A$10000))*1,[1]OUT_TransportEnergyCons!K$4:K$10000))*1000</f>
        <v>0.86722348418158146</v>
      </c>
      <c r="N1957" s="1" cm="1">
        <f t="array" ref="N1957">(SUMPRODUCT(("Var_Cap"=[1]OUT_TransportEnergyCons!$B$4:$B$10000)*1,ISNUMBER(SEARCH("T_B_u*bev*s2",[1]OUT_TransportEnergyCons!$A$4:$A$10000))*1,[1]OUT_TransportEnergyCons!L$4:L$10000))*1000</f>
        <v>0.88721101790265144</v>
      </c>
      <c r="O1957" s="1" cm="1">
        <f t="array" ref="O1957">(SUMPRODUCT(("Var_Cap"=[1]OUT_TransportEnergyCons!$B$4:$B$10000)*1,ISNUMBER(SEARCH("T_B_u*bev*s2",[1]OUT_TransportEnergyCons!$A$4:$A$10000))*1,[1]OUT_TransportEnergyCons!M$4:M$10000))*1000</f>
        <v>0.90665185465740461</v>
      </c>
      <c r="P1957" s="1" cm="1">
        <f t="array" ref="P1957">(SUMPRODUCT(("Var_Cap"=[1]OUT_TransportEnergyCons!$B$4:$B$10000)*1,ISNUMBER(SEARCH("T_B_u*bev*s2",[1]OUT_TransportEnergyCons!$A$4:$A$10000))*1,[1]OUT_TransportEnergyCons!N$4:N$10000))*1000</f>
        <v>0.92805225870628072</v>
      </c>
      <c r="Q1957" s="1" cm="1">
        <f t="array" ref="Q1957">(SUMPRODUCT(("Var_Cap"=[1]OUT_TransportEnergyCons!$B$4:$B$10000)*1,ISNUMBER(SEARCH("T_B_u*bev*s2",[1]OUT_TransportEnergyCons!$A$4:$A$10000))*1,[1]OUT_TransportEnergyCons!O$4:O$10000))*1000</f>
        <v>0.93049662677149558</v>
      </c>
      <c r="S1957" s="3"/>
    </row>
    <row r="1958" spans="2:19" x14ac:dyDescent="0.5">
      <c r="B1958" s="5" t="str">
        <f t="shared" si="2157"/>
        <v>SPS1</v>
      </c>
      <c r="C1958" s="5" t="str">
        <f t="shared" si="215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1.5876139013407502E-2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1.1456223285058371E-2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1.3123385615350262E-2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1.9673958262730606</v>
      </c>
      <c r="J1958" s="1" cm="1">
        <f t="array" ref="J1958">(SUMPRODUCT(("Var_Cap"=[1]OUT_TransportEnergyCons!$B$4:$B$10000)*1,ISNUMBER(SEARCH("T_B_u*bev*s3",[1]OUT_TransportEnergyCons!$A$4:$A$10000))*1,[1]OUT_TransportEnergyCons!H$4:H$10000))*1000</f>
        <v>1.8805850990069077</v>
      </c>
      <c r="K1958" s="1" cm="1">
        <f t="array" ref="K1958">(SUMPRODUCT(("Var_Cap"=[1]OUT_TransportEnergyCons!$B$4:$B$10000)*1,ISNUMBER(SEARCH("T_B_u*bev*s3",[1]OUT_TransportEnergyCons!$A$4:$A$10000))*1,[1]OUT_TransportEnergyCons!I$4:I$10000))*1000</f>
        <v>1.7738060084084299</v>
      </c>
      <c r="L1958" s="1" cm="1">
        <f t="array" ref="L1958">(SUMPRODUCT(("Var_Cap"=[1]OUT_TransportEnergyCons!$B$4:$B$10000)*1,ISNUMBER(SEARCH("T_B_u*bev*s3",[1]OUT_TransportEnergyCons!$A$4:$A$10000))*1,[1]OUT_TransportEnergyCons!J$4:J$10000))*1000</f>
        <v>1.6317247171448968</v>
      </c>
      <c r="M1958" s="1" cm="1">
        <f t="array" ref="M1958">(SUMPRODUCT(("Var_Cap"=[1]OUT_TransportEnergyCons!$B$4:$B$10000)*1,ISNUMBER(SEARCH("T_B_u*bev*s3",[1]OUT_TransportEnergyCons!$A$4:$A$10000))*1,[1]OUT_TransportEnergyCons!K$4:K$10000))*1000</f>
        <v>1.4850985134034</v>
      </c>
      <c r="N1958" s="1" cm="1">
        <f t="array" ref="N1958">(SUMPRODUCT(("Var_Cap"=[1]OUT_TransportEnergyCons!$B$4:$B$10000)*1,ISNUMBER(SEARCH("T_B_u*bev*s3",[1]OUT_TransportEnergyCons!$A$4:$A$10000))*1,[1]OUT_TransportEnergyCons!L$4:L$10000))*1000</f>
        <v>1.3668593783618532</v>
      </c>
      <c r="O1958" s="1" cm="1">
        <f t="array" ref="O1958">(SUMPRODUCT(("Var_Cap"=[1]OUT_TransportEnergyCons!$B$4:$B$10000)*1,ISNUMBER(SEARCH("T_B_u*bev*s3",[1]OUT_TransportEnergyCons!$A$4:$A$10000))*1,[1]OUT_TransportEnergyCons!M$4:M$10000))*1000</f>
        <v>1.3127597046926398</v>
      </c>
      <c r="P1958" s="1" cm="1">
        <f t="array" ref="P1958">(SUMPRODUCT(("Var_Cap"=[1]OUT_TransportEnergyCons!$B$4:$B$10000)*1,ISNUMBER(SEARCH("T_B_u*bev*s3",[1]OUT_TransportEnergyCons!$A$4:$A$10000))*1,[1]OUT_TransportEnergyCons!N$4:N$10000))*1000</f>
        <v>2.0662048426904098</v>
      </c>
      <c r="Q1958" s="1" cm="1">
        <f t="array" ref="Q1958">(SUMPRODUCT(("Var_Cap"=[1]OUT_TransportEnergyCons!$B$4:$B$10000)*1,ISNUMBER(SEARCH("T_B_u*bev*s3",[1]OUT_TransportEnergyCons!$A$4:$A$10000))*1,[1]OUT_TransportEnergyCons!O$4:O$10000))*1000</f>
        <v>2.5715768022803402</v>
      </c>
      <c r="S1958" s="3"/>
    </row>
    <row r="1959" spans="2:19" x14ac:dyDescent="0.5">
      <c r="B1959" s="5" t="str">
        <f t="shared" si="2157"/>
        <v>SPS1</v>
      </c>
      <c r="C1959" s="5" t="str">
        <f t="shared" si="215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3.9941590458031877E-4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5.1164350401482195E-4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6.8522713567929501E-4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3.6324268189711381E-4</v>
      </c>
      <c r="J1959" s="1" cm="1">
        <f t="array" ref="J1959">(SUMPRODUCT(("Var_Cap"=[1]OUT_TransportEnergyCons!$B$4:$B$10000)*1,ISNUMBER(SEARCH("T_B_u*bev*s4",[1]OUT_TransportEnergyCons!$A$4:$A$10000))*1,[1]OUT_TransportEnergyCons!H$4:H$10000))*1000</f>
        <v>4.6493458265672199E-4</v>
      </c>
      <c r="K1959" s="1" cm="1">
        <f t="array" ref="K1959">(SUMPRODUCT(("Var_Cap"=[1]OUT_TransportEnergyCons!$B$4:$B$10000)*1,ISNUMBER(SEARCH("T_B_u*bev*s4",[1]OUT_TransportEnergyCons!$A$4:$A$10000))*1,[1]OUT_TransportEnergyCons!I$4:I$10000))*1000</f>
        <v>5.6269560385150601E-4</v>
      </c>
      <c r="L1959" s="1" cm="1">
        <f t="array" ref="L1959">(SUMPRODUCT(("Var_Cap"=[1]OUT_TransportEnergyCons!$B$4:$B$10000)*1,ISNUMBER(SEARCH("T_B_u*bev*s4",[1]OUT_TransportEnergyCons!$A$4:$A$10000))*1,[1]OUT_TransportEnergyCons!J$4:J$10000))*1000</f>
        <v>6.3164784398466714E-4</v>
      </c>
      <c r="M1959" s="1" cm="1">
        <f t="array" ref="M1959">(SUMPRODUCT(("Var_Cap"=[1]OUT_TransportEnergyCons!$B$4:$B$10000)*1,ISNUMBER(SEARCH("T_B_u*bev*s4",[1]OUT_TransportEnergyCons!$A$4:$A$10000))*1,[1]OUT_TransportEnergyCons!K$4:K$10000))*1000</f>
        <v>9.7990810253709734E-4</v>
      </c>
      <c r="N1959" s="1" cm="1">
        <f t="array" ref="N1959">(SUMPRODUCT(("Var_Cap"=[1]OUT_TransportEnergyCons!$B$4:$B$10000)*1,ISNUMBER(SEARCH("T_B_u*bev*s4",[1]OUT_TransportEnergyCons!$A$4:$A$10000))*1,[1]OUT_TransportEnergyCons!L$4:L$10000))*1000</f>
        <v>7.9275100831935699E-4</v>
      </c>
      <c r="O1959" s="1" cm="1">
        <f t="array" ref="O1959">(SUMPRODUCT(("Var_Cap"=[1]OUT_TransportEnergyCons!$B$4:$B$10000)*1,ISNUMBER(SEARCH("T_B_u*bev*s4",[1]OUT_TransportEnergyCons!$A$4:$A$10000))*1,[1]OUT_TransportEnergyCons!M$4:M$10000))*1000</f>
        <v>9.6575483200943995E-4</v>
      </c>
      <c r="P1959" s="1" cm="1">
        <f t="array" ref="P1959">(SUMPRODUCT(("Var_Cap"=[1]OUT_TransportEnergyCons!$B$4:$B$10000)*1,ISNUMBER(SEARCH("T_B_u*bev*s4",[1]OUT_TransportEnergyCons!$A$4:$A$10000))*1,[1]OUT_TransportEnergyCons!N$4:N$10000))*1000</f>
        <v>1.1039318584088081E-3</v>
      </c>
      <c r="Q1959" s="1" cm="1">
        <f t="array" ref="Q1959">(SUMPRODUCT(("Var_Cap"=[1]OUT_TransportEnergyCons!$B$4:$B$10000)*1,ISNUMBER(SEARCH("T_B_u*bev*s4",[1]OUT_TransportEnergyCons!$A$4:$A$10000))*1,[1]OUT_TransportEnergyCons!O$4:O$10000))*1000</f>
        <v>1.7147350352185102E-3</v>
      </c>
      <c r="S1959" s="3"/>
    </row>
    <row r="1960" spans="2:19" x14ac:dyDescent="0.5">
      <c r="B1960" s="5" t="str">
        <f t="shared" si="2157"/>
        <v>SPS1</v>
      </c>
      <c r="C1960" s="5" t="str">
        <f t="shared" si="215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2.69253907750555E-5</v>
      </c>
      <c r="J1960" s="1" cm="1">
        <f t="array" ref="J1960">(SUMPRODUCT(("Var_Cap"=[1]OUT_TransportEnergyCons!$B$4:$B$10000)*1,ISNUMBER(SEARCH("T_B_u*h2o*s1",[1]OUT_TransportEnergyCons!$A$4:$A$10000))*1,[1]OUT_TransportEnergyCons!H$4:H$10000))*1000</f>
        <v>2.27300885931132E-5</v>
      </c>
      <c r="K1960" s="1" cm="1">
        <f t="array" ref="K1960">(SUMPRODUCT(("Var_Cap"=[1]OUT_TransportEnergyCons!$B$4:$B$10000)*1,ISNUMBER(SEARCH("T_B_u*h2o*s1",[1]OUT_TransportEnergyCons!$A$4:$A$10000))*1,[1]OUT_TransportEnergyCons!I$4:I$10000))*1000</f>
        <v>1.79853782714494E-5</v>
      </c>
      <c r="L1960" s="1" cm="1">
        <f t="array" ref="L1960">(SUMPRODUCT(("Var_Cap"=[1]OUT_TransportEnergyCons!$B$4:$B$10000)*1,ISNUMBER(SEARCH("T_B_u*h2o*s1",[1]OUT_TransportEnergyCons!$A$4:$A$10000))*1,[1]OUT_TransportEnergyCons!J$4:J$10000))*1000</f>
        <v>1.7368328034670001E-5</v>
      </c>
      <c r="M1960" s="1" cm="1">
        <f t="array" ref="M1960">(SUMPRODUCT(("Var_Cap"=[1]OUT_TransportEnergyCons!$B$4:$B$10000)*1,ISNUMBER(SEARCH("T_B_u*h2o*s1",[1]OUT_TransportEnergyCons!$A$4:$A$10000))*1,[1]OUT_TransportEnergyCons!K$4:K$10000))*1000</f>
        <v>1.0974502231815601E-5</v>
      </c>
      <c r="N1960" s="1" cm="1">
        <f t="array" ref="N1960">(SUMPRODUCT(("Var_Cap"=[1]OUT_TransportEnergyCons!$B$4:$B$10000)*1,ISNUMBER(SEARCH("T_B_u*h2o*s1",[1]OUT_TransportEnergyCons!$A$4:$A$10000))*1,[1]OUT_TransportEnergyCons!L$4:L$10000))*1000</f>
        <v>1.6315636310436798E-5</v>
      </c>
      <c r="O1960" s="1" cm="1">
        <f t="array" ref="O1960">(SUMPRODUCT(("Var_Cap"=[1]OUT_TransportEnergyCons!$B$4:$B$10000)*1,ISNUMBER(SEARCH("T_B_u*h2o*s1",[1]OUT_TransportEnergyCons!$A$4:$A$10000))*1,[1]OUT_TransportEnergyCons!M$4:M$10000))*1000</f>
        <v>2.3123180167717702E-5</v>
      </c>
      <c r="P1960" s="1" cm="1">
        <f t="array" ref="P1960">(SUMPRODUCT(("Var_Cap"=[1]OUT_TransportEnergyCons!$B$4:$B$10000)*1,ISNUMBER(SEARCH("T_B_u*h2o*s1",[1]OUT_TransportEnergyCons!$A$4:$A$10000))*1,[1]OUT_TransportEnergyCons!N$4:N$10000))*1000</f>
        <v>1.3759495640446999E-5</v>
      </c>
      <c r="Q1960" s="1" cm="1">
        <f t="array" ref="Q1960">(SUMPRODUCT(("Var_Cap"=[1]OUT_TransportEnergyCons!$B$4:$B$10000)*1,ISNUMBER(SEARCH("T_B_u*h2o*s1",[1]OUT_TransportEnergyCons!$A$4:$A$10000))*1,[1]OUT_TransportEnergyCons!O$4:O$10000))*1000</f>
        <v>2.2591923524922502E-5</v>
      </c>
      <c r="S1960" s="3"/>
    </row>
    <row r="1961" spans="2:19" x14ac:dyDescent="0.5">
      <c r="B1961" s="5" t="str">
        <f t="shared" si="2157"/>
        <v>SPS1</v>
      </c>
      <c r="C1961" s="5" t="str">
        <f t="shared" si="215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1.13481920822735E-5</v>
      </c>
      <c r="J1961" s="1" cm="1">
        <f t="array" ref="J1961">IF((SUMPRODUCT(("Var_Cap"=[1]OUT_TransportEnergyCons!$B$4:$B$10000)*1,ISNUMBER(SEARCH("T_B_u*h2o*s2",[1]OUT_TransportEnergyCons!$A$4:$A$10000))*1,[1]OUT_TransportEnergyCons!H$4:H$10000))*1000&lt;0,0,(SUMPRODUCT(("Var_Cap"=[1]OUT_TransportEnergyCons!$B$4:$B$10000)*1,ISNUMBER(SEARCH("T_B_u*h2o*s2",[1]OUT_TransportEnergyCons!$A$4:$A$10000))*1,[1]OUT_TransportEnergyCons!H$4:H$10000))*1000)</f>
        <v>1.13481920822735E-5</v>
      </c>
      <c r="K1961" s="1" cm="1">
        <f t="array" ref="K1961">IF((SUMPRODUCT(("Var_Cap"=[1]OUT_TransportEnergyCons!$B$4:$B$10000)*1,ISNUMBER(SEARCH("T_B_u*h2o*s2",[1]OUT_TransportEnergyCons!$A$4:$A$10000))*1,[1]OUT_TransportEnergyCons!I$4:I$10000))*1000&lt;0,0,(SUMPRODUCT(("Var_Cap"=[1]OUT_TransportEnergyCons!$B$4:$B$10000)*1,ISNUMBER(SEARCH("T_B_u*h2o*s2",[1]OUT_TransportEnergyCons!$A$4:$A$10000))*1,[1]OUT_TransportEnergyCons!I$4:I$10000))*1000)</f>
        <v>2.3830855875929798E-6</v>
      </c>
      <c r="L1961" s="1" cm="1">
        <f t="array" ref="L1961">IF((SUMPRODUCT(("Var_Cap"=[1]OUT_TransportEnergyCons!$B$4:$B$10000)*1,ISNUMBER(SEARCH("T_B_u*h2o*s2",[1]OUT_TransportEnergyCons!$A$4:$A$10000))*1,[1]OUT_TransportEnergyCons!J$4:J$10000))*1000&lt;0,0,(SUMPRODUCT(("Var_Cap"=[1]OUT_TransportEnergyCons!$B$4:$B$10000)*1,ISNUMBER(SEARCH("T_B_u*h2o*s2",[1]OUT_TransportEnergyCons!$A$4:$A$10000))*1,[1]OUT_TransportEnergyCons!J$4:J$10000))*1000)</f>
        <v>0</v>
      </c>
      <c r="M1961" s="1" cm="1">
        <f t="array" ref="M1961">IF((SUMPRODUCT(("Var_Cap"=[1]OUT_TransportEnergyCons!$B$4:$B$10000)*1,ISNUMBER(SEARCH("T_B_u*h2o*s2",[1]OUT_TransportEnergyCons!$A$4:$A$10000))*1,[1]OUT_TransportEnergyCons!K$4:K$10000))*1000&lt;0,0,(SUMPRODUCT(("Var_Cap"=[1]OUT_TransportEnergyCons!$B$4:$B$10000)*1,ISNUMBER(SEARCH("T_B_u*h2o*s2",[1]OUT_TransportEnergyCons!$A$4:$A$10000))*1,[1]OUT_TransportEnergyCons!K$4:K$10000))*1000)</f>
        <v>0</v>
      </c>
      <c r="N1961" s="1" cm="1">
        <f t="array" ref="N1961">IF((SUMPRODUCT(("Var_Cap"=[1]OUT_TransportEnergyCons!$B$4:$B$10000)*1,ISNUMBER(SEARCH("T_B_u*h2o*s2",[1]OUT_TransportEnergyCons!$A$4:$A$10000))*1,[1]OUT_TransportEnergyCons!L$4:L$10000))*1000&lt;0,0,(SUMPRODUCT(("Var_Cap"=[1]OUT_TransportEnergyCons!$B$4:$B$10000)*1,ISNUMBER(SEARCH("T_B_u*h2o*s2",[1]OUT_TransportEnergyCons!$A$4:$A$10000))*1,[1]OUT_TransportEnergyCons!L$4:L$10000))*1000)</f>
        <v>0</v>
      </c>
      <c r="O1961" s="1" cm="1">
        <f t="array" ref="O1961">IF((SUMPRODUCT(("Var_Cap"=[1]OUT_TransportEnergyCons!$B$4:$B$10000)*1,ISNUMBER(SEARCH("T_B_u*h2o*s2",[1]OUT_TransportEnergyCons!$A$4:$A$10000))*1,[1]OUT_TransportEnergyCons!M$4:M$10000))*1000&lt;0,0,(SUMPRODUCT(("Var_Cap"=[1]OUT_TransportEnergyCons!$B$4:$B$10000)*1,ISNUMBER(SEARCH("T_B_u*h2o*s2",[1]OUT_TransportEnergyCons!$A$4:$A$10000))*1,[1]OUT_TransportEnergyCons!M$4:M$10000))*1000)</f>
        <v>0</v>
      </c>
      <c r="P1961" s="1" cm="1">
        <f t="array" ref="P1961">IF((SUMPRODUCT(("Var_Cap"=[1]OUT_TransportEnergyCons!$B$4:$B$10000)*1,ISNUMBER(SEARCH("T_B_u*h2o*s2",[1]OUT_TransportEnergyCons!$A$4:$A$10000))*1,[1]OUT_TransportEnergyCons!N$4:N$10000))*1000&lt;0,0,(SUMPRODUCT(("Var_Cap"=[1]OUT_TransportEnergyCons!$B$4:$B$10000)*1,ISNUMBER(SEARCH("T_B_u*h2o*s2",[1]OUT_TransportEnergyCons!$A$4:$A$10000))*1,[1]OUT_TransportEnergyCons!N$4:N$10000))*1000)</f>
        <v>0</v>
      </c>
      <c r="Q1961" s="1" cm="1">
        <f t="array" ref="Q1961">IF((SUMPRODUCT(("Var_Cap"=[1]OUT_TransportEnergyCons!$B$4:$B$10000)*1,ISNUMBER(SEARCH("T_B_u*h2o*s2",[1]OUT_TransportEnergyCons!$A$4:$A$10000))*1,[1]OUT_TransportEnergyCons!O$4:O$10000))*1000&lt;0,0,(SUMPRODUCT(("Var_Cap"=[1]OUT_TransportEnergyCons!$B$4:$B$10000)*1,ISNUMBER(SEARCH("T_B_u*h2o*s2",[1]OUT_TransportEnergyCons!$A$4:$A$10000))*1,[1]OUT_TransportEnergyCons!O$4:O$10000))*1000)</f>
        <v>0</v>
      </c>
      <c r="S1961" s="3"/>
    </row>
    <row r="1962" spans="2:19" x14ac:dyDescent="0.5">
      <c r="B1962" s="5" t="str">
        <f t="shared" si="2157"/>
        <v>SPS1</v>
      </c>
      <c r="C1962" s="5" t="str">
        <f t="shared" si="215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1.00366067818199E-5</v>
      </c>
      <c r="J1962" s="1" cm="1">
        <f t="array" ref="J1962">IF((SUMPRODUCT(("Var_Cap"=[1]OUT_TransportEnergyCons!$B$4:$B$10000)*1,ISNUMBER(SEARCH("T_B_u*h2o*s3",[1]OUT_TransportEnergyCons!$A$4:$A$10000))*1,[1]OUT_TransportEnergyCons!H$4:H$10000))*1000&lt;0,0,(SUMPRODUCT(("Var_Cap"=[1]OUT_TransportEnergyCons!$B$4:$B$10000)*1,ISNUMBER(SEARCH("T_B_u*h2o*s3",[1]OUT_TransportEnergyCons!$A$4:$A$10000))*1,[1]OUT_TransportEnergyCons!H$4:H$10000))*1000)</f>
        <v>0</v>
      </c>
      <c r="K1962" s="1" cm="1">
        <f t="array" ref="K1962">IF((SUMPRODUCT(("Var_Cap"=[1]OUT_TransportEnergyCons!$B$4:$B$10000)*1,ISNUMBER(SEARCH("T_B_u*h2o*s3",[1]OUT_TransportEnergyCons!$A$4:$A$10000))*1,[1]OUT_TransportEnergyCons!I$4:I$10000))*1000&lt;0,0,(SUMPRODUCT(("Var_Cap"=[1]OUT_TransportEnergyCons!$B$4:$B$10000)*1,ISNUMBER(SEARCH("T_B_u*h2o*s3",[1]OUT_TransportEnergyCons!$A$4:$A$10000))*1,[1]OUT_TransportEnergyCons!I$4:I$10000))*1000)</f>
        <v>0</v>
      </c>
      <c r="L1962" s="1" cm="1">
        <f t="array" ref="L1962">IF((SUMPRODUCT(("Var_Cap"=[1]OUT_TransportEnergyCons!$B$4:$B$10000)*1,ISNUMBER(SEARCH("T_B_u*h2o*s3",[1]OUT_TransportEnergyCons!$A$4:$A$10000))*1,[1]OUT_TransportEnergyCons!J$4:J$10000))*1000&lt;0,0,(SUMPRODUCT(("Var_Cap"=[1]OUT_TransportEnergyCons!$B$4:$B$10000)*1,ISNUMBER(SEARCH("T_B_u*h2o*s3",[1]OUT_TransportEnergyCons!$A$4:$A$10000))*1,[1]OUT_TransportEnergyCons!J$4:J$10000))*1000)</f>
        <v>0</v>
      </c>
      <c r="M1962" s="1" cm="1">
        <f t="array" ref="M1962">IF((SUMPRODUCT(("Var_Cap"=[1]OUT_TransportEnergyCons!$B$4:$B$10000)*1,ISNUMBER(SEARCH("T_B_u*h2o*s3",[1]OUT_TransportEnergyCons!$A$4:$A$10000))*1,[1]OUT_TransportEnergyCons!K$4:K$10000))*1000&lt;0,0,(SUMPRODUCT(("Var_Cap"=[1]OUT_TransportEnergyCons!$B$4:$B$10000)*1,ISNUMBER(SEARCH("T_B_u*h2o*s3",[1]OUT_TransportEnergyCons!$A$4:$A$10000))*1,[1]OUT_TransportEnergyCons!K$4:K$10000))*1000)</f>
        <v>0</v>
      </c>
      <c r="N1962" s="1" cm="1">
        <f t="array" ref="N1962">IF((SUMPRODUCT(("Var_Cap"=[1]OUT_TransportEnergyCons!$B$4:$B$10000)*1,ISNUMBER(SEARCH("T_B_u*h2o*s3",[1]OUT_TransportEnergyCons!$A$4:$A$10000))*1,[1]OUT_TransportEnergyCons!L$4:L$10000))*1000&lt;0,0,(SUMPRODUCT(("Var_Cap"=[1]OUT_TransportEnergyCons!$B$4:$B$10000)*1,ISNUMBER(SEARCH("T_B_u*h2o*s3",[1]OUT_TransportEnergyCons!$A$4:$A$10000))*1,[1]OUT_TransportEnergyCons!L$4:L$10000))*1000)</f>
        <v>0</v>
      </c>
      <c r="O1962" s="1" cm="1">
        <f t="array" ref="O1962">IF((SUMPRODUCT(("Var_Cap"=[1]OUT_TransportEnergyCons!$B$4:$B$10000)*1,ISNUMBER(SEARCH("T_B_u*h2o*s3",[1]OUT_TransportEnergyCons!$A$4:$A$10000))*1,[1]OUT_TransportEnergyCons!M$4:M$10000))*1000&lt;0,0,(SUMPRODUCT(("Var_Cap"=[1]OUT_TransportEnergyCons!$B$4:$B$10000)*1,ISNUMBER(SEARCH("T_B_u*h2o*s3",[1]OUT_TransportEnergyCons!$A$4:$A$10000))*1,[1]OUT_TransportEnergyCons!M$4:M$10000))*1000)</f>
        <v>0</v>
      </c>
      <c r="P1962" s="1" cm="1">
        <f t="array" ref="P1962">IF((SUMPRODUCT(("Var_Cap"=[1]OUT_TransportEnergyCons!$B$4:$B$10000)*1,ISNUMBER(SEARCH("T_B_u*h2o*s3",[1]OUT_TransportEnergyCons!$A$4:$A$10000))*1,[1]OUT_TransportEnergyCons!N$4:N$10000))*1000&lt;0,0,(SUMPRODUCT(("Var_Cap"=[1]OUT_TransportEnergyCons!$B$4:$B$10000)*1,ISNUMBER(SEARCH("T_B_u*h2o*s3",[1]OUT_TransportEnergyCons!$A$4:$A$10000))*1,[1]OUT_TransportEnergyCons!N$4:N$10000))*1000)</f>
        <v>0</v>
      </c>
      <c r="Q1962" s="1" cm="1">
        <f t="array" ref="Q1962">IF((SUMPRODUCT(("Var_Cap"=[1]OUT_TransportEnergyCons!$B$4:$B$10000)*1,ISNUMBER(SEARCH("T_B_u*h2o*s3",[1]OUT_TransportEnergyCons!$A$4:$A$10000))*1,[1]OUT_TransportEnergyCons!O$4:O$10000))*1000&lt;0,0,(SUMPRODUCT(("Var_Cap"=[1]OUT_TransportEnergyCons!$B$4:$B$10000)*1,ISNUMBER(SEARCH("T_B_u*h2o*s3",[1]OUT_TransportEnergyCons!$A$4:$A$10000))*1,[1]OUT_TransportEnergyCons!O$4:O$10000))*1000)</f>
        <v>0</v>
      </c>
      <c r="S1962" s="3"/>
    </row>
    <row r="1963" spans="2:19" x14ac:dyDescent="0.5">
      <c r="B1963" s="5" t="str">
        <f t="shared" si="2157"/>
        <v>SPS1</v>
      </c>
      <c r="C1963" s="5" t="str">
        <f t="shared" si="215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[1]OUT_TransportEnergyCons!$B$4:$B$10000)*1,ISNUMBER(SEARCH("T_B_u*h2o*s4",[1]OUT_TransportEnergyCons!$A$4:$A$10000))*1,[1]OUT_TransportEnergyCons!H$4:H$10000))*1000&lt;0,0,(SUMPRODUCT(("Var_Cap"=[1]OUT_TransportEnergyCons!$B$4:$B$10000)*1,ISNUMBER(SEARCH("T_B_u*h2o*s4",[1]OUT_TransportEnergyCons!$A$4:$A$10000))*1,[1]OUT_TransportEnergyCons!H$4:H$10000))*1000)</f>
        <v>0</v>
      </c>
      <c r="K1963" s="1" cm="1">
        <f t="array" ref="K1963">IF((SUMPRODUCT(("Var_Cap"=[1]OUT_TransportEnergyCons!$B$4:$B$10000)*1,ISNUMBER(SEARCH("T_B_u*h2o*s4",[1]OUT_TransportEnergyCons!$A$4:$A$10000))*1,[1]OUT_TransportEnergyCons!I$4:I$10000))*1000&lt;0,0,(SUMPRODUCT(("Var_Cap"=[1]OUT_TransportEnergyCons!$B$4:$B$10000)*1,ISNUMBER(SEARCH("T_B_u*h2o*s4",[1]OUT_TransportEnergyCons!$A$4:$A$10000))*1,[1]OUT_TransportEnergyCons!I$4:I$10000))*1000)</f>
        <v>0</v>
      </c>
      <c r="L1963" s="1" cm="1">
        <f t="array" ref="L1963">IF((SUMPRODUCT(("Var_Cap"=[1]OUT_TransportEnergyCons!$B$4:$B$10000)*1,ISNUMBER(SEARCH("T_B_u*h2o*s4",[1]OUT_TransportEnergyCons!$A$4:$A$10000))*1,[1]OUT_TransportEnergyCons!J$4:J$10000))*1000&lt;0,0,(SUMPRODUCT(("Var_Cap"=[1]OUT_TransportEnergyCons!$B$4:$B$10000)*1,ISNUMBER(SEARCH("T_B_u*h2o*s4",[1]OUT_TransportEnergyCons!$A$4:$A$10000))*1,[1]OUT_TransportEnergyCons!J$4:J$10000))*1000)</f>
        <v>0</v>
      </c>
      <c r="M1963" s="1" cm="1">
        <f t="array" ref="M1963">IF((SUMPRODUCT(("Var_Cap"=[1]OUT_TransportEnergyCons!$B$4:$B$10000)*1,ISNUMBER(SEARCH("T_B_u*h2o*s4",[1]OUT_TransportEnergyCons!$A$4:$A$10000))*1,[1]OUT_TransportEnergyCons!K$4:K$10000))*1000&lt;0,0,(SUMPRODUCT(("Var_Cap"=[1]OUT_TransportEnergyCons!$B$4:$B$10000)*1,ISNUMBER(SEARCH("T_B_u*h2o*s4",[1]OUT_TransportEnergyCons!$A$4:$A$10000))*1,[1]OUT_TransportEnergyCons!K$4:K$10000))*1000)</f>
        <v>0</v>
      </c>
      <c r="N1963" s="1" cm="1">
        <f t="array" ref="N1963">IF((SUMPRODUCT(("Var_Cap"=[1]OUT_TransportEnergyCons!$B$4:$B$10000)*1,ISNUMBER(SEARCH("T_B_u*h2o*s4",[1]OUT_TransportEnergyCons!$A$4:$A$10000))*1,[1]OUT_TransportEnergyCons!L$4:L$10000))*1000&lt;0,0,(SUMPRODUCT(("Var_Cap"=[1]OUT_TransportEnergyCons!$B$4:$B$10000)*1,ISNUMBER(SEARCH("T_B_u*h2o*s4",[1]OUT_TransportEnergyCons!$A$4:$A$10000))*1,[1]OUT_TransportEnergyCons!L$4:L$10000))*1000)</f>
        <v>0</v>
      </c>
      <c r="O1963" s="1" cm="1">
        <f t="array" ref="O1963">IF((SUMPRODUCT(("Var_Cap"=[1]OUT_TransportEnergyCons!$B$4:$B$10000)*1,ISNUMBER(SEARCH("T_B_u*h2o*s4",[1]OUT_TransportEnergyCons!$A$4:$A$10000))*1,[1]OUT_TransportEnergyCons!M$4:M$10000))*1000&lt;0,0,(SUMPRODUCT(("Var_Cap"=[1]OUT_TransportEnergyCons!$B$4:$B$10000)*1,ISNUMBER(SEARCH("T_B_u*h2o*s4",[1]OUT_TransportEnergyCons!$A$4:$A$10000))*1,[1]OUT_TransportEnergyCons!M$4:M$10000))*1000)</f>
        <v>0</v>
      </c>
      <c r="P1963" s="1" cm="1">
        <f t="array" ref="P1963">IF((SUMPRODUCT(("Var_Cap"=[1]OUT_TransportEnergyCons!$B$4:$B$10000)*1,ISNUMBER(SEARCH("T_B_u*h2o*s4",[1]OUT_TransportEnergyCons!$A$4:$A$10000))*1,[1]OUT_TransportEnergyCons!N$4:N$10000))*1000&lt;0,0,(SUMPRODUCT(("Var_Cap"=[1]OUT_TransportEnergyCons!$B$4:$B$10000)*1,ISNUMBER(SEARCH("T_B_u*h2o*s4",[1]OUT_TransportEnergyCons!$A$4:$A$10000))*1,[1]OUT_TransportEnergyCons!N$4:N$10000))*1000)</f>
        <v>0</v>
      </c>
      <c r="Q1963" s="1" cm="1">
        <f t="array" ref="Q1963">IF((SUMPRODUCT(("Var_Cap"=[1]OUT_TransportEnergyCons!$B$4:$B$10000)*1,ISNUMBER(SEARCH("T_B_u*h2o*s4",[1]OUT_TransportEnergyCons!$A$4:$A$10000))*1,[1]OUT_TransportEnergyCons!O$4:O$10000))*1000&lt;0,0,(SUMPRODUCT(("Var_Cap"=[1]OUT_TransportEnergyCons!$B$4:$B$10000)*1,ISNUMBER(SEARCH("T_B_u*h2o*s4",[1]OUT_TransportEnergyCons!$A$4:$A$10000))*1,[1]OUT_TransportEnergyCons!O$4:O$10000))*1000)</f>
        <v>0</v>
      </c>
      <c r="S1963" s="3"/>
    </row>
    <row r="1964" spans="2:19" x14ac:dyDescent="0.5">
      <c r="B1964" s="5" t="str">
        <f t="shared" si="2157"/>
        <v>SPS1</v>
      </c>
      <c r="C1964" s="5" t="str">
        <f t="shared" si="215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1.15061577779529E-2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1.30447418410224E-2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1.2517644489716995E-3</v>
      </c>
      <c r="J1964" s="1" cm="1">
        <f t="array" ref="J1964">(SUMPRODUCT(("Var_Cap"=[1]OUT_TransportEnergyCons!$B$4:$B$10000)*1,ISNUMBER(SEARCH("T_B_u*hyb*DSL*s1",[1]OUT_TransportEnergyCons!$A$4:$A$10000))*1,[1]OUT_TransportEnergyCons!H$4:H$10000))*1000</f>
        <v>3.0915202415605358E-3</v>
      </c>
      <c r="K1964" s="1" cm="1">
        <f t="array" ref="K1964">(SUMPRODUCT(("Var_Cap"=[1]OUT_TransportEnergyCons!$B$4:$B$10000)*1,ISNUMBER(SEARCH("T_B_u*hyb*DSL*s1",[1]OUT_TransportEnergyCons!$A$4:$A$10000))*1,[1]OUT_TransportEnergyCons!I$4:I$10000))*1000</f>
        <v>4.4990175931336933E-3</v>
      </c>
      <c r="L1964" s="1" cm="1">
        <f t="array" ref="L1964">(SUMPRODUCT(("Var_Cap"=[1]OUT_TransportEnergyCons!$B$4:$B$10000)*1,ISNUMBER(SEARCH("T_B_u*hyb*DSL*s1",[1]OUT_TransportEnergyCons!$A$4:$A$10000))*1,[1]OUT_TransportEnergyCons!J$4:J$10000))*1000</f>
        <v>9.14973798516063E-3</v>
      </c>
      <c r="M1964" s="1" cm="1">
        <f t="array" ref="M1964">(SUMPRODUCT(("Var_Cap"=[1]OUT_TransportEnergyCons!$B$4:$B$10000)*1,ISNUMBER(SEARCH("T_B_u*hyb*DSL*s1",[1]OUT_TransportEnergyCons!$A$4:$A$10000))*1,[1]OUT_TransportEnergyCons!K$4:K$10000))*1000</f>
        <v>2.2793896079129499E-2</v>
      </c>
      <c r="N1964" s="1" cm="1">
        <f t="array" ref="N1964">(SUMPRODUCT(("Var_Cap"=[1]OUT_TransportEnergyCons!$B$4:$B$10000)*1,ISNUMBER(SEARCH("T_B_u*hyb*DSL*s1",[1]OUT_TransportEnergyCons!$A$4:$A$10000))*1,[1]OUT_TransportEnergyCons!L$4:L$10000))*1000</f>
        <v>4.1281776486495496E-2</v>
      </c>
      <c r="O1964" s="1" cm="1">
        <f t="array" ref="O1964">(SUMPRODUCT(("Var_Cap"=[1]OUT_TransportEnergyCons!$B$4:$B$10000)*1,ISNUMBER(SEARCH("T_B_u*hyb*DSL*s1",[1]OUT_TransportEnergyCons!$A$4:$A$10000))*1,[1]OUT_TransportEnergyCons!M$4:M$10000))*1000</f>
        <v>0.13279487812349658</v>
      </c>
      <c r="P1964" s="1" cm="1">
        <f t="array" ref="P1964">(SUMPRODUCT(("Var_Cap"=[1]OUT_TransportEnergyCons!$B$4:$B$10000)*1,ISNUMBER(SEARCH("T_B_u*hyb*DSL*s1",[1]OUT_TransportEnergyCons!$A$4:$A$10000))*1,[1]OUT_TransportEnergyCons!N$4:N$10000))*1000</f>
        <v>1.0891719518786844</v>
      </c>
      <c r="Q1964" s="1" cm="1">
        <f t="array" ref="Q1964">(SUMPRODUCT(("Var_Cap"=[1]OUT_TransportEnergyCons!$B$4:$B$10000)*1,ISNUMBER(SEARCH("T_B_u*hyb*DSL*s1",[1]OUT_TransportEnergyCons!$A$4:$A$10000))*1,[1]OUT_TransportEnergyCons!O$4:O$10000))*1000</f>
        <v>1.8000463144054315</v>
      </c>
      <c r="S1964" s="3"/>
    </row>
    <row r="1965" spans="2:19" x14ac:dyDescent="0.5">
      <c r="B1965" s="5" t="str">
        <f t="shared" si="2157"/>
        <v>SPS1</v>
      </c>
      <c r="C1965" s="5" t="str">
        <f t="shared" si="215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1.0807692924722301E-3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1.7519803107397601E-3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1.3997866016096051E-3</v>
      </c>
      <c r="J1965" s="1" cm="1">
        <f t="array" ref="J1965">IF((SUMPRODUCT(("Var_Cap"=[1]OUT_TransportEnergyCons!$B$4:$B$10000)*1,ISNUMBER(SEARCH("T_B_u*hyb*DSL*s2",[1]OUT_TransportEnergyCons!$A$4:$A$10000))*1,[1]OUT_TransportEnergyCons!H$4:H$10000))*1000&lt;0,0,(SUMPRODUCT(("Var_Cap"=[1]OUT_TransportEnergyCons!$B$4:$B$10000)*1,ISNUMBER(SEARCH("T_B_u*hyb*DSL*s2",[1]OUT_TransportEnergyCons!$A$4:$A$10000))*1,[1]OUT_TransportEnergyCons!H$4:H$10000))*1000)</f>
        <v>2.2569720043753975E-3</v>
      </c>
      <c r="K1965" s="1" cm="1">
        <f t="array" ref="K1965">IF((SUMPRODUCT(("Var_Cap"=[1]OUT_TransportEnergyCons!$B$4:$B$10000)*1,ISNUMBER(SEARCH("T_B_u*hyb*DSL*s2",[1]OUT_TransportEnergyCons!$A$4:$A$10000))*1,[1]OUT_TransportEnergyCons!I$4:I$10000))*1000&lt;0,0,(SUMPRODUCT(("Var_Cap"=[1]OUT_TransportEnergyCons!$B$4:$B$10000)*1,ISNUMBER(SEARCH("T_B_u*hyb*DSL*s2",[1]OUT_TransportEnergyCons!$A$4:$A$10000))*1,[1]OUT_TransportEnergyCons!I$4:I$10000))*1000)</f>
        <v>3.0171118294082602E-3</v>
      </c>
      <c r="L1965" s="1" cm="1">
        <f t="array" ref="L1965">IF((SUMPRODUCT(("Var_Cap"=[1]OUT_TransportEnergyCons!$B$4:$B$10000)*1,ISNUMBER(SEARCH("T_B_u*hyb*DSL*s2",[1]OUT_TransportEnergyCons!$A$4:$A$10000))*1,[1]OUT_TransportEnergyCons!J$4:J$10000))*1000&lt;0,0,(SUMPRODUCT(("Var_Cap"=[1]OUT_TransportEnergyCons!$B$4:$B$10000)*1,ISNUMBER(SEARCH("T_B_u*hyb*DSL*s2",[1]OUT_TransportEnergyCons!$A$4:$A$10000))*1,[1]OUT_TransportEnergyCons!J$4:J$10000))*1000)</f>
        <v>5.1242371614461596E-3</v>
      </c>
      <c r="M1965" s="1" cm="1">
        <f t="array" ref="M1965">IF((SUMPRODUCT(("Var_Cap"=[1]OUT_TransportEnergyCons!$B$4:$B$10000)*1,ISNUMBER(SEARCH("T_B_u*hyb*DSL*s2",[1]OUT_TransportEnergyCons!$A$4:$A$10000))*1,[1]OUT_TransportEnergyCons!K$4:K$10000))*1000&lt;0,0,(SUMPRODUCT(("Var_Cap"=[1]OUT_TransportEnergyCons!$B$4:$B$10000)*1,ISNUMBER(SEARCH("T_B_u*hyb*DSL*s2",[1]OUT_TransportEnergyCons!$A$4:$A$10000))*1,[1]OUT_TransportEnergyCons!K$4:K$10000))*1000)</f>
        <v>8.7440159242299295E-3</v>
      </c>
      <c r="N1965" s="1" cm="1">
        <f t="array" ref="N1965">IF((SUMPRODUCT(("Var_Cap"=[1]OUT_TransportEnergyCons!$B$4:$B$10000)*1,ISNUMBER(SEARCH("T_B_u*hyb*DSL*s2",[1]OUT_TransportEnergyCons!$A$4:$A$10000))*1,[1]OUT_TransportEnergyCons!L$4:L$10000))*1000&lt;0,0,(SUMPRODUCT(("Var_Cap"=[1]OUT_TransportEnergyCons!$B$4:$B$10000)*1,ISNUMBER(SEARCH("T_B_u*hyb*DSL*s2",[1]OUT_TransportEnergyCons!$A$4:$A$10000))*1,[1]OUT_TransportEnergyCons!L$4:L$10000))*1000)</f>
        <v>1.27069818723293E-2</v>
      </c>
      <c r="O1965" s="1" cm="1">
        <f t="array" ref="O1965">IF((SUMPRODUCT(("Var_Cap"=[1]OUT_TransportEnergyCons!$B$4:$B$10000)*1,ISNUMBER(SEARCH("T_B_u*hyb*DSL*s2",[1]OUT_TransportEnergyCons!$A$4:$A$10000))*1,[1]OUT_TransportEnergyCons!M$4:M$10000))*1000&lt;0,0,(SUMPRODUCT(("Var_Cap"=[1]OUT_TransportEnergyCons!$B$4:$B$10000)*1,ISNUMBER(SEARCH("T_B_u*hyb*DSL*s2",[1]OUT_TransportEnergyCons!$A$4:$A$10000))*1,[1]OUT_TransportEnergyCons!M$4:M$10000))*1000)</f>
        <v>1.9905116926726901E-2</v>
      </c>
      <c r="P1965" s="1" cm="1">
        <f t="array" ref="P1965">IF((SUMPRODUCT(("Var_Cap"=[1]OUT_TransportEnergyCons!$B$4:$B$10000)*1,ISNUMBER(SEARCH("T_B_u*hyb*DSL*s2",[1]OUT_TransportEnergyCons!$A$4:$A$10000))*1,[1]OUT_TransportEnergyCons!N$4:N$10000))*1000&lt;0,0,(SUMPRODUCT(("Var_Cap"=[1]OUT_TransportEnergyCons!$B$4:$B$10000)*1,ISNUMBER(SEARCH("T_B_u*hyb*DSL*s2",[1]OUT_TransportEnergyCons!$A$4:$A$10000))*1,[1]OUT_TransportEnergyCons!N$4:N$10000))*1000)</f>
        <v>2.6127269731382401E-2</v>
      </c>
      <c r="Q1965" s="1" cm="1">
        <f t="array" ref="Q1965">IF((SUMPRODUCT(("Var_Cap"=[1]OUT_TransportEnergyCons!$B$4:$B$10000)*1,ISNUMBER(SEARCH("T_B_u*hyb*DSL*s2",[1]OUT_TransportEnergyCons!$A$4:$A$10000))*1,[1]OUT_TransportEnergyCons!O$4:O$10000))*1000&lt;0,0,(SUMPRODUCT(("Var_Cap"=[1]OUT_TransportEnergyCons!$B$4:$B$10000)*1,ISNUMBER(SEARCH("T_B_u*hyb*DSL*s2",[1]OUT_TransportEnergyCons!$A$4:$A$10000))*1,[1]OUT_TransportEnergyCons!O$4:O$10000))*1000)</f>
        <v>5.8353520873488204E-2</v>
      </c>
      <c r="S1965" s="3"/>
    </row>
    <row r="1966" spans="2:19" x14ac:dyDescent="0.5">
      <c r="B1966" s="5" t="str">
        <f t="shared" si="2157"/>
        <v>SPS1</v>
      </c>
      <c r="C1966" s="5" t="str">
        <f t="shared" si="215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6.8998076521750093E-2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0.90930232697478897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1.3156700879787999</v>
      </c>
      <c r="J1966" s="1" cm="1">
        <f t="array" ref="J1966">IF((SUMPRODUCT(("Var_Cap"=[1]OUT_TransportEnergyCons!$B$4:$B$10000)*1,ISNUMBER(SEARCH("T_B_u*hyb*DSL*s3",[1]OUT_TransportEnergyCons!$A$4:$A$10000))*1,[1]OUT_TransportEnergyCons!H$4:H$10000))*1000&lt;0,0,(SUMPRODUCT(("Var_Cap"=[1]OUT_TransportEnergyCons!$B$4:$B$10000)*1,ISNUMBER(SEARCH("T_B_u*hyb*DSL*s3",[1]OUT_TransportEnergyCons!$A$4:$A$10000))*1,[1]OUT_TransportEnergyCons!H$4:H$10000))*1000)</f>
        <v>1.5459278593497801</v>
      </c>
      <c r="K1966" s="1" cm="1">
        <f t="array" ref="K1966">IF((SUMPRODUCT(("Var_Cap"=[1]OUT_TransportEnergyCons!$B$4:$B$10000)*1,ISNUMBER(SEARCH("T_B_u*hyb*DSL*s3",[1]OUT_TransportEnergyCons!$A$4:$A$10000))*1,[1]OUT_TransportEnergyCons!I$4:I$10000))*1000&lt;0,0,(SUMPRODUCT(("Var_Cap"=[1]OUT_TransportEnergyCons!$B$4:$B$10000)*1,ISNUMBER(SEARCH("T_B_u*hyb*DSL*s3",[1]OUT_TransportEnergyCons!$A$4:$A$10000))*1,[1]OUT_TransportEnergyCons!I$4:I$10000))*1000)</f>
        <v>1.7982529978847099</v>
      </c>
      <c r="L1966" s="1" cm="1">
        <f t="array" ref="L1966">IF((SUMPRODUCT(("Var_Cap"=[1]OUT_TransportEnergyCons!$B$4:$B$10000)*1,ISNUMBER(SEARCH("T_B_u*hyb*DSL*s3",[1]OUT_TransportEnergyCons!$A$4:$A$10000))*1,[1]OUT_TransportEnergyCons!J$4:J$10000))*1000&lt;0,0,(SUMPRODUCT(("Var_Cap"=[1]OUT_TransportEnergyCons!$B$4:$B$10000)*1,ISNUMBER(SEARCH("T_B_u*hyb*DSL*s3",[1]OUT_TransportEnergyCons!$A$4:$A$10000))*1,[1]OUT_TransportEnergyCons!J$4:J$10000))*1000)</f>
        <v>2.0649803710998502</v>
      </c>
      <c r="M1966" s="1" cm="1">
        <f t="array" ref="M1966">IF((SUMPRODUCT(("Var_Cap"=[1]OUT_TransportEnergyCons!$B$4:$B$10000)*1,ISNUMBER(SEARCH("T_B_u*hyb*DSL*s3",[1]OUT_TransportEnergyCons!$A$4:$A$10000))*1,[1]OUT_TransportEnergyCons!K$4:K$10000))*1000&lt;0,0,(SUMPRODUCT(("Var_Cap"=[1]OUT_TransportEnergyCons!$B$4:$B$10000)*1,ISNUMBER(SEARCH("T_B_u*hyb*DSL*s3",[1]OUT_TransportEnergyCons!$A$4:$A$10000))*1,[1]OUT_TransportEnergyCons!K$4:K$10000))*1000)</f>
        <v>2.3363377447929499</v>
      </c>
      <c r="N1966" s="1" cm="1">
        <f t="array" ref="N1966">IF((SUMPRODUCT(("Var_Cap"=[1]OUT_TransportEnergyCons!$B$4:$B$10000)*1,ISNUMBER(SEARCH("T_B_u*hyb*DSL*s3",[1]OUT_TransportEnergyCons!$A$4:$A$10000))*1,[1]OUT_TransportEnergyCons!L$4:L$10000))*1000&lt;0,0,(SUMPRODUCT(("Var_Cap"=[1]OUT_TransportEnergyCons!$B$4:$B$10000)*1,ISNUMBER(SEARCH("T_B_u*hyb*DSL*s3",[1]OUT_TransportEnergyCons!$A$4:$A$10000))*1,[1]OUT_TransportEnergyCons!L$4:L$10000))*1000)</f>
        <v>2.5616115688816903</v>
      </c>
      <c r="O1966" s="1" cm="1">
        <f t="array" ref="O1966">IF((SUMPRODUCT(("Var_Cap"=[1]OUT_TransportEnergyCons!$B$4:$B$10000)*1,ISNUMBER(SEARCH("T_B_u*hyb*DSL*s3",[1]OUT_TransportEnergyCons!$A$4:$A$10000))*1,[1]OUT_TransportEnergyCons!M$4:M$10000))*1000&lt;0,0,(SUMPRODUCT(("Var_Cap"=[1]OUT_TransportEnergyCons!$B$4:$B$10000)*1,ISNUMBER(SEARCH("T_B_u*hyb*DSL*s3",[1]OUT_TransportEnergyCons!$A$4:$A$10000))*1,[1]OUT_TransportEnergyCons!M$4:M$10000))*1000)</f>
        <v>2.7276975567706101</v>
      </c>
      <c r="P1966" s="1" cm="1">
        <f t="array" ref="P1966">IF((SUMPRODUCT(("Var_Cap"=[1]OUT_TransportEnergyCons!$B$4:$B$10000)*1,ISNUMBER(SEARCH("T_B_u*hyb*DSL*s3",[1]OUT_TransportEnergyCons!$A$4:$A$10000))*1,[1]OUT_TransportEnergyCons!N$4:N$10000))*1000&lt;0,0,(SUMPRODUCT(("Var_Cap"=[1]OUT_TransportEnergyCons!$B$4:$B$10000)*1,ISNUMBER(SEARCH("T_B_u*hyb*DSL*s3",[1]OUT_TransportEnergyCons!$A$4:$A$10000))*1,[1]OUT_TransportEnergyCons!N$4:N$10000))*1000)</f>
        <v>2.0975994339482202</v>
      </c>
      <c r="Q1966" s="1" cm="1">
        <f t="array" ref="Q1966">IF((SUMPRODUCT(("Var_Cap"=[1]OUT_TransportEnergyCons!$B$4:$B$10000)*1,ISNUMBER(SEARCH("T_B_u*hyb*DSL*s3",[1]OUT_TransportEnergyCons!$A$4:$A$10000))*1,[1]OUT_TransportEnergyCons!O$4:O$10000))*1000&lt;0,0,(SUMPRODUCT(("Var_Cap"=[1]OUT_TransportEnergyCons!$B$4:$B$10000)*1,ISNUMBER(SEARCH("T_B_u*hyb*DSL*s3",[1]OUT_TransportEnergyCons!$A$4:$A$10000))*1,[1]OUT_TransportEnergyCons!O$4:O$10000))*1000)</f>
        <v>1.73499574659628</v>
      </c>
      <c r="S1966" s="3"/>
    </row>
    <row r="1967" spans="2:19" x14ac:dyDescent="0.5">
      <c r="B1967" s="5" t="str">
        <f t="shared" si="2157"/>
        <v>SPS1</v>
      </c>
      <c r="C1967" s="5" t="str">
        <f t="shared" si="215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4.57085150030734E-5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8.4344475200435795E-5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7.1624749105233794E-5</v>
      </c>
      <c r="J1967" s="1" cm="1">
        <f t="array" ref="J1967">IF((SUMPRODUCT(("Var_Cap"=[1]OUT_TransportEnergyCons!$B$4:$B$10000)*1,ISNUMBER(SEARCH("T_B_u*hyb*DSL*s4",[1]OUT_TransportEnergyCons!$A$4:$A$10000))*1,[1]OUT_TransportEnergyCons!H$4:H$10000))*1000&lt;0,0,(SUMPRODUCT(("Var_Cap"=[1]OUT_TransportEnergyCons!$B$4:$B$10000)*1,ISNUMBER(SEARCH("T_B_u*hyb*DSL*s4",[1]OUT_TransportEnergyCons!$A$4:$A$10000))*1,[1]OUT_TransportEnergyCons!H$4:H$10000))*1000)</f>
        <v>8.0005894062770491E-5</v>
      </c>
      <c r="K1967" s="1" cm="1">
        <f t="array" ref="K1967">IF((SUMPRODUCT(("Var_Cap"=[1]OUT_TransportEnergyCons!$B$4:$B$10000)*1,ISNUMBER(SEARCH("T_B_u*hyb*DSL*s4",[1]OUT_TransportEnergyCons!$A$4:$A$10000))*1,[1]OUT_TransportEnergyCons!I$4:I$10000))*1000&lt;0,0,(SUMPRODUCT(("Var_Cap"=[1]OUT_TransportEnergyCons!$B$4:$B$10000)*1,ISNUMBER(SEARCH("T_B_u*hyb*DSL*s4",[1]OUT_TransportEnergyCons!$A$4:$A$10000))*1,[1]OUT_TransportEnergyCons!I$4:I$10000))*1000)</f>
        <v>1.2897322216939001E-4</v>
      </c>
      <c r="L1967" s="1" cm="1">
        <f t="array" ref="L1967">IF((SUMPRODUCT(("Var_Cap"=[1]OUT_TransportEnergyCons!$B$4:$B$10000)*1,ISNUMBER(SEARCH("T_B_u*hyb*DSL*s4",[1]OUT_TransportEnergyCons!$A$4:$A$10000))*1,[1]OUT_TransportEnergyCons!J$4:J$10000))*1000&lt;0,0,(SUMPRODUCT(("Var_Cap"=[1]OUT_TransportEnergyCons!$B$4:$B$10000)*1,ISNUMBER(SEARCH("T_B_u*hyb*DSL*s4",[1]OUT_TransportEnergyCons!$A$4:$A$10000))*1,[1]OUT_TransportEnergyCons!J$4:J$10000))*1000)</f>
        <v>1.2018857705467401E-4</v>
      </c>
      <c r="M1967" s="1" cm="1">
        <f t="array" ref="M1967">IF((SUMPRODUCT(("Var_Cap"=[1]OUT_TransportEnergyCons!$B$4:$B$10000)*1,ISNUMBER(SEARCH("T_B_u*hyb*DSL*s4",[1]OUT_TransportEnergyCons!$A$4:$A$10000))*1,[1]OUT_TransportEnergyCons!K$4:K$10000))*1000&lt;0,0,(SUMPRODUCT(("Var_Cap"=[1]OUT_TransportEnergyCons!$B$4:$B$10000)*1,ISNUMBER(SEARCH("T_B_u*hyb*DSL*s4",[1]OUT_TransportEnergyCons!$A$4:$A$10000))*1,[1]OUT_TransportEnergyCons!K$4:K$10000))*1000)</f>
        <v>1.67483031701953E-4</v>
      </c>
      <c r="N1967" s="1" cm="1">
        <f t="array" ref="N1967">IF((SUMPRODUCT(("Var_Cap"=[1]OUT_TransportEnergyCons!$B$4:$B$10000)*1,ISNUMBER(SEARCH("T_B_u*hyb*DSL*s4",[1]OUT_TransportEnergyCons!$A$4:$A$10000))*1,[1]OUT_TransportEnergyCons!L$4:L$10000))*1000&lt;0,0,(SUMPRODUCT(("Var_Cap"=[1]OUT_TransportEnergyCons!$B$4:$B$10000)*1,ISNUMBER(SEARCH("T_B_u*hyb*DSL*s4",[1]OUT_TransportEnergyCons!$A$4:$A$10000))*1,[1]OUT_TransportEnergyCons!L$4:L$10000))*1000)</f>
        <v>1.7371499622786E-4</v>
      </c>
      <c r="O1967" s="1" cm="1">
        <f t="array" ref="O1967">IF((SUMPRODUCT(("Var_Cap"=[1]OUT_TransportEnergyCons!$B$4:$B$10000)*1,ISNUMBER(SEARCH("T_B_u*hyb*DSL*s4",[1]OUT_TransportEnergyCons!$A$4:$A$10000))*1,[1]OUT_TransportEnergyCons!M$4:M$10000))*1000&lt;0,0,(SUMPRODUCT(("Var_Cap"=[1]OUT_TransportEnergyCons!$B$4:$B$10000)*1,ISNUMBER(SEARCH("T_B_u*hyb*DSL*s4",[1]OUT_TransportEnergyCons!$A$4:$A$10000))*1,[1]OUT_TransportEnergyCons!M$4:M$10000))*1000)</f>
        <v>1.7156836359357602E-4</v>
      </c>
      <c r="P1967" s="1" cm="1">
        <f t="array" ref="P1967">IF((SUMPRODUCT(("Var_Cap"=[1]OUT_TransportEnergyCons!$B$4:$B$10000)*1,ISNUMBER(SEARCH("T_B_u*hyb*DSL*s4",[1]OUT_TransportEnergyCons!$A$4:$A$10000))*1,[1]OUT_TransportEnergyCons!N$4:N$10000))*1000&lt;0,0,(SUMPRODUCT(("Var_Cap"=[1]OUT_TransportEnergyCons!$B$4:$B$10000)*1,ISNUMBER(SEARCH("T_B_u*hyb*DSL*s4",[1]OUT_TransportEnergyCons!$A$4:$A$10000))*1,[1]OUT_TransportEnergyCons!N$4:N$10000))*1000)</f>
        <v>2.5707229285214402E-4</v>
      </c>
      <c r="Q1967" s="1" cm="1">
        <f t="array" ref="Q1967">IF((SUMPRODUCT(("Var_Cap"=[1]OUT_TransportEnergyCons!$B$4:$B$10000)*1,ISNUMBER(SEARCH("T_B_u*hyb*DSL*s4",[1]OUT_TransportEnergyCons!$A$4:$A$10000))*1,[1]OUT_TransportEnergyCons!O$4:O$10000))*1000&lt;0,0,(SUMPRODUCT(("Var_Cap"=[1]OUT_TransportEnergyCons!$B$4:$B$10000)*1,ISNUMBER(SEARCH("T_B_u*hyb*DSL*s4",[1]OUT_TransportEnergyCons!$A$4:$A$10000))*1,[1]OUT_TransportEnergyCons!O$4:O$10000))*1000)</f>
        <v>3.2715519931725197E-4</v>
      </c>
      <c r="S1967" s="3"/>
    </row>
    <row r="1968" spans="2:19" x14ac:dyDescent="0.5">
      <c r="B1968" s="5" t="str">
        <f t="shared" si="2157"/>
        <v>SPS1</v>
      </c>
      <c r="C1968" s="5" t="str">
        <f t="shared" si="215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4.5678260896426197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2.2838534899537737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(SUMPRODUCT(("Var_Cap"=[1]OUT_TransportEnergyCons!$B$4:$B$10000)*1,ISNUMBER(SEARCH("T_B_u*ICE*DSL*ext",[1]OUT_TransportEnergyCons!$A$4:$A$10000))*1,[1]OUT_TransportEnergyCons!H$4:H$10000))*1000</f>
        <v>0</v>
      </c>
      <c r="K1968" s="1" cm="1">
        <f t="array" ref="K1968">(SUMPRODUCT(("Var_Cap"=[1]OUT_TransportEnergyCons!$B$4:$B$10000)*1,ISNUMBER(SEARCH("T_B_u*ICE*DSL*ext",[1]OUT_TransportEnergyCons!$A$4:$A$10000))*1,[1]OUT_TransportEnergyCons!I$4:I$10000))*1000</f>
        <v>0</v>
      </c>
      <c r="L1968" s="1" cm="1">
        <f t="array" ref="L1968">(SUMPRODUCT(("Var_Cap"=[1]OUT_TransportEnergyCons!$B$4:$B$10000)*1,ISNUMBER(SEARCH("T_B_u*ICE*DSL*ext",[1]OUT_TransportEnergyCons!$A$4:$A$10000))*1,[1]OUT_TransportEnergyCons!J$4:J$10000))*1000</f>
        <v>0</v>
      </c>
      <c r="M1968" s="1" cm="1">
        <f t="array" ref="M1968">(SUMPRODUCT(("Var_Cap"=[1]OUT_TransportEnergyCons!$B$4:$B$10000)*1,ISNUMBER(SEARCH("T_B_u*ICE*DSL*ext",[1]OUT_TransportEnergyCons!$A$4:$A$10000))*1,[1]OUT_TransportEnergyCons!K$4:K$10000))*1000</f>
        <v>0</v>
      </c>
      <c r="N1968" s="1" cm="1">
        <f t="array" ref="N1968">(SUMPRODUCT(("Var_Cap"=[1]OUT_TransportEnergyCons!$B$4:$B$10000)*1,ISNUMBER(SEARCH("T_B_u*ICE*DSL*ext",[1]OUT_TransportEnergyCons!$A$4:$A$10000))*1,[1]OUT_TransportEnergyCons!L$4:L$10000))*1000</f>
        <v>0</v>
      </c>
      <c r="O1968" s="1" cm="1">
        <f t="array" ref="O1968">(SUMPRODUCT(("Var_Cap"=[1]OUT_TransportEnergyCons!$B$4:$B$10000)*1,ISNUMBER(SEARCH("T_B_u*ICE*DSL*ext",[1]OUT_TransportEnergyCons!$A$4:$A$10000))*1,[1]OUT_TransportEnergyCons!M$4:M$10000))*1000</f>
        <v>0</v>
      </c>
      <c r="P1968" s="1" cm="1">
        <f t="array" ref="P1968">(SUMPRODUCT(("Var_Cap"=[1]OUT_TransportEnergyCons!$B$4:$B$10000)*1,ISNUMBER(SEARCH("T_B_u*ICE*DSL*ext",[1]OUT_TransportEnergyCons!$A$4:$A$10000))*1,[1]OUT_TransportEnergyCons!N$4:N$10000))*1000</f>
        <v>0</v>
      </c>
      <c r="Q1968" s="1" cm="1">
        <f t="array" ref="Q1968">(SUMPRODUCT(("Var_Cap"=[1]OUT_TransportEnergyCons!$B$4:$B$10000)*1,ISNUMBER(SEARCH("T_B_u*ICE*DSL*ext",[1]OUT_TransportEnergyCons!$A$4:$A$10000))*1,[1]OUT_TransportEnergyCons!O$4:O$10000))*1000</f>
        <v>0</v>
      </c>
      <c r="S1968" s="3"/>
    </row>
    <row r="1969" spans="2:19" x14ac:dyDescent="0.5">
      <c r="B1969" s="5" t="str">
        <f t="shared" si="2157"/>
        <v>SPS1</v>
      </c>
      <c r="C1969" s="5" t="str">
        <f t="shared" si="215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0.63873880525144944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1.1622121991041925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5.6023311926188535E-5</v>
      </c>
      <c r="J1969" s="1" cm="1">
        <f t="array" ref="J1969">(SUMPRODUCT(("Var_Cap"=[1]OUT_TransportEnergyCons!$B$4:$B$10000)*1,ISNUMBER(SEARCH("T_B_u*ICE*DSL*s1",[1]OUT_TransportEnergyCons!$A$4:$A$10000))*1,[1]OUT_TransportEnergyCons!H$4:H$10000))*1000</f>
        <v>4.343640454967674E-6</v>
      </c>
      <c r="K1969" s="1" cm="1">
        <f t="array" ref="K1969">(SUMPRODUCT(("Var_Cap"=[1]OUT_TransportEnergyCons!$B$4:$B$10000)*1,ISNUMBER(SEARCH("T_B_u*ICE*DSL*s1",[1]OUT_TransportEnergyCons!$A$4:$A$10000))*1,[1]OUT_TransportEnergyCons!I$4:I$10000))*1000</f>
        <v>0</v>
      </c>
      <c r="L1969" s="1" cm="1">
        <f t="array" ref="L1969">(SUMPRODUCT(("Var_Cap"=[1]OUT_TransportEnergyCons!$B$4:$B$10000)*1,ISNUMBER(SEARCH("T_B_u*ICE*DSL*s1",[1]OUT_TransportEnergyCons!$A$4:$A$10000))*1,[1]OUT_TransportEnergyCons!J$4:J$10000))*1000</f>
        <v>0</v>
      </c>
      <c r="M1969" s="1" cm="1">
        <f t="array" ref="M1969">(SUMPRODUCT(("Var_Cap"=[1]OUT_TransportEnergyCons!$B$4:$B$10000)*1,ISNUMBER(SEARCH("T_B_u*ICE*DSL*s1",[1]OUT_TransportEnergyCons!$A$4:$A$10000))*1,[1]OUT_TransportEnergyCons!K$4:K$10000))*1000</f>
        <v>1.0514929120631401E-5</v>
      </c>
      <c r="N1969" s="1" cm="1">
        <f t="array" ref="N1969">(SUMPRODUCT(("Var_Cap"=[1]OUT_TransportEnergyCons!$B$4:$B$10000)*1,ISNUMBER(SEARCH("T_B_u*ICE*DSL*s1",[1]OUT_TransportEnergyCons!$A$4:$A$10000))*1,[1]OUT_TransportEnergyCons!L$4:L$10000))*1000</f>
        <v>2.2921734399989701E-5</v>
      </c>
      <c r="O1969" s="1" cm="1">
        <f t="array" ref="O1969">(SUMPRODUCT(("Var_Cap"=[1]OUT_TransportEnergyCons!$B$4:$B$10000)*1,ISNUMBER(SEARCH("T_B_u*ICE*DSL*s1",[1]OUT_TransportEnergyCons!$A$4:$A$10000))*1,[1]OUT_TransportEnergyCons!M$4:M$10000))*1000</f>
        <v>2.8657042244718998E-5</v>
      </c>
      <c r="P1969" s="1" cm="1">
        <f t="array" ref="P1969">(SUMPRODUCT(("Var_Cap"=[1]OUT_TransportEnergyCons!$B$4:$B$10000)*1,ISNUMBER(SEARCH("T_B_u*ICE*DSL*s1",[1]OUT_TransportEnergyCons!$A$4:$A$10000))*1,[1]OUT_TransportEnergyCons!N$4:N$10000))*1000</f>
        <v>1.30604954477547E-5</v>
      </c>
      <c r="Q1969" s="1" cm="1">
        <f t="array" ref="Q1969">(SUMPRODUCT(("Var_Cap"=[1]OUT_TransportEnergyCons!$B$4:$B$10000)*1,ISNUMBER(SEARCH("T_B_u*ICE*DSL*s1",[1]OUT_TransportEnergyCons!$A$4:$A$10000))*1,[1]OUT_TransportEnergyCons!O$4:O$10000))*1000</f>
        <v>1.9271524907376E-5</v>
      </c>
      <c r="S1969" s="3"/>
    </row>
    <row r="1970" spans="2:19" x14ac:dyDescent="0.5">
      <c r="B1970" s="5" t="str">
        <f t="shared" si="2157"/>
        <v>SPS1</v>
      </c>
      <c r="C1970" s="5" t="str">
        <f t="shared" si="215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0.18441313768242745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0.22832119545758084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0.38643016879758274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[1]OUT_TransportEnergyCons!$B$4:$B$10000)*1,ISNUMBER(SEARCH("T_B_u*ICE*DSL*s2",[1]OUT_TransportEnergyCons!$A$4:$A$10000))*1,[1]OUT_TransportEnergyCons!H$4:H$10000))*1000&lt;0,0,(SUMPRODUCT(("Var_Cap"=[1]OUT_TransportEnergyCons!$B$4:$B$10000)*1,ISNUMBER(SEARCH("T_B_u*ICE*DSL*s2",[1]OUT_TransportEnergyCons!$A$4:$A$10000))*1,[1]OUT_TransportEnergyCons!H$4:H$10000))*1000)</f>
        <v>2.4110792519010634E-6</v>
      </c>
      <c r="K1970" s="1" cm="1">
        <f t="array" ref="K1970">IF((SUMPRODUCT(("Var_Cap"=[1]OUT_TransportEnergyCons!$B$4:$B$10000)*1,ISNUMBER(SEARCH("T_B_u*ICE*DSL*s2",[1]OUT_TransportEnergyCons!$A$4:$A$10000))*1,[1]OUT_TransportEnergyCons!I$4:I$10000))*1000&lt;0,0,(SUMPRODUCT(("Var_Cap"=[1]OUT_TransportEnergyCons!$B$4:$B$10000)*1,ISNUMBER(SEARCH("T_B_u*ICE*DSL*s2",[1]OUT_TransportEnergyCons!$A$4:$A$10000))*1,[1]OUT_TransportEnergyCons!I$4:I$10000))*1000)</f>
        <v>0</v>
      </c>
      <c r="L1970" s="1" cm="1">
        <f t="array" ref="L1970">IF((SUMPRODUCT(("Var_Cap"=[1]OUT_TransportEnergyCons!$B$4:$B$10000)*1,ISNUMBER(SEARCH("T_B_u*ICE*DSL*s2",[1]OUT_TransportEnergyCons!$A$4:$A$10000))*1,[1]OUT_TransportEnergyCons!J$4:J$10000))*1000&lt;0,0,(SUMPRODUCT(("Var_Cap"=[1]OUT_TransportEnergyCons!$B$4:$B$10000)*1,ISNUMBER(SEARCH("T_B_u*ICE*DSL*s2",[1]OUT_TransportEnergyCons!$A$4:$A$10000))*1,[1]OUT_TransportEnergyCons!J$4:J$10000))*1000)</f>
        <v>0</v>
      </c>
      <c r="M1970" s="1" cm="1">
        <f t="array" ref="M1970">IF((SUMPRODUCT(("Var_Cap"=[1]OUT_TransportEnergyCons!$B$4:$B$10000)*1,ISNUMBER(SEARCH("T_B_u*ICE*DSL*s2",[1]OUT_TransportEnergyCons!$A$4:$A$10000))*1,[1]OUT_TransportEnergyCons!K$4:K$10000))*1000&lt;0,0,(SUMPRODUCT(("Var_Cap"=[1]OUT_TransportEnergyCons!$B$4:$B$10000)*1,ISNUMBER(SEARCH("T_B_u*ICE*DSL*s2",[1]OUT_TransportEnergyCons!$A$4:$A$10000))*1,[1]OUT_TransportEnergyCons!K$4:K$10000))*1000)</f>
        <v>0</v>
      </c>
      <c r="N1970" s="1" cm="1">
        <f t="array" ref="N1970">IF((SUMPRODUCT(("Var_Cap"=[1]OUT_TransportEnergyCons!$B$4:$B$10000)*1,ISNUMBER(SEARCH("T_B_u*ICE*DSL*s2",[1]OUT_TransportEnergyCons!$A$4:$A$10000))*1,[1]OUT_TransportEnergyCons!L$4:L$10000))*1000&lt;0,0,(SUMPRODUCT(("Var_Cap"=[1]OUT_TransportEnergyCons!$B$4:$B$10000)*1,ISNUMBER(SEARCH("T_B_u*ICE*DSL*s2",[1]OUT_TransportEnergyCons!$A$4:$A$10000))*1,[1]OUT_TransportEnergyCons!L$4:L$10000))*1000)</f>
        <v>0</v>
      </c>
      <c r="O1970" s="1" cm="1">
        <f t="array" ref="O1970">IF((SUMPRODUCT(("Var_Cap"=[1]OUT_TransportEnergyCons!$B$4:$B$10000)*1,ISNUMBER(SEARCH("T_B_u*ICE*DSL*s2",[1]OUT_TransportEnergyCons!$A$4:$A$10000))*1,[1]OUT_TransportEnergyCons!M$4:M$10000))*1000&lt;0,0,(SUMPRODUCT(("Var_Cap"=[1]OUT_TransportEnergyCons!$B$4:$B$10000)*1,ISNUMBER(SEARCH("T_B_u*ICE*DSL*s2",[1]OUT_TransportEnergyCons!$A$4:$A$10000))*1,[1]OUT_TransportEnergyCons!M$4:M$10000))*1000)</f>
        <v>0</v>
      </c>
      <c r="P1970" s="1" cm="1">
        <f t="array" ref="P1970">IF((SUMPRODUCT(("Var_Cap"=[1]OUT_TransportEnergyCons!$B$4:$B$10000)*1,ISNUMBER(SEARCH("T_B_u*ICE*DSL*s2",[1]OUT_TransportEnergyCons!$A$4:$A$10000))*1,[1]OUT_TransportEnergyCons!N$4:N$10000))*1000&lt;0,0,(SUMPRODUCT(("Var_Cap"=[1]OUT_TransportEnergyCons!$B$4:$B$10000)*1,ISNUMBER(SEARCH("T_B_u*ICE*DSL*s2",[1]OUT_TransportEnergyCons!$A$4:$A$10000))*1,[1]OUT_TransportEnergyCons!N$4:N$10000))*1000)</f>
        <v>0</v>
      </c>
      <c r="Q1970" s="1" cm="1">
        <f t="array" ref="Q1970">IF((SUMPRODUCT(("Var_Cap"=[1]OUT_TransportEnergyCons!$B$4:$B$10000)*1,ISNUMBER(SEARCH("T_B_u*ICE*DSL*s2",[1]OUT_TransportEnergyCons!$A$4:$A$10000))*1,[1]OUT_TransportEnergyCons!O$4:O$10000))*1000&lt;0,0,(SUMPRODUCT(("Var_Cap"=[1]OUT_TransportEnergyCons!$B$4:$B$10000)*1,ISNUMBER(SEARCH("T_B_u*ICE*DSL*s2",[1]OUT_TransportEnergyCons!$A$4:$A$10000))*1,[1]OUT_TransportEnergyCons!O$4:O$10000))*1000)</f>
        <v>0</v>
      </c>
      <c r="S1970" s="3"/>
    </row>
    <row r="1971" spans="2:19" x14ac:dyDescent="0.5">
      <c r="B1971" s="5" t="str">
        <f t="shared" si="2157"/>
        <v>SPS1</v>
      </c>
      <c r="C1971" s="5" t="str">
        <f t="shared" si="215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0.806643048853805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0.95503142332411772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0.95551074984704776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[1]OUT_TransportEnergyCons!$B$4:$B$10000)*1,ISNUMBER(SEARCH("T_B_u*ICE*DSL*s3",[1]OUT_TransportEnergyCons!$A$4:$A$10000))*1,[1]OUT_TransportEnergyCons!H$4:H$10000))*1000&lt;0,0,(SUMPRODUCT(("Var_Cap"=[1]OUT_TransportEnergyCons!$B$4:$B$10000)*1,ISNUMBER(SEARCH("T_B_u*ICE*DSL*s3",[1]OUT_TransportEnergyCons!$A$4:$A$10000))*1,[1]OUT_TransportEnergyCons!H$4:H$10000))*1000)</f>
        <v>0</v>
      </c>
      <c r="K1971" s="1" cm="1">
        <f t="array" ref="K1971">IF((SUMPRODUCT(("Var_Cap"=[1]OUT_TransportEnergyCons!$B$4:$B$10000)*1,ISNUMBER(SEARCH("T_B_u*ICE*DSL*s3",[1]OUT_TransportEnergyCons!$A$4:$A$10000))*1,[1]OUT_TransportEnergyCons!I$4:I$10000))*1000&lt;0,0,(SUMPRODUCT(("Var_Cap"=[1]OUT_TransportEnergyCons!$B$4:$B$10000)*1,ISNUMBER(SEARCH("T_B_u*ICE*DSL*s3",[1]OUT_TransportEnergyCons!$A$4:$A$10000))*1,[1]OUT_TransportEnergyCons!I$4:I$10000))*1000)</f>
        <v>0</v>
      </c>
      <c r="L1971" s="1" cm="1">
        <f t="array" ref="L1971">IF((SUMPRODUCT(("Var_Cap"=[1]OUT_TransportEnergyCons!$B$4:$B$10000)*1,ISNUMBER(SEARCH("T_B_u*ICE*DSL*s3",[1]OUT_TransportEnergyCons!$A$4:$A$10000))*1,[1]OUT_TransportEnergyCons!J$4:J$10000))*1000&lt;0,0,(SUMPRODUCT(("Var_Cap"=[1]OUT_TransportEnergyCons!$B$4:$B$10000)*1,ISNUMBER(SEARCH("T_B_u*ICE*DSL*s3",[1]OUT_TransportEnergyCons!$A$4:$A$10000))*1,[1]OUT_TransportEnergyCons!J$4:J$10000))*1000)</f>
        <v>0</v>
      </c>
      <c r="M1971" s="1" cm="1">
        <f t="array" ref="M1971">IF((SUMPRODUCT(("Var_Cap"=[1]OUT_TransportEnergyCons!$B$4:$B$10000)*1,ISNUMBER(SEARCH("T_B_u*ICE*DSL*s3",[1]OUT_TransportEnergyCons!$A$4:$A$10000))*1,[1]OUT_TransportEnergyCons!K$4:K$10000))*1000&lt;0,0,(SUMPRODUCT(("Var_Cap"=[1]OUT_TransportEnergyCons!$B$4:$B$10000)*1,ISNUMBER(SEARCH("T_B_u*ICE*DSL*s3",[1]OUT_TransportEnergyCons!$A$4:$A$10000))*1,[1]OUT_TransportEnergyCons!K$4:K$10000))*1000)</f>
        <v>0</v>
      </c>
      <c r="N1971" s="1" cm="1">
        <f t="array" ref="N1971">IF((SUMPRODUCT(("Var_Cap"=[1]OUT_TransportEnergyCons!$B$4:$B$10000)*1,ISNUMBER(SEARCH("T_B_u*ICE*DSL*s3",[1]OUT_TransportEnergyCons!$A$4:$A$10000))*1,[1]OUT_TransportEnergyCons!L$4:L$10000))*1000&lt;0,0,(SUMPRODUCT(("Var_Cap"=[1]OUT_TransportEnergyCons!$B$4:$B$10000)*1,ISNUMBER(SEARCH("T_B_u*ICE*DSL*s3",[1]OUT_TransportEnergyCons!$A$4:$A$10000))*1,[1]OUT_TransportEnergyCons!L$4:L$10000))*1000)</f>
        <v>0</v>
      </c>
      <c r="O1971" s="1" cm="1">
        <f t="array" ref="O1971">IF((SUMPRODUCT(("Var_Cap"=[1]OUT_TransportEnergyCons!$B$4:$B$10000)*1,ISNUMBER(SEARCH("T_B_u*ICE*DSL*s3",[1]OUT_TransportEnergyCons!$A$4:$A$10000))*1,[1]OUT_TransportEnergyCons!M$4:M$10000))*1000&lt;0,0,(SUMPRODUCT(("Var_Cap"=[1]OUT_TransportEnergyCons!$B$4:$B$10000)*1,ISNUMBER(SEARCH("T_B_u*ICE*DSL*s3",[1]OUT_TransportEnergyCons!$A$4:$A$10000))*1,[1]OUT_TransportEnergyCons!M$4:M$10000))*1000)</f>
        <v>0</v>
      </c>
      <c r="P1971" s="1" cm="1">
        <f t="array" ref="P1971">IF((SUMPRODUCT(("Var_Cap"=[1]OUT_TransportEnergyCons!$B$4:$B$10000)*1,ISNUMBER(SEARCH("T_B_u*ICE*DSL*s3",[1]OUT_TransportEnergyCons!$A$4:$A$10000))*1,[1]OUT_TransportEnergyCons!N$4:N$10000))*1000&lt;0,0,(SUMPRODUCT(("Var_Cap"=[1]OUT_TransportEnergyCons!$B$4:$B$10000)*1,ISNUMBER(SEARCH("T_B_u*ICE*DSL*s3",[1]OUT_TransportEnergyCons!$A$4:$A$10000))*1,[1]OUT_TransportEnergyCons!N$4:N$10000))*1000)</f>
        <v>0</v>
      </c>
      <c r="Q1971" s="1" cm="1">
        <f t="array" ref="Q1971">IF((SUMPRODUCT(("Var_Cap"=[1]OUT_TransportEnergyCons!$B$4:$B$10000)*1,ISNUMBER(SEARCH("T_B_u*ICE*DSL*s3",[1]OUT_TransportEnergyCons!$A$4:$A$10000))*1,[1]OUT_TransportEnergyCons!O$4:O$10000))*1000&lt;0,0,(SUMPRODUCT(("Var_Cap"=[1]OUT_TransportEnergyCons!$B$4:$B$10000)*1,ISNUMBER(SEARCH("T_B_u*ICE*DSL*s3",[1]OUT_TransportEnergyCons!$A$4:$A$10000))*1,[1]OUT_TransportEnergyCons!O$4:O$10000))*1000)</f>
        <v>0</v>
      </c>
      <c r="S1971" s="3"/>
    </row>
    <row r="1972" spans="2:19" x14ac:dyDescent="0.5">
      <c r="B1972" s="5" t="str">
        <f t="shared" si="2157"/>
        <v>SPS1</v>
      </c>
      <c r="C1972" s="5" t="str">
        <f t="shared" si="215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3.412919453158479E-3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3.4736265273317804E-4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3.9995691714059636E-4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[1]OUT_TransportEnergyCons!$B$4:$B$10000)*1,ISNUMBER(SEARCH("T_B_u*ICE*DSL*s4",[1]OUT_TransportEnergyCons!$A$4:$A$10000))*1,[1]OUT_TransportEnergyCons!H$4:H$10000))*1000&lt;0,0,(SUMPRODUCT(("Var_Cap"=[1]OUT_TransportEnergyCons!$B$4:$B$10000)*1,ISNUMBER(SEARCH("T_B_u*ICE*DSL*s4",[1]OUT_TransportEnergyCons!$A$4:$A$10000))*1,[1]OUT_TransportEnergyCons!H$4:H$10000))*1000)</f>
        <v>0</v>
      </c>
      <c r="K1972" s="1" cm="1">
        <f t="array" ref="K1972">IF((SUMPRODUCT(("Var_Cap"=[1]OUT_TransportEnergyCons!$B$4:$B$10000)*1,ISNUMBER(SEARCH("T_B_u*ICE*DSL*s4",[1]OUT_TransportEnergyCons!$A$4:$A$10000))*1,[1]OUT_TransportEnergyCons!I$4:I$10000))*1000&lt;0,0,(SUMPRODUCT(("Var_Cap"=[1]OUT_TransportEnergyCons!$B$4:$B$10000)*1,ISNUMBER(SEARCH("T_B_u*ICE*DSL*s4",[1]OUT_TransportEnergyCons!$A$4:$A$10000))*1,[1]OUT_TransportEnergyCons!I$4:I$10000))*1000)</f>
        <v>0</v>
      </c>
      <c r="L1972" s="1" cm="1">
        <f t="array" ref="L1972">IF((SUMPRODUCT(("Var_Cap"=[1]OUT_TransportEnergyCons!$B$4:$B$10000)*1,ISNUMBER(SEARCH("T_B_u*ICE*DSL*s4",[1]OUT_TransportEnergyCons!$A$4:$A$10000))*1,[1]OUT_TransportEnergyCons!J$4:J$10000))*1000&lt;0,0,(SUMPRODUCT(("Var_Cap"=[1]OUT_TransportEnergyCons!$B$4:$B$10000)*1,ISNUMBER(SEARCH("T_B_u*ICE*DSL*s4",[1]OUT_TransportEnergyCons!$A$4:$A$10000))*1,[1]OUT_TransportEnergyCons!J$4:J$10000))*1000)</f>
        <v>0</v>
      </c>
      <c r="M1972" s="1" cm="1">
        <f t="array" ref="M1972">IF((SUMPRODUCT(("Var_Cap"=[1]OUT_TransportEnergyCons!$B$4:$B$10000)*1,ISNUMBER(SEARCH("T_B_u*ICE*DSL*s4",[1]OUT_TransportEnergyCons!$A$4:$A$10000))*1,[1]OUT_TransportEnergyCons!K$4:K$10000))*1000&lt;0,0,(SUMPRODUCT(("Var_Cap"=[1]OUT_TransportEnergyCons!$B$4:$B$10000)*1,ISNUMBER(SEARCH("T_B_u*ICE*DSL*s4",[1]OUT_TransportEnergyCons!$A$4:$A$10000))*1,[1]OUT_TransportEnergyCons!K$4:K$10000))*1000)</f>
        <v>0</v>
      </c>
      <c r="N1972" s="1" cm="1">
        <f t="array" ref="N1972">IF((SUMPRODUCT(("Var_Cap"=[1]OUT_TransportEnergyCons!$B$4:$B$10000)*1,ISNUMBER(SEARCH("T_B_u*ICE*DSL*s4",[1]OUT_TransportEnergyCons!$A$4:$A$10000))*1,[1]OUT_TransportEnergyCons!L$4:L$10000))*1000&lt;0,0,(SUMPRODUCT(("Var_Cap"=[1]OUT_TransportEnergyCons!$B$4:$B$10000)*1,ISNUMBER(SEARCH("T_B_u*ICE*DSL*s4",[1]OUT_TransportEnergyCons!$A$4:$A$10000))*1,[1]OUT_TransportEnergyCons!L$4:L$10000))*1000)</f>
        <v>0</v>
      </c>
      <c r="O1972" s="1" cm="1">
        <f t="array" ref="O1972">IF((SUMPRODUCT(("Var_Cap"=[1]OUT_TransportEnergyCons!$B$4:$B$10000)*1,ISNUMBER(SEARCH("T_B_u*ICE*DSL*s4",[1]OUT_TransportEnergyCons!$A$4:$A$10000))*1,[1]OUT_TransportEnergyCons!M$4:M$10000))*1000&lt;0,0,(SUMPRODUCT(("Var_Cap"=[1]OUT_TransportEnergyCons!$B$4:$B$10000)*1,ISNUMBER(SEARCH("T_B_u*ICE*DSL*s4",[1]OUT_TransportEnergyCons!$A$4:$A$10000))*1,[1]OUT_TransportEnergyCons!M$4:M$10000))*1000)</f>
        <v>0</v>
      </c>
      <c r="P1972" s="1" cm="1">
        <f t="array" ref="P1972">IF((SUMPRODUCT(("Var_Cap"=[1]OUT_TransportEnergyCons!$B$4:$B$10000)*1,ISNUMBER(SEARCH("T_B_u*ICE*DSL*s4",[1]OUT_TransportEnergyCons!$A$4:$A$10000))*1,[1]OUT_TransportEnergyCons!N$4:N$10000))*1000&lt;0,0,(SUMPRODUCT(("Var_Cap"=[1]OUT_TransportEnergyCons!$B$4:$B$10000)*1,ISNUMBER(SEARCH("T_B_u*ICE*DSL*s4",[1]OUT_TransportEnergyCons!$A$4:$A$10000))*1,[1]OUT_TransportEnergyCons!N$4:N$10000))*1000)</f>
        <v>0</v>
      </c>
      <c r="Q1972" s="1" cm="1">
        <f t="array" ref="Q1972">IF((SUMPRODUCT(("Var_Cap"=[1]OUT_TransportEnergyCons!$B$4:$B$10000)*1,ISNUMBER(SEARCH("T_B_u*ICE*DSL*s4",[1]OUT_TransportEnergyCons!$A$4:$A$10000))*1,[1]OUT_TransportEnergyCons!O$4:O$10000))*1000&lt;0,0,(SUMPRODUCT(("Var_Cap"=[1]OUT_TransportEnergyCons!$B$4:$B$10000)*1,ISNUMBER(SEARCH("T_B_u*ICE*DSL*s4",[1]OUT_TransportEnergyCons!$A$4:$A$10000))*1,[1]OUT_TransportEnergyCons!O$4:O$10000))*1000)</f>
        <v>0</v>
      </c>
      <c r="S1972" s="3"/>
    </row>
    <row r="1973" spans="2:19" x14ac:dyDescent="0.5">
      <c r="B1973" s="5" t="str">
        <f t="shared" si="2157"/>
        <v>SPS1</v>
      </c>
      <c r="C1973" s="5" t="str">
        <f t="shared" si="215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8.3565151944112417E-2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(SUMPRODUCT(("Var_Cap"=[1]OUT_TransportEnergyCons!$B$4:$B$10000)*1,ISNUMBER(SEARCH("T_B_u*ICE*nga*ext",[1]OUT_TransportEnergyCons!$A$4:$A$10000))*1,[1]OUT_TransportEnergyCons!H$4:H$10000))*1000</f>
        <v>0</v>
      </c>
      <c r="K1973" s="1" cm="1">
        <f t="array" ref="K1973">(SUMPRODUCT(("Var_Cap"=[1]OUT_TransportEnergyCons!$B$4:$B$10000)*1,ISNUMBER(SEARCH("T_B_u*ICE*nga*ext",[1]OUT_TransportEnergyCons!$A$4:$A$10000))*1,[1]OUT_TransportEnergyCons!I$4:I$10000))*1000</f>
        <v>0</v>
      </c>
      <c r="L1973" s="1" cm="1">
        <f t="array" ref="L1973">(SUMPRODUCT(("Var_Cap"=[1]OUT_TransportEnergyCons!$B$4:$B$10000)*1,ISNUMBER(SEARCH("T_B_u*ICE*nga*ext",[1]OUT_TransportEnergyCons!$A$4:$A$10000))*1,[1]OUT_TransportEnergyCons!J$4:J$10000))*1000</f>
        <v>0</v>
      </c>
      <c r="M1973" s="1" cm="1">
        <f t="array" ref="M1973">(SUMPRODUCT(("Var_Cap"=[1]OUT_TransportEnergyCons!$B$4:$B$10000)*1,ISNUMBER(SEARCH("T_B_u*ICE*nga*ext",[1]OUT_TransportEnergyCons!$A$4:$A$10000))*1,[1]OUT_TransportEnergyCons!K$4:K$10000))*1000</f>
        <v>0</v>
      </c>
      <c r="N1973" s="1" cm="1">
        <f t="array" ref="N1973">(SUMPRODUCT(("Var_Cap"=[1]OUT_TransportEnergyCons!$B$4:$B$10000)*1,ISNUMBER(SEARCH("T_B_u*ICE*nga*ext",[1]OUT_TransportEnergyCons!$A$4:$A$10000))*1,[1]OUT_TransportEnergyCons!L$4:L$10000))*1000</f>
        <v>0</v>
      </c>
      <c r="O1973" s="1" cm="1">
        <f t="array" ref="O1973">(SUMPRODUCT(("Var_Cap"=[1]OUT_TransportEnergyCons!$B$4:$B$10000)*1,ISNUMBER(SEARCH("T_B_u*ICE*nga*ext",[1]OUT_TransportEnergyCons!$A$4:$A$10000))*1,[1]OUT_TransportEnergyCons!M$4:M$10000))*1000</f>
        <v>0</v>
      </c>
      <c r="P1973" s="1" cm="1">
        <f t="array" ref="P1973">(SUMPRODUCT(("Var_Cap"=[1]OUT_TransportEnergyCons!$B$4:$B$10000)*1,ISNUMBER(SEARCH("T_B_u*ICE*nga*ext",[1]OUT_TransportEnergyCons!$A$4:$A$10000))*1,[1]OUT_TransportEnergyCons!N$4:N$10000))*1000</f>
        <v>0</v>
      </c>
      <c r="Q1973" s="1" cm="1">
        <f t="array" ref="Q1973">(SUMPRODUCT(("Var_Cap"=[1]OUT_TransportEnergyCons!$B$4:$B$10000)*1,ISNUMBER(SEARCH("T_B_u*ICE*nga*ext",[1]OUT_TransportEnergyCons!$A$4:$A$10000))*1,[1]OUT_TransportEnergyCons!O$4:O$10000))*1000</f>
        <v>0</v>
      </c>
      <c r="S1973" s="3"/>
    </row>
    <row r="1974" spans="2:19" x14ac:dyDescent="0.5">
      <c r="B1974" s="5" t="str">
        <f t="shared" si="2157"/>
        <v>SPS1</v>
      </c>
      <c r="C1974" s="5" t="str">
        <f t="shared" si="215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3.1127030515773501E-4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2.9913941836414099E-3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2.4618406391860106E-5</v>
      </c>
      <c r="J1974" s="1" cm="1">
        <f t="array" ref="J1974">(SUMPRODUCT(("Var_Cap"=[1]OUT_TransportEnergyCons!$B$4:$B$10000)*1,ISNUMBER(SEARCH("T_B_u*ICE*nga*s1",[1]OUT_TransportEnergyCons!$A$4:$A$10000))*1,[1]OUT_TransportEnergyCons!H$4:H$10000))*1000</f>
        <v>2.7442950413809999E-5</v>
      </c>
      <c r="K1974" s="1" cm="1">
        <f t="array" ref="K1974">(SUMPRODUCT(("Var_Cap"=[1]OUT_TransportEnergyCons!$B$4:$B$10000)*1,ISNUMBER(SEARCH("T_B_u*ICE*nga*s1",[1]OUT_TransportEnergyCons!$A$4:$A$10000))*1,[1]OUT_TransportEnergyCons!I$4:I$10000))*1000</f>
        <v>2.5484026462196101E-5</v>
      </c>
      <c r="L1974" s="1" cm="1">
        <f t="array" ref="L1974">(SUMPRODUCT(("Var_Cap"=[1]OUT_TransportEnergyCons!$B$4:$B$10000)*1,ISNUMBER(SEARCH("T_B_u*ICE*nga*s1",[1]OUT_TransportEnergyCons!$A$4:$A$10000))*1,[1]OUT_TransportEnergyCons!J$4:J$10000))*1000</f>
        <v>3.1149926660534103E-5</v>
      </c>
      <c r="M1974" s="1" cm="1">
        <f t="array" ref="M1974">(SUMPRODUCT(("Var_Cap"=[1]OUT_TransportEnergyCons!$B$4:$B$10000)*1,ISNUMBER(SEARCH("T_B_u*ICE*nga*s1",[1]OUT_TransportEnergyCons!$A$4:$A$10000))*1,[1]OUT_TransportEnergyCons!K$4:K$10000))*1000</f>
        <v>3.1787822975449398E-5</v>
      </c>
      <c r="N1974" s="1" cm="1">
        <f t="array" ref="N1974">(SUMPRODUCT(("Var_Cap"=[1]OUT_TransportEnergyCons!$B$4:$B$10000)*1,ISNUMBER(SEARCH("T_B_u*ICE*nga*s1",[1]OUT_TransportEnergyCons!$A$4:$A$10000))*1,[1]OUT_TransportEnergyCons!L$4:L$10000))*1000</f>
        <v>3.5749711471143203E-5</v>
      </c>
      <c r="O1974" s="1" cm="1">
        <f t="array" ref="O1974">(SUMPRODUCT(("Var_Cap"=[1]OUT_TransportEnergyCons!$B$4:$B$10000)*1,ISNUMBER(SEARCH("T_B_u*ICE*nga*s1",[1]OUT_TransportEnergyCons!$A$4:$A$10000))*1,[1]OUT_TransportEnergyCons!M$4:M$10000))*1000</f>
        <v>3.7487822874657596E-5</v>
      </c>
      <c r="P1974" s="1" cm="1">
        <f t="array" ref="P1974">(SUMPRODUCT(("Var_Cap"=[1]OUT_TransportEnergyCons!$B$4:$B$10000)*1,ISNUMBER(SEARCH("T_B_u*ICE*nga*s1",[1]OUT_TransportEnergyCons!$A$4:$A$10000))*1,[1]OUT_TransportEnergyCons!N$4:N$10000))*1000</f>
        <v>3.1362184128505495E-5</v>
      </c>
      <c r="Q1974" s="1" cm="1">
        <f t="array" ref="Q1974">(SUMPRODUCT(("Var_Cap"=[1]OUT_TransportEnergyCons!$B$4:$B$10000)*1,ISNUMBER(SEARCH("T_B_u*ICE*nga*s1",[1]OUT_TransportEnergyCons!$A$4:$A$10000))*1,[1]OUT_TransportEnergyCons!O$4:O$10000))*1000</f>
        <v>4.0828992394222398E-5</v>
      </c>
      <c r="S1974" s="3"/>
    </row>
    <row r="1975" spans="2:19" x14ac:dyDescent="0.5">
      <c r="B1975" s="5" t="str">
        <f t="shared" si="2157"/>
        <v>SPS1</v>
      </c>
      <c r="C1975" s="5" t="str">
        <f t="shared" si="215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1.4439787523308801E-4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2.81117897023287E-2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4.7435420417984411E-6</v>
      </c>
      <c r="J1975" s="1" cm="1">
        <f t="array" ref="J1975">(SUMPRODUCT(("Var_Cap"=[1]OUT_TransportEnergyCons!$B$4:$B$10000)*1,ISNUMBER(SEARCH("T_B_u*ICE*nga*s2",[1]OUT_TransportEnergyCons!$A$4:$A$10000))*1,[1]OUT_TransportEnergyCons!H$4:H$10000))*1000</f>
        <v>2.337892971400872E-6</v>
      </c>
      <c r="K1975" s="1" cm="1">
        <f t="array" ref="K1975">(SUMPRODUCT(("Var_Cap"=[1]OUT_TransportEnergyCons!$B$4:$B$10000)*1,ISNUMBER(SEARCH("T_B_u*ICE*nga*s2",[1]OUT_TransportEnergyCons!$A$4:$A$10000))*1,[1]OUT_TransportEnergyCons!I$4:I$10000))*1000</f>
        <v>0</v>
      </c>
      <c r="L1975" s="1" cm="1">
        <f t="array" ref="L1975">(SUMPRODUCT(("Var_Cap"=[1]OUT_TransportEnergyCons!$B$4:$B$10000)*1,ISNUMBER(SEARCH("T_B_u*ICE*nga*s2",[1]OUT_TransportEnergyCons!$A$4:$A$10000))*1,[1]OUT_TransportEnergyCons!J$4:J$10000))*1000</f>
        <v>0</v>
      </c>
      <c r="M1975" s="1" cm="1">
        <f t="array" ref="M1975">(SUMPRODUCT(("Var_Cap"=[1]OUT_TransportEnergyCons!$B$4:$B$10000)*1,ISNUMBER(SEARCH("T_B_u*ICE*nga*s2",[1]OUT_TransportEnergyCons!$A$4:$A$10000))*1,[1]OUT_TransportEnergyCons!K$4:K$10000))*1000</f>
        <v>0</v>
      </c>
      <c r="N1975" s="1" cm="1">
        <f t="array" ref="N1975">(SUMPRODUCT(("Var_Cap"=[1]OUT_TransportEnergyCons!$B$4:$B$10000)*1,ISNUMBER(SEARCH("T_B_u*ICE*nga*s2",[1]OUT_TransportEnergyCons!$A$4:$A$10000))*1,[1]OUT_TransportEnergyCons!L$4:L$10000))*1000</f>
        <v>0</v>
      </c>
      <c r="O1975" s="1" cm="1">
        <f t="array" ref="O1975">(SUMPRODUCT(("Var_Cap"=[1]OUT_TransportEnergyCons!$B$4:$B$10000)*1,ISNUMBER(SEARCH("T_B_u*ICE*nga*s2",[1]OUT_TransportEnergyCons!$A$4:$A$10000))*1,[1]OUT_TransportEnergyCons!M$4:M$10000))*1000</f>
        <v>0</v>
      </c>
      <c r="P1975" s="1" cm="1">
        <f t="array" ref="P1975">(SUMPRODUCT(("Var_Cap"=[1]OUT_TransportEnergyCons!$B$4:$B$10000)*1,ISNUMBER(SEARCH("T_B_u*ICE*nga*s2",[1]OUT_TransportEnergyCons!$A$4:$A$10000))*1,[1]OUT_TransportEnergyCons!N$4:N$10000))*1000</f>
        <v>0</v>
      </c>
      <c r="Q1975" s="1" cm="1">
        <f t="array" ref="Q1975">(SUMPRODUCT(("Var_Cap"=[1]OUT_TransportEnergyCons!$B$4:$B$10000)*1,ISNUMBER(SEARCH("T_B_u*ICE*nga*s2",[1]OUT_TransportEnergyCons!$A$4:$A$10000))*1,[1]OUT_TransportEnergyCons!O$4:O$10000))*1000</f>
        <v>0</v>
      </c>
      <c r="S1975" s="3"/>
    </row>
    <row r="1976" spans="2:19" x14ac:dyDescent="0.5">
      <c r="B1976" s="5" t="str">
        <f t="shared" si="2157"/>
        <v>SPS1</v>
      </c>
      <c r="C1976" s="5" t="str">
        <f t="shared" si="215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6.5648414216518093E-5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3.8190291804845002E-4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4.4648048809820118E-6</v>
      </c>
      <c r="J1976" s="1" cm="1">
        <f t="array" ref="J1976">IF((SUMPRODUCT(("Var_Cap"=[1]OUT_TransportEnergyCons!$B$4:$B$10000)*1,ISNUMBER(SEARCH("T_B_u*ICE*nga*s3",[1]OUT_TransportEnergyCons!$A$4:$A$10000))*1,[1]OUT_TransportEnergyCons!H$4:H$10000))*1000&lt;0,0,(SUMPRODUCT(("Var_Cap"=[1]OUT_TransportEnergyCons!$B$4:$B$10000)*1,ISNUMBER(SEARCH("T_B_u*ICE*nga*s3",[1]OUT_TransportEnergyCons!$A$4:$A$10000))*1,[1]OUT_TransportEnergyCons!H$4:H$10000))*1000)</f>
        <v>0</v>
      </c>
      <c r="K1976" s="1" cm="1">
        <f t="array" ref="K1976">IF((SUMPRODUCT(("Var_Cap"=[1]OUT_TransportEnergyCons!$B$4:$B$10000)*1,ISNUMBER(SEARCH("T_B_u*ICE*nga*s3",[1]OUT_TransportEnergyCons!$A$4:$A$10000))*1,[1]OUT_TransportEnergyCons!I$4:I$10000))*1000&lt;0,0,(SUMPRODUCT(("Var_Cap"=[1]OUT_TransportEnergyCons!$B$4:$B$10000)*1,ISNUMBER(SEARCH("T_B_u*ICE*nga*s3",[1]OUT_TransportEnergyCons!$A$4:$A$10000))*1,[1]OUT_TransportEnergyCons!I$4:I$10000))*1000)</f>
        <v>0</v>
      </c>
      <c r="L1976" s="1" cm="1">
        <f t="array" ref="L1976">IF((SUMPRODUCT(("Var_Cap"=[1]OUT_TransportEnergyCons!$B$4:$B$10000)*1,ISNUMBER(SEARCH("T_B_u*ICE*nga*s3",[1]OUT_TransportEnergyCons!$A$4:$A$10000))*1,[1]OUT_TransportEnergyCons!J$4:J$10000))*1000&lt;0,0,(SUMPRODUCT(("Var_Cap"=[1]OUT_TransportEnergyCons!$B$4:$B$10000)*1,ISNUMBER(SEARCH("T_B_u*ICE*nga*s3",[1]OUT_TransportEnergyCons!$A$4:$A$10000))*1,[1]OUT_TransportEnergyCons!J$4:J$10000))*1000)</f>
        <v>0</v>
      </c>
      <c r="M1976" s="1" cm="1">
        <f t="array" ref="M1976">IF((SUMPRODUCT(("Var_Cap"=[1]OUT_TransportEnergyCons!$B$4:$B$10000)*1,ISNUMBER(SEARCH("T_B_u*ICE*nga*s3",[1]OUT_TransportEnergyCons!$A$4:$A$10000))*1,[1]OUT_TransportEnergyCons!K$4:K$10000))*1000&lt;0,0,(SUMPRODUCT(("Var_Cap"=[1]OUT_TransportEnergyCons!$B$4:$B$10000)*1,ISNUMBER(SEARCH("T_B_u*ICE*nga*s3",[1]OUT_TransportEnergyCons!$A$4:$A$10000))*1,[1]OUT_TransportEnergyCons!K$4:K$10000))*1000)</f>
        <v>0</v>
      </c>
      <c r="N1976" s="1" cm="1">
        <f t="array" ref="N1976">IF((SUMPRODUCT(("Var_Cap"=[1]OUT_TransportEnergyCons!$B$4:$B$10000)*1,ISNUMBER(SEARCH("T_B_u*ICE*nga*s3",[1]OUT_TransportEnergyCons!$A$4:$A$10000))*1,[1]OUT_TransportEnergyCons!L$4:L$10000))*1000&lt;0,0,(SUMPRODUCT(("Var_Cap"=[1]OUT_TransportEnergyCons!$B$4:$B$10000)*1,ISNUMBER(SEARCH("T_B_u*ICE*nga*s3",[1]OUT_TransportEnergyCons!$A$4:$A$10000))*1,[1]OUT_TransportEnergyCons!L$4:L$10000))*1000)</f>
        <v>0</v>
      </c>
      <c r="O1976" s="1" cm="1">
        <f t="array" ref="O1976">IF((SUMPRODUCT(("Var_Cap"=[1]OUT_TransportEnergyCons!$B$4:$B$10000)*1,ISNUMBER(SEARCH("T_B_u*ICE*nga*s3",[1]OUT_TransportEnergyCons!$A$4:$A$10000))*1,[1]OUT_TransportEnergyCons!M$4:M$10000))*1000&lt;0,0,(SUMPRODUCT(("Var_Cap"=[1]OUT_TransportEnergyCons!$B$4:$B$10000)*1,ISNUMBER(SEARCH("T_B_u*ICE*nga*s3",[1]OUT_TransportEnergyCons!$A$4:$A$10000))*1,[1]OUT_TransportEnergyCons!M$4:M$10000))*1000)</f>
        <v>0</v>
      </c>
      <c r="P1976" s="1" cm="1">
        <f t="array" ref="P1976">IF((SUMPRODUCT(("Var_Cap"=[1]OUT_TransportEnergyCons!$B$4:$B$10000)*1,ISNUMBER(SEARCH("T_B_u*ICE*nga*s3",[1]OUT_TransportEnergyCons!$A$4:$A$10000))*1,[1]OUT_TransportEnergyCons!N$4:N$10000))*1000&lt;0,0,(SUMPRODUCT(("Var_Cap"=[1]OUT_TransportEnergyCons!$B$4:$B$10000)*1,ISNUMBER(SEARCH("T_B_u*ICE*nga*s3",[1]OUT_TransportEnergyCons!$A$4:$A$10000))*1,[1]OUT_TransportEnergyCons!N$4:N$10000))*1000)</f>
        <v>0</v>
      </c>
      <c r="Q1976" s="1" cm="1">
        <f t="array" ref="Q1976">IF((SUMPRODUCT(("Var_Cap"=[1]OUT_TransportEnergyCons!$B$4:$B$10000)*1,ISNUMBER(SEARCH("T_B_u*ICE*nga*s3",[1]OUT_TransportEnergyCons!$A$4:$A$10000))*1,[1]OUT_TransportEnergyCons!O$4:O$10000))*1000&lt;0,0,(SUMPRODUCT(("Var_Cap"=[1]OUT_TransportEnergyCons!$B$4:$B$10000)*1,ISNUMBER(SEARCH("T_B_u*ICE*nga*s3",[1]OUT_TransportEnergyCons!$A$4:$A$10000))*1,[1]OUT_TransportEnergyCons!O$4:O$10000))*1000)</f>
        <v>0</v>
      </c>
      <c r="S1976" s="3"/>
    </row>
    <row r="1977" spans="2:19" x14ac:dyDescent="0.5">
      <c r="B1977" s="5" t="str">
        <f t="shared" si="2157"/>
        <v>SPS1</v>
      </c>
      <c r="C1977" s="5" t="str">
        <f t="shared" si="215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1.0021041112229501E-5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3.0920913765065304E-5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2.0645718492898313E-8</v>
      </c>
      <c r="J1977" s="1" cm="1">
        <f t="array" ref="J1977">IF((SUMPRODUCT(("Var_Cap"=[1]OUT_TransportEnergyCons!$B$4:$B$10000)*1,ISNUMBER(SEARCH("T_B_u*ICE*nga*s4",[1]OUT_TransportEnergyCons!$A$4:$A$10000))*1,[1]OUT_TransportEnergyCons!H$4:H$10000))*1000&lt;0,0,(SUMPRODUCT(("Var_Cap"=[1]OUT_TransportEnergyCons!$B$4:$B$10000)*1,ISNUMBER(SEARCH("T_B_u*ICE*nga*s4",[1]OUT_TransportEnergyCons!$A$4:$A$10000))*1,[1]OUT_TransportEnergyCons!H$4:H$10000))*1000)</f>
        <v>0</v>
      </c>
      <c r="K1977" s="1" cm="1">
        <f t="array" ref="K1977">IF((SUMPRODUCT(("Var_Cap"=[1]OUT_TransportEnergyCons!$B$4:$B$10000)*1,ISNUMBER(SEARCH("T_B_u*ICE*nga*s4",[1]OUT_TransportEnergyCons!$A$4:$A$10000))*1,[1]OUT_TransportEnergyCons!I$4:I$10000))*1000&lt;0,0,(SUMPRODUCT(("Var_Cap"=[1]OUT_TransportEnergyCons!$B$4:$B$10000)*1,ISNUMBER(SEARCH("T_B_u*ICE*nga*s4",[1]OUT_TransportEnergyCons!$A$4:$A$10000))*1,[1]OUT_TransportEnergyCons!I$4:I$10000))*1000)</f>
        <v>0</v>
      </c>
      <c r="L1977" s="1" cm="1">
        <f t="array" ref="L1977">IF((SUMPRODUCT(("Var_Cap"=[1]OUT_TransportEnergyCons!$B$4:$B$10000)*1,ISNUMBER(SEARCH("T_B_u*ICE*nga*s4",[1]OUT_TransportEnergyCons!$A$4:$A$10000))*1,[1]OUT_TransportEnergyCons!J$4:J$10000))*1000&lt;0,0,(SUMPRODUCT(("Var_Cap"=[1]OUT_TransportEnergyCons!$B$4:$B$10000)*1,ISNUMBER(SEARCH("T_B_u*ICE*nga*s4",[1]OUT_TransportEnergyCons!$A$4:$A$10000))*1,[1]OUT_TransportEnergyCons!J$4:J$10000))*1000)</f>
        <v>0</v>
      </c>
      <c r="M1977" s="1" cm="1">
        <f t="array" ref="M1977">IF((SUMPRODUCT(("Var_Cap"=[1]OUT_TransportEnergyCons!$B$4:$B$10000)*1,ISNUMBER(SEARCH("T_B_u*ICE*nga*s4",[1]OUT_TransportEnergyCons!$A$4:$A$10000))*1,[1]OUT_TransportEnergyCons!K$4:K$10000))*1000&lt;0,0,(SUMPRODUCT(("Var_Cap"=[1]OUT_TransportEnergyCons!$B$4:$B$10000)*1,ISNUMBER(SEARCH("T_B_u*ICE*nga*s4",[1]OUT_TransportEnergyCons!$A$4:$A$10000))*1,[1]OUT_TransportEnergyCons!K$4:K$10000))*1000)</f>
        <v>0</v>
      </c>
      <c r="N1977" s="1" cm="1">
        <f t="array" ref="N1977">IF((SUMPRODUCT(("Var_Cap"=[1]OUT_TransportEnergyCons!$B$4:$B$10000)*1,ISNUMBER(SEARCH("T_B_u*ICE*nga*s4",[1]OUT_TransportEnergyCons!$A$4:$A$10000))*1,[1]OUT_TransportEnergyCons!L$4:L$10000))*1000&lt;0,0,(SUMPRODUCT(("Var_Cap"=[1]OUT_TransportEnergyCons!$B$4:$B$10000)*1,ISNUMBER(SEARCH("T_B_u*ICE*nga*s4",[1]OUT_TransportEnergyCons!$A$4:$A$10000))*1,[1]OUT_TransportEnergyCons!L$4:L$10000))*1000)</f>
        <v>0</v>
      </c>
      <c r="O1977" s="1" cm="1">
        <f t="array" ref="O1977">IF((SUMPRODUCT(("Var_Cap"=[1]OUT_TransportEnergyCons!$B$4:$B$10000)*1,ISNUMBER(SEARCH("T_B_u*ICE*nga*s4",[1]OUT_TransportEnergyCons!$A$4:$A$10000))*1,[1]OUT_TransportEnergyCons!M$4:M$10000))*1000&lt;0,0,(SUMPRODUCT(("Var_Cap"=[1]OUT_TransportEnergyCons!$B$4:$B$10000)*1,ISNUMBER(SEARCH("T_B_u*ICE*nga*s4",[1]OUT_TransportEnergyCons!$A$4:$A$10000))*1,[1]OUT_TransportEnergyCons!M$4:M$10000))*1000)</f>
        <v>0</v>
      </c>
      <c r="P1977" s="1" cm="1">
        <f t="array" ref="P1977">IF((SUMPRODUCT(("Var_Cap"=[1]OUT_TransportEnergyCons!$B$4:$B$10000)*1,ISNUMBER(SEARCH("T_B_u*ICE*nga*s4",[1]OUT_TransportEnergyCons!$A$4:$A$10000))*1,[1]OUT_TransportEnergyCons!N$4:N$10000))*1000&lt;0,0,(SUMPRODUCT(("Var_Cap"=[1]OUT_TransportEnergyCons!$B$4:$B$10000)*1,ISNUMBER(SEARCH("T_B_u*ICE*nga*s4",[1]OUT_TransportEnergyCons!$A$4:$A$10000))*1,[1]OUT_TransportEnergyCons!N$4:N$10000))*1000)</f>
        <v>0</v>
      </c>
      <c r="Q1977" s="1" cm="1">
        <f t="array" ref="Q1977">IF((SUMPRODUCT(("Var_Cap"=[1]OUT_TransportEnergyCons!$B$4:$B$10000)*1,ISNUMBER(SEARCH("T_B_u*ICE*nga*s4",[1]OUT_TransportEnergyCons!$A$4:$A$10000))*1,[1]OUT_TransportEnergyCons!O$4:O$10000))*1000&lt;0,0,(SUMPRODUCT(("Var_Cap"=[1]OUT_TransportEnergyCons!$B$4:$B$10000)*1,ISNUMBER(SEARCH("T_B_u*ICE*nga*s4",[1]OUT_TransportEnergyCons!$A$4:$A$10000))*1,[1]OUT_TransportEnergyCons!O$4:O$10000))*1000)</f>
        <v>0</v>
      </c>
      <c r="S1977" s="3"/>
    </row>
    <row r="1978" spans="2:19" x14ac:dyDescent="0.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2.8483530268323984</v>
      </c>
      <c r="G1978" s="3">
        <f t="shared" ref="G1978" si="2159">SUM(G1979:G2001)</f>
        <v>2.9220291583788076</v>
      </c>
      <c r="H1978" s="3">
        <f t="shared" ref="H1978" si="2160">SUM(H1979:H2001)</f>
        <v>2.8866870199494161</v>
      </c>
      <c r="I1978" s="3">
        <f t="shared" ref="I1978" si="2161">SUM(I1979:I2001)</f>
        <v>2.9273481017253049</v>
      </c>
      <c r="J1978" s="3">
        <f t="shared" ref="J1978" si="2162">SUM(J1979:J2001)</f>
        <v>2.9272779699865796</v>
      </c>
      <c r="K1978" s="3">
        <f t="shared" ref="K1978" si="2163">SUM(K1979:K2001)</f>
        <v>2.9295398840596389</v>
      </c>
      <c r="L1978" s="3">
        <f t="shared" ref="L1978:O1978" si="2164">SUM(L1979:L2001)</f>
        <v>2.9396421614974568</v>
      </c>
      <c r="M1978" s="3">
        <f t="shared" si="2164"/>
        <v>2.9640594287280062</v>
      </c>
      <c r="N1978" s="3">
        <f t="shared" si="2164"/>
        <v>3.0620432516278688</v>
      </c>
      <c r="O1978" s="3">
        <f t="shared" si="2164"/>
        <v>3.1789098070181465</v>
      </c>
      <c r="P1978" s="3">
        <f>SUM(P1979:P2001)</f>
        <v>3.2677871953908619</v>
      </c>
      <c r="Q1978" s="3">
        <f>SUM(Q1979:Q2001)</f>
        <v>3.3524362376096071</v>
      </c>
      <c r="S1978" s="3"/>
    </row>
    <row r="1979" spans="2:19" x14ac:dyDescent="0.5">
      <c r="B1979" s="5" t="str">
        <f t="shared" ref="B1979:B2001" si="2165">B1978</f>
        <v>SPS1</v>
      </c>
      <c r="C1979" s="5" t="str">
        <f t="shared" ref="C1979:C2001" si="2166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(SUMPRODUCT(("Var_Cap"=[1]OUT_TransportEnergyCons!$B$4:$B$10000)*1,ISNUMBER(SEARCH("T_b_c*bev*ext",[1]OUT_TransportEnergyCons!$A$4:$A$10000))*1,[1]OUT_TransportEnergyCons!H$4:H$10000))*1000</f>
        <v>0</v>
      </c>
      <c r="K1979" s="1" cm="1">
        <f t="array" ref="K1979">(SUMPRODUCT(("Var_Cap"=[1]OUT_TransportEnergyCons!$B$4:$B$10000)*1,ISNUMBER(SEARCH("T_b_c*bev*ext",[1]OUT_TransportEnergyCons!$A$4:$A$10000))*1,[1]OUT_TransportEnergyCons!I$4:I$10000))*1000</f>
        <v>0</v>
      </c>
      <c r="L1979" s="1" cm="1">
        <f t="array" ref="L1979">(SUMPRODUCT(("Var_Cap"=[1]OUT_TransportEnergyCons!$B$4:$B$10000)*1,ISNUMBER(SEARCH("T_b_c*bev*ext",[1]OUT_TransportEnergyCons!$A$4:$A$10000))*1,[1]OUT_TransportEnergyCons!J$4:J$10000))*1000</f>
        <v>0</v>
      </c>
      <c r="M1979" s="1" cm="1">
        <f t="array" ref="M1979">(SUMPRODUCT(("Var_Cap"=[1]OUT_TransportEnergyCons!$B$4:$B$10000)*1,ISNUMBER(SEARCH("T_b_c*bev*ext",[1]OUT_TransportEnergyCons!$A$4:$A$10000))*1,[1]OUT_TransportEnergyCons!K$4:K$10000))*1000</f>
        <v>0</v>
      </c>
      <c r="N1979" s="1" cm="1">
        <f t="array" ref="N1979">(SUMPRODUCT(("Var_Cap"=[1]OUT_TransportEnergyCons!$B$4:$B$10000)*1,ISNUMBER(SEARCH("T_b_c*bev*ext",[1]OUT_TransportEnergyCons!$A$4:$A$10000))*1,[1]OUT_TransportEnergyCons!L$4:L$10000))*1000</f>
        <v>0</v>
      </c>
      <c r="O1979" s="1" cm="1">
        <f t="array" ref="O1979">(SUMPRODUCT(("Var_Cap"=[1]OUT_TransportEnergyCons!$B$4:$B$10000)*1,ISNUMBER(SEARCH("T_b_c*bev*ext",[1]OUT_TransportEnergyCons!$A$4:$A$10000))*1,[1]OUT_TransportEnergyCons!M$4:M$10000))*1000</f>
        <v>0</v>
      </c>
      <c r="P1979" s="1" cm="1">
        <f t="array" ref="P1979">(SUMPRODUCT(("Var_Cap"=[1]OUT_TransportEnergyCons!$B$4:$B$10000)*1,ISNUMBER(SEARCH("T_b_c*bev*ext",[1]OUT_TransportEnergyCons!$A$4:$A$10000))*1,[1]OUT_TransportEnergyCons!N$4:N$10000))*1000</f>
        <v>0</v>
      </c>
      <c r="Q1979" s="1" cm="1">
        <f t="array" ref="Q1979">(SUMPRODUCT(("Var_Cap"=[1]OUT_TransportEnergyCons!$B$4:$B$10000)*1,ISNUMBER(SEARCH("T_b_c*bev*ext",[1]OUT_TransportEnergyCons!$A$4:$A$10000))*1,[1]OUT_TransportEnergyCons!O$4:O$10000))*1000</f>
        <v>0</v>
      </c>
      <c r="S1979" s="3"/>
    </row>
    <row r="1980" spans="2:19" x14ac:dyDescent="0.5">
      <c r="B1980" s="5" t="str">
        <f t="shared" si="2165"/>
        <v>SPS1</v>
      </c>
      <c r="C1980" s="5" t="str">
        <f t="shared" si="2166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2.0796788669851605E-3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3.1086138450756098E-3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5.378872789891991E-3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1.4080131756949223</v>
      </c>
      <c r="J1980" s="1" cm="1">
        <f t="array" ref="J1980">(SUMPRODUCT(("Var_Cap"=[1]OUT_TransportEnergyCons!$B$4:$B$10000)*1,ISNUMBER(SEARCH("T_b_c*bev*s1",[1]OUT_TransportEnergyCons!$A$4:$A$10000))*1,[1]OUT_TransportEnergyCons!H$4:H$10000))*1000</f>
        <v>1.3839948090968999</v>
      </c>
      <c r="K1980" s="1" cm="1">
        <f t="array" ref="K1980">(SUMPRODUCT(("Var_Cap"=[1]OUT_TransportEnergyCons!$B$4:$B$10000)*1,ISNUMBER(SEARCH("T_b_c*bev*s1",[1]OUT_TransportEnergyCons!$A$4:$A$10000))*1,[1]OUT_TransportEnergyCons!I$4:I$10000))*1000</f>
        <v>1.379821478379234</v>
      </c>
      <c r="L1980" s="1" cm="1">
        <f t="array" ref="L1980">(SUMPRODUCT(("Var_Cap"=[1]OUT_TransportEnergyCons!$B$4:$B$10000)*1,ISNUMBER(SEARCH("T_b_c*bev*s1",[1]OUT_TransportEnergyCons!$A$4:$A$10000))*1,[1]OUT_TransportEnergyCons!J$4:J$10000))*1000</f>
        <v>1.3690308501682062</v>
      </c>
      <c r="M1980" s="1" cm="1">
        <f t="array" ref="M1980">(SUMPRODUCT(("Var_Cap"=[1]OUT_TransportEnergyCons!$B$4:$B$10000)*1,ISNUMBER(SEARCH("T_b_c*bev*s1",[1]OUT_TransportEnergyCons!$A$4:$A$10000))*1,[1]OUT_TransportEnergyCons!K$4:K$10000))*1000</f>
        <v>1.3510549728503538</v>
      </c>
      <c r="N1980" s="1" cm="1">
        <f t="array" ref="N1980">(SUMPRODUCT(("Var_Cap"=[1]OUT_TransportEnergyCons!$B$4:$B$10000)*1,ISNUMBER(SEARCH("T_b_c*bev*s1",[1]OUT_TransportEnergyCons!$A$4:$A$10000))*1,[1]OUT_TransportEnergyCons!L$4:L$10000))*1000</f>
        <v>1.3623707548217574</v>
      </c>
      <c r="O1980" s="1" cm="1">
        <f t="array" ref="O1980">(SUMPRODUCT(("Var_Cap"=[1]OUT_TransportEnergyCons!$B$4:$B$10000)*1,ISNUMBER(SEARCH("T_b_c*bev*s1",[1]OUT_TransportEnergyCons!$A$4:$A$10000))*1,[1]OUT_TransportEnergyCons!M$4:M$10000))*1000</f>
        <v>1.3599357395486931</v>
      </c>
      <c r="P1980" s="1" cm="1">
        <f t="array" ref="P1980">(SUMPRODUCT(("Var_Cap"=[1]OUT_TransportEnergyCons!$B$4:$B$10000)*1,ISNUMBER(SEARCH("T_b_c*bev*s1",[1]OUT_TransportEnergyCons!$A$4:$A$10000))*1,[1]OUT_TransportEnergyCons!N$4:N$10000))*1000</f>
        <v>1.3955221198983834</v>
      </c>
      <c r="Q1980" s="1" cm="1">
        <f t="array" ref="Q1980">(SUMPRODUCT(("Var_Cap"=[1]OUT_TransportEnergyCons!$B$4:$B$10000)*1,ISNUMBER(SEARCH("T_b_c*bev*s1",[1]OUT_TransportEnergyCons!$A$4:$A$10000))*1,[1]OUT_TransportEnergyCons!O$4:O$10000))*1000</f>
        <v>1.3397644771057053</v>
      </c>
      <c r="S1980" s="3"/>
    </row>
    <row r="1981" spans="2:19" x14ac:dyDescent="0.5">
      <c r="B1981" s="5" t="str">
        <f t="shared" si="2165"/>
        <v>SPS1</v>
      </c>
      <c r="C1981" s="5" t="str">
        <f t="shared" si="2166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4.0856080347510502E-3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3.1658963964447946E-3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4.9565781902012442E-3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0.59804683827348792</v>
      </c>
      <c r="J1981" s="1" cm="1">
        <f t="array" ref="J1981">(SUMPRODUCT(("Var_Cap"=[1]OUT_TransportEnergyCons!$B$4:$B$10000)*1,ISNUMBER(SEARCH("T_b_c*bev*s2",[1]OUT_TransportEnergyCons!$A$4:$A$10000))*1,[1]OUT_TransportEnergyCons!H$4:H$10000))*1000</f>
        <v>0.61859370131859537</v>
      </c>
      <c r="K1981" s="1" cm="1">
        <f t="array" ref="K1981">(SUMPRODUCT(("Var_Cap"=[1]OUT_TransportEnergyCons!$B$4:$B$10000)*1,ISNUMBER(SEARCH("T_b_c*bev*s2",[1]OUT_TransportEnergyCons!$A$4:$A$10000))*1,[1]OUT_TransportEnergyCons!I$4:I$10000))*1000</f>
        <v>0.61837446776109017</v>
      </c>
      <c r="L1981" s="1" cm="1">
        <f t="array" ref="L1981">(SUMPRODUCT(("Var_Cap"=[1]OUT_TransportEnergyCons!$B$4:$B$10000)*1,ISNUMBER(SEARCH("T_b_c*bev*s2",[1]OUT_TransportEnergyCons!$A$4:$A$10000))*1,[1]OUT_TransportEnergyCons!J$4:J$10000))*1000</f>
        <v>0.62471175854356853</v>
      </c>
      <c r="M1981" s="1" cm="1">
        <f t="array" ref="M1981">(SUMPRODUCT(("Var_Cap"=[1]OUT_TransportEnergyCons!$B$4:$B$10000)*1,ISNUMBER(SEARCH("T_b_c*bev*s2",[1]OUT_TransportEnergyCons!$A$4:$A$10000))*1,[1]OUT_TransportEnergyCons!K$4:K$10000))*1000</f>
        <v>0.63636747969561736</v>
      </c>
      <c r="N1981" s="1" cm="1">
        <f t="array" ref="N1981">(SUMPRODUCT(("Var_Cap"=[1]OUT_TransportEnergyCons!$B$4:$B$10000)*1,ISNUMBER(SEARCH("T_b_c*bev*s2",[1]OUT_TransportEnergyCons!$A$4:$A$10000))*1,[1]OUT_TransportEnergyCons!L$4:L$10000))*1000</f>
        <v>0.62120808449897214</v>
      </c>
      <c r="O1981" s="1" cm="1">
        <f t="array" ref="O1981">(SUMPRODUCT(("Var_Cap"=[1]OUT_TransportEnergyCons!$B$4:$B$10000)*1,ISNUMBER(SEARCH("T_b_c*bev*s2",[1]OUT_TransportEnergyCons!$A$4:$A$10000))*1,[1]OUT_TransportEnergyCons!M$4:M$10000))*1000</f>
        <v>0.61290981707946535</v>
      </c>
      <c r="P1981" s="1" cm="1">
        <f t="array" ref="P1981">(SUMPRODUCT(("Var_Cap"=[1]OUT_TransportEnergyCons!$B$4:$B$10000)*1,ISNUMBER(SEARCH("T_b_c*bev*s2",[1]OUT_TransportEnergyCons!$A$4:$A$10000))*1,[1]OUT_TransportEnergyCons!N$4:N$10000))*1000</f>
        <v>0.55401557561271098</v>
      </c>
      <c r="Q1981" s="1" cm="1">
        <f t="array" ref="Q1981">(SUMPRODUCT(("Var_Cap"=[1]OUT_TransportEnergyCons!$B$4:$B$10000)*1,ISNUMBER(SEARCH("T_b_c*bev*s2",[1]OUT_TransportEnergyCons!$A$4:$A$10000))*1,[1]OUT_TransportEnergyCons!O$4:O$10000))*1000</f>
        <v>0.53442218051100288</v>
      </c>
      <c r="S1981" s="3"/>
    </row>
    <row r="1982" spans="2:19" x14ac:dyDescent="0.5">
      <c r="B1982" s="5" t="str">
        <f t="shared" si="2165"/>
        <v>SPS1</v>
      </c>
      <c r="C1982" s="5" t="str">
        <f t="shared" si="2166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9.7469801864271018E-4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1.5301087478988091E-3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2.0171752358566584E-3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2.9396006832749298E-3</v>
      </c>
      <c r="J1982" s="1" cm="1">
        <f t="array" ref="J1982">(SUMPRODUCT(("Var_Cap"=[1]OUT_TransportEnergyCons!$B$4:$B$10000)*1,ISNUMBER(SEARCH("T_b_c*bev*s3",[1]OUT_TransportEnergyCons!$A$4:$A$10000))*1,[1]OUT_TransportEnergyCons!H$4:H$10000))*1000</f>
        <v>6.5104882267212451E-3</v>
      </c>
      <c r="K1982" s="1" cm="1">
        <f t="array" ref="K1982">(SUMPRODUCT(("Var_Cap"=[1]OUT_TransportEnergyCons!$B$4:$B$10000)*1,ISNUMBER(SEARCH("T_b_c*bev*s3",[1]OUT_TransportEnergyCons!$A$4:$A$10000))*1,[1]OUT_TransportEnergyCons!I$4:I$10000))*1000</f>
        <v>1.0633139723927399E-2</v>
      </c>
      <c r="L1982" s="1" cm="1">
        <f t="array" ref="L1982">(SUMPRODUCT(("Var_Cap"=[1]OUT_TransportEnergyCons!$B$4:$B$10000)*1,ISNUMBER(SEARCH("T_b_c*bev*s3",[1]OUT_TransportEnergyCons!$A$4:$A$10000))*1,[1]OUT_TransportEnergyCons!J$4:J$10000))*1000</f>
        <v>1.5038791788936919E-2</v>
      </c>
      <c r="M1982" s="1" cm="1">
        <f t="array" ref="M1982">(SUMPRODUCT(("Var_Cap"=[1]OUT_TransportEnergyCons!$B$4:$B$10000)*1,ISNUMBER(SEARCH("T_b_c*bev*s3",[1]OUT_TransportEnergyCons!$A$4:$A$10000))*1,[1]OUT_TransportEnergyCons!K$4:K$10000))*1000</f>
        <v>2.1103674180805002E-2</v>
      </c>
      <c r="N1982" s="1" cm="1">
        <f t="array" ref="N1982">(SUMPRODUCT(("Var_Cap"=[1]OUT_TransportEnergyCons!$B$4:$B$10000)*1,ISNUMBER(SEARCH("T_b_c*bev*s3",[1]OUT_TransportEnergyCons!$A$4:$A$10000))*1,[1]OUT_TransportEnergyCons!L$4:L$10000))*1000</f>
        <v>2.4969791413068879E-2</v>
      </c>
      <c r="O1982" s="1" cm="1">
        <f t="array" ref="O1982">(SUMPRODUCT(("Var_Cap"=[1]OUT_TransportEnergyCons!$B$4:$B$10000)*1,ISNUMBER(SEARCH("T_b_c*bev*s3",[1]OUT_TransportEnergyCons!$A$4:$A$10000))*1,[1]OUT_TransportEnergyCons!M$4:M$10000))*1000</f>
        <v>3.5690177614239101E-2</v>
      </c>
      <c r="P1982" s="1" cm="1">
        <f t="array" ref="P1982">(SUMPRODUCT(("Var_Cap"=[1]OUT_TransportEnergyCons!$B$4:$B$10000)*1,ISNUMBER(SEARCH("T_b_c*bev*s3",[1]OUT_TransportEnergyCons!$A$4:$A$10000))*1,[1]OUT_TransportEnergyCons!N$4:N$10000))*1000</f>
        <v>5.8683272840820901E-2</v>
      </c>
      <c r="Q1982" s="1" cm="1">
        <f t="array" ref="Q1982">(SUMPRODUCT(("Var_Cap"=[1]OUT_TransportEnergyCons!$B$4:$B$10000)*1,ISNUMBER(SEARCH("T_b_c*bev*s3",[1]OUT_TransportEnergyCons!$A$4:$A$10000))*1,[1]OUT_TransportEnergyCons!O$4:O$10000))*1000</f>
        <v>0.13364961914188728</v>
      </c>
      <c r="S1982" s="3"/>
    </row>
    <row r="1983" spans="2:19" x14ac:dyDescent="0.5">
      <c r="B1983" s="5" t="str">
        <f t="shared" si="2165"/>
        <v>SPS1</v>
      </c>
      <c r="C1983" s="5" t="str">
        <f t="shared" si="2166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1.7586284452120201E-4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3.4507922306221397E-4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3.6241215970496995E-4</v>
      </c>
      <c r="J1983" s="1" cm="1">
        <f t="array" ref="J1983">(SUMPRODUCT(("Var_Cap"=[1]OUT_TransportEnergyCons!$B$4:$B$10000)*1,ISNUMBER(SEARCH("T_b_c*bev*s4",[1]OUT_TransportEnergyCons!$A$4:$A$10000))*1,[1]OUT_TransportEnergyCons!H$4:H$10000))*1000</f>
        <v>3.9908975365060101E-4</v>
      </c>
      <c r="K1983" s="1" cm="1">
        <f t="array" ref="K1983">(SUMPRODUCT(("Var_Cap"=[1]OUT_TransportEnergyCons!$B$4:$B$10000)*1,ISNUMBER(SEARCH("T_b_c*bev*s4",[1]OUT_TransportEnergyCons!$A$4:$A$10000))*1,[1]OUT_TransportEnergyCons!I$4:I$10000))*1000</f>
        <v>6.1374516788955053E-4</v>
      </c>
      <c r="L1983" s="1" cm="1">
        <f t="array" ref="L1983">(SUMPRODUCT(("Var_Cap"=[1]OUT_TransportEnergyCons!$B$4:$B$10000)*1,ISNUMBER(SEARCH("T_b_c*bev*s4",[1]OUT_TransportEnergyCons!$A$4:$A$10000))*1,[1]OUT_TransportEnergyCons!J$4:J$10000))*1000</f>
        <v>6.254148545161895E-4</v>
      </c>
      <c r="M1983" s="1" cm="1">
        <f t="array" ref="M1983">(SUMPRODUCT(("Var_Cap"=[1]OUT_TransportEnergyCons!$B$4:$B$10000)*1,ISNUMBER(SEARCH("T_b_c*bev*s4",[1]OUT_TransportEnergyCons!$A$4:$A$10000))*1,[1]OUT_TransportEnergyCons!K$4:K$10000))*1000</f>
        <v>8.5932205091266204E-4</v>
      </c>
      <c r="N1983" s="1" cm="1">
        <f t="array" ref="N1983">(SUMPRODUCT(("Var_Cap"=[1]OUT_TransportEnergyCons!$B$4:$B$10000)*1,ISNUMBER(SEARCH("T_b_c*bev*s4",[1]OUT_TransportEnergyCons!$A$4:$A$10000))*1,[1]OUT_TransportEnergyCons!L$4:L$10000))*1000</f>
        <v>8.363491936841989E-4</v>
      </c>
      <c r="O1983" s="1" cm="1">
        <f t="array" ref="O1983">(SUMPRODUCT(("Var_Cap"=[1]OUT_TransportEnergyCons!$B$4:$B$10000)*1,ISNUMBER(SEARCH("T_b_c*bev*s4",[1]OUT_TransportEnergyCons!$A$4:$A$10000))*1,[1]OUT_TransportEnergyCons!M$4:M$10000))*1000</f>
        <v>8.4014568826982193E-4</v>
      </c>
      <c r="P1983" s="1" cm="1">
        <f t="array" ref="P1983">(SUMPRODUCT(("Var_Cap"=[1]OUT_TransportEnergyCons!$B$4:$B$10000)*1,ISNUMBER(SEARCH("T_b_c*bev*s4",[1]OUT_TransportEnergyCons!$A$4:$A$10000))*1,[1]OUT_TransportEnergyCons!N$4:N$10000))*1000</f>
        <v>1.166107801837381E-3</v>
      </c>
      <c r="Q1983" s="1" cm="1">
        <f t="array" ref="Q1983">(SUMPRODUCT(("Var_Cap"=[1]OUT_TransportEnergyCons!$B$4:$B$10000)*1,ISNUMBER(SEARCH("T_b_c*bev*s4",[1]OUT_TransportEnergyCons!$A$4:$A$10000))*1,[1]OUT_TransportEnergyCons!O$4:O$10000))*1000</f>
        <v>1.5359389628731861E-3</v>
      </c>
      <c r="S1983" s="3"/>
    </row>
    <row r="1984" spans="2:19" x14ac:dyDescent="0.5">
      <c r="B1984" s="5" t="str">
        <f t="shared" si="2165"/>
        <v>SPS1</v>
      </c>
      <c r="C1984" s="5" t="str">
        <f t="shared" si="2166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1.2182062605028401E-5</v>
      </c>
      <c r="J1984" s="1" cm="1">
        <f t="array" ref="J1984">IF((SUMPRODUCT(("Var_Cap"=[1]OUT_TransportEnergyCons!$B$4:$B$10000)*1,ISNUMBER(SEARCH("T_b_c*h2o*s1",[1]OUT_TransportEnergyCons!$A$4:$A$10000))*1,[1]OUT_TransportEnergyCons!H$4:H$10000))*1000&lt;0,0,(SUMPRODUCT(("Var_Cap"=[1]OUT_TransportEnergyCons!$B$4:$B$10000)*1,ISNUMBER(SEARCH("T_b_c*h2o*s1",[1]OUT_TransportEnergyCons!$A$4:$A$10000))*1,[1]OUT_TransportEnergyCons!H$4:H$10000))*1000)</f>
        <v>1.2182062605028401E-5</v>
      </c>
      <c r="K1984" s="1" cm="1">
        <f t="array" ref="K1984">IF((SUMPRODUCT(("Var_Cap"=[1]OUT_TransportEnergyCons!$B$4:$B$10000)*1,ISNUMBER(SEARCH("T_b_c*h2o*s1",[1]OUT_TransportEnergyCons!$A$4:$A$10000))*1,[1]OUT_TransportEnergyCons!I$4:I$10000))*1000&lt;0,0,(SUMPRODUCT(("Var_Cap"=[1]OUT_TransportEnergyCons!$B$4:$B$10000)*1,ISNUMBER(SEARCH("T_b_c*h2o*s1",[1]OUT_TransportEnergyCons!$A$4:$A$10000))*1,[1]OUT_TransportEnergyCons!I$4:I$10000))*1000)</f>
        <v>2.55819584394824E-6</v>
      </c>
      <c r="L1984" s="1" cm="1">
        <f t="array" ref="L1984">IF((SUMPRODUCT(("Var_Cap"=[1]OUT_TransportEnergyCons!$B$4:$B$10000)*1,ISNUMBER(SEARCH("T_b_c*h2o*s1",[1]OUT_TransportEnergyCons!$A$4:$A$10000))*1,[1]OUT_TransportEnergyCons!J$4:J$10000))*1000&lt;0,0,(SUMPRODUCT(("Var_Cap"=[1]OUT_TransportEnergyCons!$B$4:$B$10000)*1,ISNUMBER(SEARCH("T_b_c*h2o*s1",[1]OUT_TransportEnergyCons!$A$4:$A$10000))*1,[1]OUT_TransportEnergyCons!J$4:J$10000))*1000)</f>
        <v>0</v>
      </c>
      <c r="M1984" s="1" cm="1">
        <f t="array" ref="M1984">IF((SUMPRODUCT(("Var_Cap"=[1]OUT_TransportEnergyCons!$B$4:$B$10000)*1,ISNUMBER(SEARCH("T_b_c*h2o*s1",[1]OUT_TransportEnergyCons!$A$4:$A$10000))*1,[1]OUT_TransportEnergyCons!K$4:K$10000))*1000&lt;0,0,(SUMPRODUCT(("Var_Cap"=[1]OUT_TransportEnergyCons!$B$4:$B$10000)*1,ISNUMBER(SEARCH("T_b_c*h2o*s1",[1]OUT_TransportEnergyCons!$A$4:$A$10000))*1,[1]OUT_TransportEnergyCons!K$4:K$10000))*1000)</f>
        <v>0</v>
      </c>
      <c r="N1984" s="1" cm="1">
        <f t="array" ref="N1984">IF((SUMPRODUCT(("Var_Cap"=[1]OUT_TransportEnergyCons!$B$4:$B$10000)*1,ISNUMBER(SEARCH("T_b_c*h2o*s1",[1]OUT_TransportEnergyCons!$A$4:$A$10000))*1,[1]OUT_TransportEnergyCons!L$4:L$10000))*1000&lt;0,0,(SUMPRODUCT(("Var_Cap"=[1]OUT_TransportEnergyCons!$B$4:$B$10000)*1,ISNUMBER(SEARCH("T_b_c*h2o*s1",[1]OUT_TransportEnergyCons!$A$4:$A$10000))*1,[1]OUT_TransportEnergyCons!L$4:L$10000))*1000)</f>
        <v>0</v>
      </c>
      <c r="O1984" s="1" cm="1">
        <f t="array" ref="O1984">IF((SUMPRODUCT(("Var_Cap"=[1]OUT_TransportEnergyCons!$B$4:$B$10000)*1,ISNUMBER(SEARCH("T_b_c*h2o*s1",[1]OUT_TransportEnergyCons!$A$4:$A$10000))*1,[1]OUT_TransportEnergyCons!M$4:M$10000))*1000&lt;0,0,(SUMPRODUCT(("Var_Cap"=[1]OUT_TransportEnergyCons!$B$4:$B$10000)*1,ISNUMBER(SEARCH("T_b_c*h2o*s1",[1]OUT_TransportEnergyCons!$A$4:$A$10000))*1,[1]OUT_TransportEnergyCons!M$4:M$10000))*1000)</f>
        <v>0</v>
      </c>
      <c r="P1984" s="1" cm="1">
        <f t="array" ref="P1984">IF((SUMPRODUCT(("Var_Cap"=[1]OUT_TransportEnergyCons!$B$4:$B$10000)*1,ISNUMBER(SEARCH("T_b_c*h2o*s1",[1]OUT_TransportEnergyCons!$A$4:$A$10000))*1,[1]OUT_TransportEnergyCons!N$4:N$10000))*1000&lt;0,0,(SUMPRODUCT(("Var_Cap"=[1]OUT_TransportEnergyCons!$B$4:$B$10000)*1,ISNUMBER(SEARCH("T_b_c*h2o*s1",[1]OUT_TransportEnergyCons!$A$4:$A$10000))*1,[1]OUT_TransportEnergyCons!N$4:N$10000))*1000)</f>
        <v>0</v>
      </c>
      <c r="Q1984" s="1" cm="1">
        <f t="array" ref="Q1984">IF((SUMPRODUCT(("Var_Cap"=[1]OUT_TransportEnergyCons!$B$4:$B$10000)*1,ISNUMBER(SEARCH("T_b_c*h2o*s1",[1]OUT_TransportEnergyCons!$A$4:$A$10000))*1,[1]OUT_TransportEnergyCons!O$4:O$10000))*1000&lt;0,0,(SUMPRODUCT(("Var_Cap"=[1]OUT_TransportEnergyCons!$B$4:$B$10000)*1,ISNUMBER(SEARCH("T_b_c*h2o*s1",[1]OUT_TransportEnergyCons!$A$4:$A$10000))*1,[1]OUT_TransportEnergyCons!O$4:O$10000))*1000)</f>
        <v>0</v>
      </c>
      <c r="S1984" s="3"/>
    </row>
    <row r="1985" spans="2:19" x14ac:dyDescent="0.5">
      <c r="B1985" s="5" t="str">
        <f t="shared" si="2165"/>
        <v>SPS1</v>
      </c>
      <c r="C1985" s="5" t="str">
        <f t="shared" si="2166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1.2503233194081101E-5</v>
      </c>
      <c r="J1985" s="1" cm="1">
        <f t="array" ref="J1985">IF((SUMPRODUCT(("Var_Cap"=[1]OUT_TransportEnergyCons!$B$4:$B$10000)*1,ISNUMBER(SEARCH("T_b_c*h2o*s2",[1]OUT_TransportEnergyCons!$A$4:$A$10000))*1,[1]OUT_TransportEnergyCons!H$4:H$10000))*1000&lt;0,0,(SUMPRODUCT(("Var_Cap"=[1]OUT_TransportEnergyCons!$B$4:$B$10000)*1,ISNUMBER(SEARCH("T_b_c*h2o*s2",[1]OUT_TransportEnergyCons!$A$4:$A$10000))*1,[1]OUT_TransportEnergyCons!H$4:H$10000))*1000)</f>
        <v>1.2503233194081101E-5</v>
      </c>
      <c r="K1985" s="1" cm="1">
        <f t="array" ref="K1985">IF((SUMPRODUCT(("Var_Cap"=[1]OUT_TransportEnergyCons!$B$4:$B$10000)*1,ISNUMBER(SEARCH("T_b_c*h2o*s2",[1]OUT_TransportEnergyCons!$A$4:$A$10000))*1,[1]OUT_TransportEnergyCons!I$4:I$10000))*1000&lt;0,0,(SUMPRODUCT(("Var_Cap"=[1]OUT_TransportEnergyCons!$B$4:$B$10000)*1,ISNUMBER(SEARCH("T_b_c*h2o*s2",[1]OUT_TransportEnergyCons!$A$4:$A$10000))*1,[1]OUT_TransportEnergyCons!I$4:I$10000))*1000)</f>
        <v>2.6256406841819301E-6</v>
      </c>
      <c r="L1985" s="1" cm="1">
        <f t="array" ref="L1985">IF((SUMPRODUCT(("Var_Cap"=[1]OUT_TransportEnergyCons!$B$4:$B$10000)*1,ISNUMBER(SEARCH("T_b_c*h2o*s2",[1]OUT_TransportEnergyCons!$A$4:$A$10000))*1,[1]OUT_TransportEnergyCons!J$4:J$10000))*1000&lt;0,0,(SUMPRODUCT(("Var_Cap"=[1]OUT_TransportEnergyCons!$B$4:$B$10000)*1,ISNUMBER(SEARCH("T_b_c*h2o*s2",[1]OUT_TransportEnergyCons!$A$4:$A$10000))*1,[1]OUT_TransportEnergyCons!J$4:J$10000))*1000)</f>
        <v>0</v>
      </c>
      <c r="M1985" s="1" cm="1">
        <f t="array" ref="M1985">IF((SUMPRODUCT(("Var_Cap"=[1]OUT_TransportEnergyCons!$B$4:$B$10000)*1,ISNUMBER(SEARCH("T_b_c*h2o*s2",[1]OUT_TransportEnergyCons!$A$4:$A$10000))*1,[1]OUT_TransportEnergyCons!K$4:K$10000))*1000&lt;0,0,(SUMPRODUCT(("Var_Cap"=[1]OUT_TransportEnergyCons!$B$4:$B$10000)*1,ISNUMBER(SEARCH("T_b_c*h2o*s2",[1]OUT_TransportEnergyCons!$A$4:$A$10000))*1,[1]OUT_TransportEnergyCons!K$4:K$10000))*1000)</f>
        <v>0</v>
      </c>
      <c r="N1985" s="1" cm="1">
        <f t="array" ref="N1985">IF((SUMPRODUCT(("Var_Cap"=[1]OUT_TransportEnergyCons!$B$4:$B$10000)*1,ISNUMBER(SEARCH("T_b_c*h2o*s2",[1]OUT_TransportEnergyCons!$A$4:$A$10000))*1,[1]OUT_TransportEnergyCons!L$4:L$10000))*1000&lt;0,0,(SUMPRODUCT(("Var_Cap"=[1]OUT_TransportEnergyCons!$B$4:$B$10000)*1,ISNUMBER(SEARCH("T_b_c*h2o*s2",[1]OUT_TransportEnergyCons!$A$4:$A$10000))*1,[1]OUT_TransportEnergyCons!L$4:L$10000))*1000)</f>
        <v>0</v>
      </c>
      <c r="O1985" s="1" cm="1">
        <f t="array" ref="O1985">IF((SUMPRODUCT(("Var_Cap"=[1]OUT_TransportEnergyCons!$B$4:$B$10000)*1,ISNUMBER(SEARCH("T_b_c*h2o*s2",[1]OUT_TransportEnergyCons!$A$4:$A$10000))*1,[1]OUT_TransportEnergyCons!M$4:M$10000))*1000&lt;0,0,(SUMPRODUCT(("Var_Cap"=[1]OUT_TransportEnergyCons!$B$4:$B$10000)*1,ISNUMBER(SEARCH("T_b_c*h2o*s2",[1]OUT_TransportEnergyCons!$A$4:$A$10000))*1,[1]OUT_TransportEnergyCons!M$4:M$10000))*1000)</f>
        <v>0</v>
      </c>
      <c r="P1985" s="1" cm="1">
        <f t="array" ref="P1985">IF((SUMPRODUCT(("Var_Cap"=[1]OUT_TransportEnergyCons!$B$4:$B$10000)*1,ISNUMBER(SEARCH("T_b_c*h2o*s2",[1]OUT_TransportEnergyCons!$A$4:$A$10000))*1,[1]OUT_TransportEnergyCons!N$4:N$10000))*1000&lt;0,0,(SUMPRODUCT(("Var_Cap"=[1]OUT_TransportEnergyCons!$B$4:$B$10000)*1,ISNUMBER(SEARCH("T_b_c*h2o*s2",[1]OUT_TransportEnergyCons!$A$4:$A$10000))*1,[1]OUT_TransportEnergyCons!N$4:N$10000))*1000)</f>
        <v>0</v>
      </c>
      <c r="Q1985" s="1" cm="1">
        <f t="array" ref="Q1985">IF((SUMPRODUCT(("Var_Cap"=[1]OUT_TransportEnergyCons!$B$4:$B$10000)*1,ISNUMBER(SEARCH("T_b_c*h2o*s2",[1]OUT_TransportEnergyCons!$A$4:$A$10000))*1,[1]OUT_TransportEnergyCons!O$4:O$10000))*1000&lt;0,0,(SUMPRODUCT(("Var_Cap"=[1]OUT_TransportEnergyCons!$B$4:$B$10000)*1,ISNUMBER(SEARCH("T_b_c*h2o*s2",[1]OUT_TransportEnergyCons!$A$4:$A$10000))*1,[1]OUT_TransportEnergyCons!O$4:O$10000))*1000)</f>
        <v>0</v>
      </c>
      <c r="S1985" s="3"/>
    </row>
    <row r="1986" spans="2:19" x14ac:dyDescent="0.5">
      <c r="B1986" s="5" t="str">
        <f t="shared" si="2165"/>
        <v>SPS1</v>
      </c>
      <c r="C1986" s="5" t="str">
        <f t="shared" si="2166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1.402189246994E-5</v>
      </c>
      <c r="J1986" s="1" cm="1">
        <f t="array" ref="J1986">IF((SUMPRODUCT(("Var_Cap"=[1]OUT_TransportEnergyCons!$B$4:$B$10000)*1,ISNUMBER(SEARCH("T_b_c*h2o*s3",[1]OUT_TransportEnergyCons!$A$4:$A$10000))*1,[1]OUT_TransportEnergyCons!H$4:H$10000))*1000&lt;0,0,(SUMPRODUCT(("Var_Cap"=[1]OUT_TransportEnergyCons!$B$4:$B$10000)*1,ISNUMBER(SEARCH("T_b_c*h2o*s3",[1]OUT_TransportEnergyCons!$A$4:$A$10000))*1,[1]OUT_TransportEnergyCons!H$4:H$10000))*1000)</f>
        <v>1.06451701090705E-5</v>
      </c>
      <c r="K1986" s="1" cm="1">
        <f t="array" ref="K1986">IF((SUMPRODUCT(("Var_Cap"=[1]OUT_TransportEnergyCons!$B$4:$B$10000)*1,ISNUMBER(SEARCH("T_b_c*h2o*s3",[1]OUT_TransportEnergyCons!$A$4:$A$10000))*1,[1]OUT_TransportEnergyCons!I$4:I$10000))*1000&lt;0,0,(SUMPRODUCT(("Var_Cap"=[1]OUT_TransportEnergyCons!$B$4:$B$10000)*1,ISNUMBER(SEARCH("T_b_c*h2o*s3",[1]OUT_TransportEnergyCons!$A$4:$A$10000))*1,[1]OUT_TransportEnergyCons!I$4:I$10000))*1000)</f>
        <v>0</v>
      </c>
      <c r="L1986" s="1" cm="1">
        <f t="array" ref="L1986">IF((SUMPRODUCT(("Var_Cap"=[1]OUT_TransportEnergyCons!$B$4:$B$10000)*1,ISNUMBER(SEARCH("T_b_c*h2o*s3",[1]OUT_TransportEnergyCons!$A$4:$A$10000))*1,[1]OUT_TransportEnergyCons!J$4:J$10000))*1000&lt;0,0,(SUMPRODUCT(("Var_Cap"=[1]OUT_TransportEnergyCons!$B$4:$B$10000)*1,ISNUMBER(SEARCH("T_b_c*h2o*s3",[1]OUT_TransportEnergyCons!$A$4:$A$10000))*1,[1]OUT_TransportEnergyCons!J$4:J$10000))*1000)</f>
        <v>0</v>
      </c>
      <c r="M1986" s="1" cm="1">
        <f t="array" ref="M1986">IF((SUMPRODUCT(("Var_Cap"=[1]OUT_TransportEnergyCons!$B$4:$B$10000)*1,ISNUMBER(SEARCH("T_b_c*h2o*s3",[1]OUT_TransportEnergyCons!$A$4:$A$10000))*1,[1]OUT_TransportEnergyCons!K$4:K$10000))*1000&lt;0,0,(SUMPRODUCT(("Var_Cap"=[1]OUT_TransportEnergyCons!$B$4:$B$10000)*1,ISNUMBER(SEARCH("T_b_c*h2o*s3",[1]OUT_TransportEnergyCons!$A$4:$A$10000))*1,[1]OUT_TransportEnergyCons!K$4:K$10000))*1000)</f>
        <v>0</v>
      </c>
      <c r="N1986" s="1" cm="1">
        <f t="array" ref="N1986">IF((SUMPRODUCT(("Var_Cap"=[1]OUT_TransportEnergyCons!$B$4:$B$10000)*1,ISNUMBER(SEARCH("T_b_c*h2o*s3",[1]OUT_TransportEnergyCons!$A$4:$A$10000))*1,[1]OUT_TransportEnergyCons!L$4:L$10000))*1000&lt;0,0,(SUMPRODUCT(("Var_Cap"=[1]OUT_TransportEnergyCons!$B$4:$B$10000)*1,ISNUMBER(SEARCH("T_b_c*h2o*s3",[1]OUT_TransportEnergyCons!$A$4:$A$10000))*1,[1]OUT_TransportEnergyCons!L$4:L$10000))*1000)</f>
        <v>0</v>
      </c>
      <c r="O1986" s="1" cm="1">
        <f t="array" ref="O1986">IF((SUMPRODUCT(("Var_Cap"=[1]OUT_TransportEnergyCons!$B$4:$B$10000)*1,ISNUMBER(SEARCH("T_b_c*h2o*s3",[1]OUT_TransportEnergyCons!$A$4:$A$10000))*1,[1]OUT_TransportEnergyCons!M$4:M$10000))*1000&lt;0,0,(SUMPRODUCT(("Var_Cap"=[1]OUT_TransportEnergyCons!$B$4:$B$10000)*1,ISNUMBER(SEARCH("T_b_c*h2o*s3",[1]OUT_TransportEnergyCons!$A$4:$A$10000))*1,[1]OUT_TransportEnergyCons!M$4:M$10000))*1000)</f>
        <v>0</v>
      </c>
      <c r="P1986" s="1" cm="1">
        <f t="array" ref="P1986">IF((SUMPRODUCT(("Var_Cap"=[1]OUT_TransportEnergyCons!$B$4:$B$10000)*1,ISNUMBER(SEARCH("T_b_c*h2o*s3",[1]OUT_TransportEnergyCons!$A$4:$A$10000))*1,[1]OUT_TransportEnergyCons!N$4:N$10000))*1000&lt;0,0,(SUMPRODUCT(("Var_Cap"=[1]OUT_TransportEnergyCons!$B$4:$B$10000)*1,ISNUMBER(SEARCH("T_b_c*h2o*s3",[1]OUT_TransportEnergyCons!$A$4:$A$10000))*1,[1]OUT_TransportEnergyCons!N$4:N$10000))*1000)</f>
        <v>0</v>
      </c>
      <c r="Q1986" s="1" cm="1">
        <f t="array" ref="Q1986">IF((SUMPRODUCT(("Var_Cap"=[1]OUT_TransportEnergyCons!$B$4:$B$10000)*1,ISNUMBER(SEARCH("T_b_c*h2o*s3",[1]OUT_TransportEnergyCons!$A$4:$A$10000))*1,[1]OUT_TransportEnergyCons!O$4:O$10000))*1000&lt;0,0,(SUMPRODUCT(("Var_Cap"=[1]OUT_TransportEnergyCons!$B$4:$B$10000)*1,ISNUMBER(SEARCH("T_b_c*h2o*s3",[1]OUT_TransportEnergyCons!$A$4:$A$10000))*1,[1]OUT_TransportEnergyCons!O$4:O$10000))*1000)</f>
        <v>0</v>
      </c>
      <c r="S1986" s="3"/>
    </row>
    <row r="1987" spans="2:19" x14ac:dyDescent="0.5">
      <c r="B1987" s="5" t="str">
        <f t="shared" si="2165"/>
        <v>SPS1</v>
      </c>
      <c r="C1987" s="5" t="str">
        <f t="shared" si="2166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[1]OUT_TransportEnergyCons!$B$4:$B$10000)*1,ISNUMBER(SEARCH("T_b_c*h2o*s4",[1]OUT_TransportEnergyCons!$A$4:$A$10000))*1,[1]OUT_TransportEnergyCons!H$4:H$10000))*1000&lt;0,0,(SUMPRODUCT(("Var_Cap"=[1]OUT_TransportEnergyCons!$B$4:$B$10000)*1,ISNUMBER(SEARCH("T_b_c*h2o*s4",[1]OUT_TransportEnergyCons!$A$4:$A$10000))*1,[1]OUT_TransportEnergyCons!H$4:H$10000))*1000)</f>
        <v>0</v>
      </c>
      <c r="K1987" s="1" cm="1">
        <f t="array" ref="K1987">IF((SUMPRODUCT(("Var_Cap"=[1]OUT_TransportEnergyCons!$B$4:$B$10000)*1,ISNUMBER(SEARCH("T_b_c*h2o*s4",[1]OUT_TransportEnergyCons!$A$4:$A$10000))*1,[1]OUT_TransportEnergyCons!I$4:I$10000))*1000&lt;0,0,(SUMPRODUCT(("Var_Cap"=[1]OUT_TransportEnergyCons!$B$4:$B$10000)*1,ISNUMBER(SEARCH("T_b_c*h2o*s4",[1]OUT_TransportEnergyCons!$A$4:$A$10000))*1,[1]OUT_TransportEnergyCons!I$4:I$10000))*1000)</f>
        <v>0</v>
      </c>
      <c r="L1987" s="1" cm="1">
        <f t="array" ref="L1987">IF((SUMPRODUCT(("Var_Cap"=[1]OUT_TransportEnergyCons!$B$4:$B$10000)*1,ISNUMBER(SEARCH("T_b_c*h2o*s4",[1]OUT_TransportEnergyCons!$A$4:$A$10000))*1,[1]OUT_TransportEnergyCons!J$4:J$10000))*1000&lt;0,0,(SUMPRODUCT(("Var_Cap"=[1]OUT_TransportEnergyCons!$B$4:$B$10000)*1,ISNUMBER(SEARCH("T_b_c*h2o*s4",[1]OUT_TransportEnergyCons!$A$4:$A$10000))*1,[1]OUT_TransportEnergyCons!J$4:J$10000))*1000)</f>
        <v>0</v>
      </c>
      <c r="M1987" s="1" cm="1">
        <f t="array" ref="M1987">IF((SUMPRODUCT(("Var_Cap"=[1]OUT_TransportEnergyCons!$B$4:$B$10000)*1,ISNUMBER(SEARCH("T_b_c*h2o*s4",[1]OUT_TransportEnergyCons!$A$4:$A$10000))*1,[1]OUT_TransportEnergyCons!K$4:K$10000))*1000&lt;0,0,(SUMPRODUCT(("Var_Cap"=[1]OUT_TransportEnergyCons!$B$4:$B$10000)*1,ISNUMBER(SEARCH("T_b_c*h2o*s4",[1]OUT_TransportEnergyCons!$A$4:$A$10000))*1,[1]OUT_TransportEnergyCons!K$4:K$10000))*1000)</f>
        <v>0</v>
      </c>
      <c r="N1987" s="1" cm="1">
        <f t="array" ref="N1987">IF((SUMPRODUCT(("Var_Cap"=[1]OUT_TransportEnergyCons!$B$4:$B$10000)*1,ISNUMBER(SEARCH("T_b_c*h2o*s4",[1]OUT_TransportEnergyCons!$A$4:$A$10000))*1,[1]OUT_TransportEnergyCons!L$4:L$10000))*1000&lt;0,0,(SUMPRODUCT(("Var_Cap"=[1]OUT_TransportEnergyCons!$B$4:$B$10000)*1,ISNUMBER(SEARCH("T_b_c*h2o*s4",[1]OUT_TransportEnergyCons!$A$4:$A$10000))*1,[1]OUT_TransportEnergyCons!L$4:L$10000))*1000)</f>
        <v>0</v>
      </c>
      <c r="O1987" s="1" cm="1">
        <f t="array" ref="O1987">IF((SUMPRODUCT(("Var_Cap"=[1]OUT_TransportEnergyCons!$B$4:$B$10000)*1,ISNUMBER(SEARCH("T_b_c*h2o*s4",[1]OUT_TransportEnergyCons!$A$4:$A$10000))*1,[1]OUT_TransportEnergyCons!M$4:M$10000))*1000&lt;0,0,(SUMPRODUCT(("Var_Cap"=[1]OUT_TransportEnergyCons!$B$4:$B$10000)*1,ISNUMBER(SEARCH("T_b_c*h2o*s4",[1]OUT_TransportEnergyCons!$A$4:$A$10000))*1,[1]OUT_TransportEnergyCons!M$4:M$10000))*1000)</f>
        <v>0</v>
      </c>
      <c r="P1987" s="1" cm="1">
        <f t="array" ref="P1987">IF((SUMPRODUCT(("Var_Cap"=[1]OUT_TransportEnergyCons!$B$4:$B$10000)*1,ISNUMBER(SEARCH("T_b_c*h2o*s4",[1]OUT_TransportEnergyCons!$A$4:$A$10000))*1,[1]OUT_TransportEnergyCons!N$4:N$10000))*1000&lt;0,0,(SUMPRODUCT(("Var_Cap"=[1]OUT_TransportEnergyCons!$B$4:$B$10000)*1,ISNUMBER(SEARCH("T_b_c*h2o*s4",[1]OUT_TransportEnergyCons!$A$4:$A$10000))*1,[1]OUT_TransportEnergyCons!N$4:N$10000))*1000)</f>
        <v>0</v>
      </c>
      <c r="Q1987" s="1" cm="1">
        <f t="array" ref="Q1987">IF((SUMPRODUCT(("Var_Cap"=[1]OUT_TransportEnergyCons!$B$4:$B$10000)*1,ISNUMBER(SEARCH("T_b_c*h2o*s4",[1]OUT_TransportEnergyCons!$A$4:$A$10000))*1,[1]OUT_TransportEnergyCons!O$4:O$10000))*1000&lt;0,0,(SUMPRODUCT(("Var_Cap"=[1]OUT_TransportEnergyCons!$B$4:$B$10000)*1,ISNUMBER(SEARCH("T_b_c*h2o*s4",[1]OUT_TransportEnergyCons!$A$4:$A$10000))*1,[1]OUT_TransportEnergyCons!O$4:O$10000))*1000)</f>
        <v>0</v>
      </c>
      <c r="S1987" s="3"/>
    </row>
    <row r="1988" spans="2:19" x14ac:dyDescent="0.5">
      <c r="B1988" s="5" t="str">
        <f t="shared" si="2165"/>
        <v>SPS1</v>
      </c>
      <c r="C1988" s="5" t="str">
        <f t="shared" si="2166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5.5651774801828398E-3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7.2441612103284359E-3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4.1991624873047697E-3</v>
      </c>
      <c r="J1988" s="1" cm="1">
        <f t="array" ref="J1988">(SUMPRODUCT(("Var_Cap"=[1]OUT_TransportEnergyCons!$B$4:$B$10000)*1,ISNUMBER(SEARCH("T_b_c*hyb*DSL*s1",[1]OUT_TransportEnergyCons!$A$4:$A$10000))*1,[1]OUT_TransportEnergyCons!H$4:H$10000))*1000</f>
        <v>2.5463071920964361E-2</v>
      </c>
      <c r="K1988" s="1" cm="1">
        <f t="array" ref="K1988">(SUMPRODUCT(("Var_Cap"=[1]OUT_TransportEnergyCons!$B$4:$B$10000)*1,ISNUMBER(SEARCH("T_b_c*hyb*DSL*s1",[1]OUT_TransportEnergyCons!$A$4:$A$10000))*1,[1]OUT_TransportEnergyCons!I$4:I$10000))*1000</f>
        <v>3.0621271697426598E-2</v>
      </c>
      <c r="L1988" s="1" cm="1">
        <f t="array" ref="L1988">(SUMPRODUCT(("Var_Cap"=[1]OUT_TransportEnergyCons!$B$4:$B$10000)*1,ISNUMBER(SEARCH("T_b_c*hyb*DSL*s1",[1]OUT_TransportEnergyCons!$A$4:$A$10000))*1,[1]OUT_TransportEnergyCons!J$4:J$10000))*1000</f>
        <v>4.7370035923183285E-2</v>
      </c>
      <c r="M1988" s="1" cm="1">
        <f t="array" ref="M1988">(SUMPRODUCT(("Var_Cap"=[1]OUT_TransportEnergyCons!$B$4:$B$10000)*1,ISNUMBER(SEARCH("T_b_c*hyb*DSL*s1",[1]OUT_TransportEnergyCons!$A$4:$A$10000))*1,[1]OUT_TransportEnergyCons!K$4:K$10000))*1000</f>
        <v>8.4671721909557462E-2</v>
      </c>
      <c r="N1988" s="1" cm="1">
        <f t="array" ref="N1988">(SUMPRODUCT(("Var_Cap"=[1]OUT_TransportEnergyCons!$B$4:$B$10000)*1,ISNUMBER(SEARCH("T_b_c*hyb*DSL*s1",[1]OUT_TransportEnergyCons!$A$4:$A$10000))*1,[1]OUT_TransportEnergyCons!L$4:L$10000))*1000</f>
        <v>0.12379066040524693</v>
      </c>
      <c r="O1988" s="1" cm="1">
        <f t="array" ref="O1988">(SUMPRODUCT(("Var_Cap"=[1]OUT_TransportEnergyCons!$B$4:$B$10000)*1,ISNUMBER(SEARCH("T_b_c*hyb*DSL*s1",[1]OUT_TransportEnergyCons!$A$4:$A$10000))*1,[1]OUT_TransportEnergyCons!M$4:M$10000))*1000</f>
        <v>0.19567779001488325</v>
      </c>
      <c r="P1988" s="1" cm="1">
        <f t="array" ref="P1988">(SUMPRODUCT(("Var_Cap"=[1]OUT_TransportEnergyCons!$B$4:$B$10000)*1,ISNUMBER(SEARCH("T_b_c*hyb*DSL*s1",[1]OUT_TransportEnergyCons!$A$4:$A$10000))*1,[1]OUT_TransportEnergyCons!N$4:N$10000))*1000</f>
        <v>0.20408452461380669</v>
      </c>
      <c r="Q1988" s="1" cm="1">
        <f t="array" ref="Q1988">(SUMPRODUCT(("Var_Cap"=[1]OUT_TransportEnergyCons!$B$4:$B$10000)*1,ISNUMBER(SEARCH("T_b_c*hyb*DSL*s1",[1]OUT_TransportEnergyCons!$A$4:$A$10000))*1,[1]OUT_TransportEnergyCons!O$4:O$10000))*1000</f>
        <v>0.29948406864751764</v>
      </c>
      <c r="S1988" s="3"/>
    </row>
    <row r="1989" spans="2:19" x14ac:dyDescent="0.5">
      <c r="B1989" s="5" t="str">
        <f t="shared" si="2165"/>
        <v>SPS1</v>
      </c>
      <c r="C1989" s="5" t="str">
        <f t="shared" si="2166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1.0978376272621901E-3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0.15080174536062901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0.64970845816843492</v>
      </c>
      <c r="J1989" s="1" cm="1">
        <f t="array" ref="J1989">(SUMPRODUCT(("Var_Cap"=[1]OUT_TransportEnergyCons!$B$4:$B$10000)*1,ISNUMBER(SEARCH("T_b_c*hyb*DSL*s2",[1]OUT_TransportEnergyCons!$A$4:$A$10000))*1,[1]OUT_TransportEnergyCons!H$4:H$10000))*1000</f>
        <v>0.63131118038663103</v>
      </c>
      <c r="K1989" s="1" cm="1">
        <f t="array" ref="K1989">(SUMPRODUCT(("Var_Cap"=[1]OUT_TransportEnergyCons!$B$4:$B$10000)*1,ISNUMBER(SEARCH("T_b_c*hyb*DSL*s2",[1]OUT_TransportEnergyCons!$A$4:$A$10000))*1,[1]OUT_TransportEnergyCons!I$4:I$10000))*1000</f>
        <v>0.63237582948837978</v>
      </c>
      <c r="L1989" s="1" cm="1">
        <f t="array" ref="L1989">(SUMPRODUCT(("Var_Cap"=[1]OUT_TransportEnergyCons!$B$4:$B$10000)*1,ISNUMBER(SEARCH("T_b_c*hyb*DSL*s2",[1]OUT_TransportEnergyCons!$A$4:$A$10000))*1,[1]OUT_TransportEnergyCons!J$4:J$10000))*1000</f>
        <v>0.62935654843038802</v>
      </c>
      <c r="M1989" s="1" cm="1">
        <f t="array" ref="M1989">(SUMPRODUCT(("Var_Cap"=[1]OUT_TransportEnergyCons!$B$4:$B$10000)*1,ISNUMBER(SEARCH("T_b_c*hyb*DSL*s2",[1]OUT_TransportEnergyCons!$A$4:$A$10000))*1,[1]OUT_TransportEnergyCons!K$4:K$10000))*1000</f>
        <v>0.6217366101251881</v>
      </c>
      <c r="N1989" s="1" cm="1">
        <f t="array" ref="N1989">(SUMPRODUCT(("Var_Cap"=[1]OUT_TransportEnergyCons!$B$4:$B$10000)*1,ISNUMBER(SEARCH("T_b_c*hyb*DSL*s2",[1]OUT_TransportEnergyCons!$A$4:$A$10000))*1,[1]OUT_TransportEnergyCons!L$4:L$10000))*1000</f>
        <v>0.67597380950175201</v>
      </c>
      <c r="O1989" s="1" cm="1">
        <f t="array" ref="O1989">(SUMPRODUCT(("Var_Cap"=[1]OUT_TransportEnergyCons!$B$4:$B$10000)*1,ISNUMBER(SEARCH("T_b_c*hyb*DSL*s2",[1]OUT_TransportEnergyCons!$A$4:$A$10000))*1,[1]OUT_TransportEnergyCons!M$4:M$10000))*1000</f>
        <v>0.7234367199751881</v>
      </c>
      <c r="P1989" s="1" cm="1">
        <f t="array" ref="P1989">(SUMPRODUCT(("Var_Cap"=[1]OUT_TransportEnergyCons!$B$4:$B$10000)*1,ISNUMBER(SEARCH("T_b_c*hyb*DSL*s2",[1]OUT_TransportEnergyCons!$A$4:$A$10000))*1,[1]OUT_TransportEnergyCons!N$4:N$10000))*1000</f>
        <v>0.81890594276918072</v>
      </c>
      <c r="Q1989" s="1" cm="1">
        <f t="array" ref="Q1989">(SUMPRODUCT(("Var_Cap"=[1]OUT_TransportEnergyCons!$B$4:$B$10000)*1,ISNUMBER(SEARCH("T_b_c*hyb*DSL*s2",[1]OUT_TransportEnergyCons!$A$4:$A$10000))*1,[1]OUT_TransportEnergyCons!O$4:O$10000))*1000</f>
        <v>0.8751664647472196</v>
      </c>
      <c r="S1989" s="3"/>
    </row>
    <row r="1990" spans="2:19" x14ac:dyDescent="0.5">
      <c r="B1990" s="5" t="str">
        <f t="shared" si="2165"/>
        <v>SPS1</v>
      </c>
      <c r="C1990" s="5" t="str">
        <f t="shared" si="2166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4.9131130234857101E-4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6.52692671838265E-3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0.26390499471048501</v>
      </c>
      <c r="J1990" s="1" cm="1">
        <f t="array" ref="J1990">(SUMPRODUCT(("Var_Cap"=[1]OUT_TransportEnergyCons!$B$4:$B$10000)*1,ISNUMBER(SEARCH("T_b_c*hyb*DSL*s3",[1]OUT_TransportEnergyCons!$A$4:$A$10000))*1,[1]OUT_TransportEnergyCons!H$4:H$10000))*1000</f>
        <v>0.26085117753920911</v>
      </c>
      <c r="K1990" s="1" cm="1">
        <f t="array" ref="K1990">(SUMPRODUCT(("Var_Cap"=[1]OUT_TransportEnergyCons!$B$4:$B$10000)*1,ISNUMBER(SEARCH("T_b_c*hyb*DSL*s3",[1]OUT_TransportEnergyCons!$A$4:$A$10000))*1,[1]OUT_TransportEnergyCons!I$4:I$10000))*1000</f>
        <v>0.25691510328362499</v>
      </c>
      <c r="L1990" s="1" cm="1">
        <f t="array" ref="L1990">(SUMPRODUCT(("Var_Cap"=[1]OUT_TransportEnergyCons!$B$4:$B$10000)*1,ISNUMBER(SEARCH("T_b_c*hyb*DSL*s3",[1]OUT_TransportEnergyCons!$A$4:$A$10000))*1,[1]OUT_TransportEnergyCons!J$4:J$10000))*1000</f>
        <v>0.25333336351043301</v>
      </c>
      <c r="M1990" s="1" cm="1">
        <f t="array" ref="M1990">(SUMPRODUCT(("Var_Cap"=[1]OUT_TransportEnergyCons!$B$4:$B$10000)*1,ISNUMBER(SEARCH("T_b_c*hyb*DSL*s3",[1]OUT_TransportEnergyCons!$A$4:$A$10000))*1,[1]OUT_TransportEnergyCons!K$4:K$10000))*1000</f>
        <v>0.24803443382899801</v>
      </c>
      <c r="N1990" s="1" cm="1">
        <f t="array" ref="N1990">(SUMPRODUCT(("Var_Cap"=[1]OUT_TransportEnergyCons!$B$4:$B$10000)*1,ISNUMBER(SEARCH("T_b_c*hyb*DSL*s3",[1]OUT_TransportEnergyCons!$A$4:$A$10000))*1,[1]OUT_TransportEnergyCons!L$4:L$10000))*1000</f>
        <v>0.25263616898449298</v>
      </c>
      <c r="O1990" s="1" cm="1">
        <f t="array" ref="O1990">(SUMPRODUCT(("Var_Cap"=[1]OUT_TransportEnergyCons!$B$4:$B$10000)*1,ISNUMBER(SEARCH("T_b_c*hyb*DSL*s3",[1]OUT_TransportEnergyCons!$A$4:$A$10000))*1,[1]OUT_TransportEnergyCons!M$4:M$10000))*1000</f>
        <v>0.25018935489530603</v>
      </c>
      <c r="P1990" s="1" cm="1">
        <f t="array" ref="P1990">(SUMPRODUCT(("Var_Cap"=[1]OUT_TransportEnergyCons!$B$4:$B$10000)*1,ISNUMBER(SEARCH("T_b_c*hyb*DSL*s3",[1]OUT_TransportEnergyCons!$A$4:$A$10000))*1,[1]OUT_TransportEnergyCons!N$4:N$10000))*1000</f>
        <v>0.23507394363082901</v>
      </c>
      <c r="Q1990" s="1" cm="1">
        <f t="array" ref="Q1990">(SUMPRODUCT(("Var_Cap"=[1]OUT_TransportEnergyCons!$B$4:$B$10000)*1,ISNUMBER(SEARCH("T_b_c*hyb*DSL*s3",[1]OUT_TransportEnergyCons!$A$4:$A$10000))*1,[1]OUT_TransportEnergyCons!O$4:O$10000))*1000</f>
        <v>0.16799720233833701</v>
      </c>
      <c r="S1990" s="3"/>
    </row>
    <row r="1991" spans="2:19" x14ac:dyDescent="0.5">
      <c r="B1991" s="5" t="str">
        <f t="shared" si="2165"/>
        <v>SPS1</v>
      </c>
      <c r="C1991" s="5" t="str">
        <f t="shared" si="2166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7.6243163248699899E-5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1.3975798516075499E-4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1.34005106804969E-4</v>
      </c>
      <c r="J1991" s="1" cm="1">
        <f t="array" ref="J1991">IF((SUMPRODUCT(("Var_Cap"=[1]OUT_TransportEnergyCons!$B$4:$B$10000)*1,ISNUMBER(SEARCH("T_b_c*hyb*DSL*s4",[1]OUT_TransportEnergyCons!$A$4:$A$10000))*1,[1]OUT_TransportEnergyCons!H$4:H$10000))*1000&lt;0,0,(SUMPRODUCT(("Var_Cap"=[1]OUT_TransportEnergyCons!$B$4:$B$10000)*1,ISNUMBER(SEARCH("T_b_c*hyb*DSL*s4",[1]OUT_TransportEnergyCons!$A$4:$A$10000))*1,[1]OUT_TransportEnergyCons!H$4:H$10000))*1000)</f>
        <v>1.1055411581934799E-4</v>
      </c>
      <c r="K1991" s="1" cm="1">
        <f t="array" ref="K1991">IF((SUMPRODUCT(("Var_Cap"=[1]OUT_TransportEnergyCons!$B$4:$B$10000)*1,ISNUMBER(SEARCH("T_b_c*hyb*DSL*s4",[1]OUT_TransportEnergyCons!$A$4:$A$10000))*1,[1]OUT_TransportEnergyCons!I$4:I$10000))*1000&lt;0,0,(SUMPRODUCT(("Var_Cap"=[1]OUT_TransportEnergyCons!$B$4:$B$10000)*1,ISNUMBER(SEARCH("T_b_c*hyb*DSL*s4",[1]OUT_TransportEnergyCons!$A$4:$A$10000))*1,[1]OUT_TransportEnergyCons!I$4:I$10000))*1000)</f>
        <v>1.7966472153774902E-4</v>
      </c>
      <c r="L1991" s="1" cm="1">
        <f t="array" ref="L1991">IF((SUMPRODUCT(("Var_Cap"=[1]OUT_TransportEnergyCons!$B$4:$B$10000)*1,ISNUMBER(SEARCH("T_b_c*hyb*DSL*s4",[1]OUT_TransportEnergyCons!$A$4:$A$10000))*1,[1]OUT_TransportEnergyCons!J$4:J$10000))*1000&lt;0,0,(SUMPRODUCT(("Var_Cap"=[1]OUT_TransportEnergyCons!$B$4:$B$10000)*1,ISNUMBER(SEARCH("T_b_c*hyb*DSL*s4",[1]OUT_TransportEnergyCons!$A$4:$A$10000))*1,[1]OUT_TransportEnergyCons!J$4:J$10000))*1000)</f>
        <v>1.7539827822443799E-4</v>
      </c>
      <c r="M1991" s="1" cm="1">
        <f t="array" ref="M1991">IF((SUMPRODUCT(("Var_Cap"=[1]OUT_TransportEnergyCons!$B$4:$B$10000)*1,ISNUMBER(SEARCH("T_b_c*hyb*DSL*s4",[1]OUT_TransportEnergyCons!$A$4:$A$10000))*1,[1]OUT_TransportEnergyCons!K$4:K$10000))*1000&lt;0,0,(SUMPRODUCT(("Var_Cap"=[1]OUT_TransportEnergyCons!$B$4:$B$10000)*1,ISNUMBER(SEARCH("T_b_c*hyb*DSL*s4",[1]OUT_TransportEnergyCons!$A$4:$A$10000))*1,[1]OUT_TransportEnergyCons!K$4:K$10000))*1000)</f>
        <v>2.3121408657349201E-4</v>
      </c>
      <c r="N1991" s="1" cm="1">
        <f t="array" ref="N1991">IF((SUMPRODUCT(("Var_Cap"=[1]OUT_TransportEnergyCons!$B$4:$B$10000)*1,ISNUMBER(SEARCH("T_b_c*hyb*DSL*s4",[1]OUT_TransportEnergyCons!$A$4:$A$10000))*1,[1]OUT_TransportEnergyCons!L$4:L$10000))*1000&lt;0,0,(SUMPRODUCT(("Var_Cap"=[1]OUT_TransportEnergyCons!$B$4:$B$10000)*1,ISNUMBER(SEARCH("T_b_c*hyb*DSL*s4",[1]OUT_TransportEnergyCons!$A$4:$A$10000))*1,[1]OUT_TransportEnergyCons!L$4:L$10000))*1000)</f>
        <v>2.5763280889439498E-4</v>
      </c>
      <c r="O1991" s="1" cm="1">
        <f t="array" ref="O1991">IF((SUMPRODUCT(("Var_Cap"=[1]OUT_TransportEnergyCons!$B$4:$B$10000)*1,ISNUMBER(SEARCH("T_b_c*hyb*DSL*s4",[1]OUT_TransportEnergyCons!$A$4:$A$10000))*1,[1]OUT_TransportEnergyCons!M$4:M$10000))*1000&lt;0,0,(SUMPRODUCT(("Var_Cap"=[1]OUT_TransportEnergyCons!$B$4:$B$10000)*1,ISNUMBER(SEARCH("T_b_c*hyb*DSL*s4",[1]OUT_TransportEnergyCons!$A$4:$A$10000))*1,[1]OUT_TransportEnergyCons!M$4:M$10000))*1000)</f>
        <v>2.3006220210210801E-4</v>
      </c>
      <c r="P1991" s="1" cm="1">
        <f t="array" ref="P1991">IF((SUMPRODUCT(("Var_Cap"=[1]OUT_TransportEnergyCons!$B$4:$B$10000)*1,ISNUMBER(SEARCH("T_b_c*hyb*DSL*s4",[1]OUT_TransportEnergyCons!$A$4:$A$10000))*1,[1]OUT_TransportEnergyCons!N$4:N$10000))*1000&lt;0,0,(SUMPRODUCT(("Var_Cap"=[1]OUT_TransportEnergyCons!$B$4:$B$10000)*1,ISNUMBER(SEARCH("T_b_c*hyb*DSL*s4",[1]OUT_TransportEnergyCons!$A$4:$A$10000))*1,[1]OUT_TransportEnergyCons!N$4:N$10000))*1000)</f>
        <v>3.3570822329374601E-4</v>
      </c>
      <c r="Q1991" s="1" cm="1">
        <f t="array" ref="Q1991">IF((SUMPRODUCT(("Var_Cap"=[1]OUT_TransportEnergyCons!$B$4:$B$10000)*1,ISNUMBER(SEARCH("T_b_c*hyb*DSL*s4",[1]OUT_TransportEnergyCons!$A$4:$A$10000))*1,[1]OUT_TransportEnergyCons!O$4:O$10000))*1000&lt;0,0,(SUMPRODUCT(("Var_Cap"=[1]OUT_TransportEnergyCons!$B$4:$B$10000)*1,ISNUMBER(SEARCH("T_b_c*hyb*DSL*s4",[1]OUT_TransportEnergyCons!$A$4:$A$10000))*1,[1]OUT_TransportEnergyCons!O$4:O$10000))*1000)</f>
        <v>4.1628615506443501E-4</v>
      </c>
      <c r="S1991" s="3"/>
    </row>
    <row r="1992" spans="2:19" x14ac:dyDescent="0.5">
      <c r="B1992" s="5" t="str">
        <f t="shared" si="2165"/>
        <v>SPS1</v>
      </c>
      <c r="C1992" s="5" t="str">
        <f t="shared" si="2166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1.3033157877014576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0.65166023760633496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(SUMPRODUCT(("Var_Cap"=[1]OUT_TransportEnergyCons!$B$4:$B$10000)*1,ISNUMBER(SEARCH("T_b_c*ICE*DSL*ext",[1]OUT_TransportEnergyCons!$A$4:$A$10000))*1,[1]OUT_TransportEnergyCons!H$4:H$10000))*1000</f>
        <v>0</v>
      </c>
      <c r="K1992" s="1" cm="1">
        <f t="array" ref="K1992">(SUMPRODUCT(("Var_Cap"=[1]OUT_TransportEnergyCons!$B$4:$B$10000)*1,ISNUMBER(SEARCH("T_b_c*ICE*DSL*ext",[1]OUT_TransportEnergyCons!$A$4:$A$10000))*1,[1]OUT_TransportEnergyCons!I$4:I$10000))*1000</f>
        <v>0</v>
      </c>
      <c r="L1992" s="1" cm="1">
        <f t="array" ref="L1992">(SUMPRODUCT(("Var_Cap"=[1]OUT_TransportEnergyCons!$B$4:$B$10000)*1,ISNUMBER(SEARCH("T_b_c*ICE*DSL*ext",[1]OUT_TransportEnergyCons!$A$4:$A$10000))*1,[1]OUT_TransportEnergyCons!J$4:J$10000))*1000</f>
        <v>0</v>
      </c>
      <c r="M1992" s="1" cm="1">
        <f t="array" ref="M1992">(SUMPRODUCT(("Var_Cap"=[1]OUT_TransportEnergyCons!$B$4:$B$10000)*1,ISNUMBER(SEARCH("T_b_c*ICE*DSL*ext",[1]OUT_TransportEnergyCons!$A$4:$A$10000))*1,[1]OUT_TransportEnergyCons!K$4:K$10000))*1000</f>
        <v>0</v>
      </c>
      <c r="N1992" s="1" cm="1">
        <f t="array" ref="N1992">(SUMPRODUCT(("Var_Cap"=[1]OUT_TransportEnergyCons!$B$4:$B$10000)*1,ISNUMBER(SEARCH("T_b_c*ICE*DSL*ext",[1]OUT_TransportEnergyCons!$A$4:$A$10000))*1,[1]OUT_TransportEnergyCons!L$4:L$10000))*1000</f>
        <v>0</v>
      </c>
      <c r="O1992" s="1" cm="1">
        <f t="array" ref="O1992">(SUMPRODUCT(("Var_Cap"=[1]OUT_TransportEnergyCons!$B$4:$B$10000)*1,ISNUMBER(SEARCH("T_b_c*ICE*DSL*ext",[1]OUT_TransportEnergyCons!$A$4:$A$10000))*1,[1]OUT_TransportEnergyCons!M$4:M$10000))*1000</f>
        <v>0</v>
      </c>
      <c r="P1992" s="1" cm="1">
        <f t="array" ref="P1992">(SUMPRODUCT(("Var_Cap"=[1]OUT_TransportEnergyCons!$B$4:$B$10000)*1,ISNUMBER(SEARCH("T_b_c*ICE*DSL*ext",[1]OUT_TransportEnergyCons!$A$4:$A$10000))*1,[1]OUT_TransportEnergyCons!N$4:N$10000))*1000</f>
        <v>0</v>
      </c>
      <c r="Q1992" s="1" cm="1">
        <f t="array" ref="Q1992">(SUMPRODUCT(("Var_Cap"=[1]OUT_TransportEnergyCons!$B$4:$B$10000)*1,ISNUMBER(SEARCH("T_b_c*ICE*DSL*ext",[1]OUT_TransportEnergyCons!$A$4:$A$10000))*1,[1]OUT_TransportEnergyCons!O$4:O$10000))*1000</f>
        <v>0</v>
      </c>
      <c r="S1992" s="3"/>
    </row>
    <row r="1993" spans="2:19" x14ac:dyDescent="0.5">
      <c r="B1993" s="5" t="str">
        <f t="shared" si="2165"/>
        <v>SPS1</v>
      </c>
      <c r="C1993" s="5" t="str">
        <f t="shared" si="2166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0.85621194921559363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1.0540016391641744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[1]OUT_TransportEnergyCons!$B$4:$B$10000)*1,ISNUMBER(SEARCH("T_b_c*ICE*DSL*s1",[1]OUT_TransportEnergyCons!$A$4:$A$10000))*1,[1]OUT_TransportEnergyCons!H$4:H$10000))*1000&lt;0,0,(SUMPRODUCT(("Var_Cap"=[1]OUT_TransportEnergyCons!$B$4:$B$10000)*1,ISNUMBER(SEARCH("T_b_c*ICE*DSL*s1",[1]OUT_TransportEnergyCons!$A$4:$A$10000))*1,[1]OUT_TransportEnergyCons!H$4:H$10000))*1000)</f>
        <v>4.3754262989983105E-6</v>
      </c>
      <c r="K1993" s="1" cm="1">
        <f t="array" ref="K1993">IF((SUMPRODUCT(("Var_Cap"=[1]OUT_TransportEnergyCons!$B$4:$B$10000)*1,ISNUMBER(SEARCH("T_b_c*ICE*DSL*s1",[1]OUT_TransportEnergyCons!$A$4:$A$10000))*1,[1]OUT_TransportEnergyCons!I$4:I$10000))*1000&lt;0,0,(SUMPRODUCT(("Var_Cap"=[1]OUT_TransportEnergyCons!$B$4:$B$10000)*1,ISNUMBER(SEARCH("T_b_c*ICE*DSL*s1",[1]OUT_TransportEnergyCons!$A$4:$A$10000))*1,[1]OUT_TransportEnergyCons!I$4:I$10000))*1000)</f>
        <v>0</v>
      </c>
      <c r="L1993" s="1" cm="1">
        <f t="array" ref="L1993">IF((SUMPRODUCT(("Var_Cap"=[1]OUT_TransportEnergyCons!$B$4:$B$10000)*1,ISNUMBER(SEARCH("T_b_c*ICE*DSL*s1",[1]OUT_TransportEnergyCons!$A$4:$A$10000))*1,[1]OUT_TransportEnergyCons!J$4:J$10000))*1000&lt;0,0,(SUMPRODUCT(("Var_Cap"=[1]OUT_TransportEnergyCons!$B$4:$B$10000)*1,ISNUMBER(SEARCH("T_b_c*ICE*DSL*s1",[1]OUT_TransportEnergyCons!$A$4:$A$10000))*1,[1]OUT_TransportEnergyCons!J$4:J$10000))*1000)</f>
        <v>0</v>
      </c>
      <c r="M1993" s="1" cm="1">
        <f t="array" ref="M1993">IF((SUMPRODUCT(("Var_Cap"=[1]OUT_TransportEnergyCons!$B$4:$B$10000)*1,ISNUMBER(SEARCH("T_b_c*ICE*DSL*s1",[1]OUT_TransportEnergyCons!$A$4:$A$10000))*1,[1]OUT_TransportEnergyCons!K$4:K$10000))*1000&lt;0,0,(SUMPRODUCT(("Var_Cap"=[1]OUT_TransportEnergyCons!$B$4:$B$10000)*1,ISNUMBER(SEARCH("T_b_c*ICE*DSL*s1",[1]OUT_TransportEnergyCons!$A$4:$A$10000))*1,[1]OUT_TransportEnergyCons!K$4:K$10000))*1000)</f>
        <v>0</v>
      </c>
      <c r="N1993" s="1" cm="1">
        <f t="array" ref="N1993">IF((SUMPRODUCT(("Var_Cap"=[1]OUT_TransportEnergyCons!$B$4:$B$10000)*1,ISNUMBER(SEARCH("T_b_c*ICE*DSL*s1",[1]OUT_TransportEnergyCons!$A$4:$A$10000))*1,[1]OUT_TransportEnergyCons!L$4:L$10000))*1000&lt;0,0,(SUMPRODUCT(("Var_Cap"=[1]OUT_TransportEnergyCons!$B$4:$B$10000)*1,ISNUMBER(SEARCH("T_b_c*ICE*DSL*s1",[1]OUT_TransportEnergyCons!$A$4:$A$10000))*1,[1]OUT_TransportEnergyCons!L$4:L$10000))*1000)</f>
        <v>0</v>
      </c>
      <c r="O1993" s="1" cm="1">
        <f t="array" ref="O1993">IF((SUMPRODUCT(("Var_Cap"=[1]OUT_TransportEnergyCons!$B$4:$B$10000)*1,ISNUMBER(SEARCH("T_b_c*ICE*DSL*s1",[1]OUT_TransportEnergyCons!$A$4:$A$10000))*1,[1]OUT_TransportEnergyCons!M$4:M$10000))*1000&lt;0,0,(SUMPRODUCT(("Var_Cap"=[1]OUT_TransportEnergyCons!$B$4:$B$10000)*1,ISNUMBER(SEARCH("T_b_c*ICE*DSL*s1",[1]OUT_TransportEnergyCons!$A$4:$A$10000))*1,[1]OUT_TransportEnergyCons!M$4:M$10000))*1000)</f>
        <v>0</v>
      </c>
      <c r="P1993" s="1" cm="1">
        <f t="array" ref="P1993">IF((SUMPRODUCT(("Var_Cap"=[1]OUT_TransportEnergyCons!$B$4:$B$10000)*1,ISNUMBER(SEARCH("T_b_c*ICE*DSL*s1",[1]OUT_TransportEnergyCons!$A$4:$A$10000))*1,[1]OUT_TransportEnergyCons!N$4:N$10000))*1000&lt;0,0,(SUMPRODUCT(("Var_Cap"=[1]OUT_TransportEnergyCons!$B$4:$B$10000)*1,ISNUMBER(SEARCH("T_b_c*ICE*DSL*s1",[1]OUT_TransportEnergyCons!$A$4:$A$10000))*1,[1]OUT_TransportEnergyCons!N$4:N$10000))*1000)</f>
        <v>0</v>
      </c>
      <c r="Q1993" s="1" cm="1">
        <f t="array" ref="Q1993">IF((SUMPRODUCT(("Var_Cap"=[1]OUT_TransportEnergyCons!$B$4:$B$10000)*1,ISNUMBER(SEARCH("T_b_c*ICE*DSL*s1",[1]OUT_TransportEnergyCons!$A$4:$A$10000))*1,[1]OUT_TransportEnergyCons!O$4:O$10000))*1000&lt;0,0,(SUMPRODUCT(("Var_Cap"=[1]OUT_TransportEnergyCons!$B$4:$B$10000)*1,ISNUMBER(SEARCH("T_b_c*ICE*DSL*s1",[1]OUT_TransportEnergyCons!$A$4:$A$10000))*1,[1]OUT_TransportEnergyCons!O$4:O$10000))*1000)</f>
        <v>0</v>
      </c>
      <c r="S1993" s="3"/>
    </row>
    <row r="1994" spans="2:19" x14ac:dyDescent="0.5">
      <c r="B1994" s="5" t="str">
        <f t="shared" si="2165"/>
        <v>SPS1</v>
      </c>
      <c r="C1994" s="5" t="str">
        <f t="shared" si="2166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0.78976490078128159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0.79087844525724083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[1]OUT_TransportEnergyCons!$B$4:$B$10000)*1,ISNUMBER(SEARCH("T_b_c*ICE*DSL*s2",[1]OUT_TransportEnergyCons!$A$4:$A$10000))*1,[1]OUT_TransportEnergyCons!H$4:H$10000))*1000&lt;0,0,(SUMPRODUCT(("Var_Cap"=[1]OUT_TransportEnergyCons!$B$4:$B$10000)*1,ISNUMBER(SEARCH("T_b_c*ICE*DSL*s2",[1]OUT_TransportEnergyCons!$A$4:$A$10000))*1,[1]OUT_TransportEnergyCons!H$4:H$10000))*1000)</f>
        <v>2.8919625919299879E-6</v>
      </c>
      <c r="K1994" s="1" cm="1">
        <f t="array" ref="K1994">IF((SUMPRODUCT(("Var_Cap"=[1]OUT_TransportEnergyCons!$B$4:$B$10000)*1,ISNUMBER(SEARCH("T_b_c*ICE*DSL*s2",[1]OUT_TransportEnergyCons!$A$4:$A$10000))*1,[1]OUT_TransportEnergyCons!I$4:I$10000))*1000&lt;0,0,(SUMPRODUCT(("Var_Cap"=[1]OUT_TransportEnergyCons!$B$4:$B$10000)*1,ISNUMBER(SEARCH("T_b_c*ICE*DSL*s2",[1]OUT_TransportEnergyCons!$A$4:$A$10000))*1,[1]OUT_TransportEnergyCons!I$4:I$10000))*1000)</f>
        <v>0</v>
      </c>
      <c r="L1994" s="1" cm="1">
        <f t="array" ref="L1994">IF((SUMPRODUCT(("Var_Cap"=[1]OUT_TransportEnergyCons!$B$4:$B$10000)*1,ISNUMBER(SEARCH("T_b_c*ICE*DSL*s2",[1]OUT_TransportEnergyCons!$A$4:$A$10000))*1,[1]OUT_TransportEnergyCons!J$4:J$10000))*1000&lt;0,0,(SUMPRODUCT(("Var_Cap"=[1]OUT_TransportEnergyCons!$B$4:$B$10000)*1,ISNUMBER(SEARCH("T_b_c*ICE*DSL*s2",[1]OUT_TransportEnergyCons!$A$4:$A$10000))*1,[1]OUT_TransportEnergyCons!J$4:J$10000))*1000)</f>
        <v>0</v>
      </c>
      <c r="M1994" s="1" cm="1">
        <f t="array" ref="M1994">IF((SUMPRODUCT(("Var_Cap"=[1]OUT_TransportEnergyCons!$B$4:$B$10000)*1,ISNUMBER(SEARCH("T_b_c*ICE*DSL*s2",[1]OUT_TransportEnergyCons!$A$4:$A$10000))*1,[1]OUT_TransportEnergyCons!K$4:K$10000))*1000&lt;0,0,(SUMPRODUCT(("Var_Cap"=[1]OUT_TransportEnergyCons!$B$4:$B$10000)*1,ISNUMBER(SEARCH("T_b_c*ICE*DSL*s2",[1]OUT_TransportEnergyCons!$A$4:$A$10000))*1,[1]OUT_TransportEnergyCons!K$4:K$10000))*1000)</f>
        <v>0</v>
      </c>
      <c r="N1994" s="1" cm="1">
        <f t="array" ref="N1994">IF((SUMPRODUCT(("Var_Cap"=[1]OUT_TransportEnergyCons!$B$4:$B$10000)*1,ISNUMBER(SEARCH("T_b_c*ICE*DSL*s2",[1]OUT_TransportEnergyCons!$A$4:$A$10000))*1,[1]OUT_TransportEnergyCons!L$4:L$10000))*1000&lt;0,0,(SUMPRODUCT(("Var_Cap"=[1]OUT_TransportEnergyCons!$B$4:$B$10000)*1,ISNUMBER(SEARCH("T_b_c*ICE*DSL*s2",[1]OUT_TransportEnergyCons!$A$4:$A$10000))*1,[1]OUT_TransportEnergyCons!L$4:L$10000))*1000)</f>
        <v>0</v>
      </c>
      <c r="O1994" s="1" cm="1">
        <f t="array" ref="O1994">IF((SUMPRODUCT(("Var_Cap"=[1]OUT_TransportEnergyCons!$B$4:$B$10000)*1,ISNUMBER(SEARCH("T_b_c*ICE*DSL*s2",[1]OUT_TransportEnergyCons!$A$4:$A$10000))*1,[1]OUT_TransportEnergyCons!M$4:M$10000))*1000&lt;0,0,(SUMPRODUCT(("Var_Cap"=[1]OUT_TransportEnergyCons!$B$4:$B$10000)*1,ISNUMBER(SEARCH("T_b_c*ICE*DSL*s2",[1]OUT_TransportEnergyCons!$A$4:$A$10000))*1,[1]OUT_TransportEnergyCons!M$4:M$10000))*1000)</f>
        <v>0</v>
      </c>
      <c r="P1994" s="1" cm="1">
        <f t="array" ref="P1994">IF((SUMPRODUCT(("Var_Cap"=[1]OUT_TransportEnergyCons!$B$4:$B$10000)*1,ISNUMBER(SEARCH("T_b_c*ICE*DSL*s2",[1]OUT_TransportEnergyCons!$A$4:$A$10000))*1,[1]OUT_TransportEnergyCons!N$4:N$10000))*1000&lt;0,0,(SUMPRODUCT(("Var_Cap"=[1]OUT_TransportEnergyCons!$B$4:$B$10000)*1,ISNUMBER(SEARCH("T_b_c*ICE*DSL*s2",[1]OUT_TransportEnergyCons!$A$4:$A$10000))*1,[1]OUT_TransportEnergyCons!N$4:N$10000))*1000)</f>
        <v>0</v>
      </c>
      <c r="Q1994" s="1" cm="1">
        <f t="array" ref="Q1994">IF((SUMPRODUCT(("Var_Cap"=[1]OUT_TransportEnergyCons!$B$4:$B$10000)*1,ISNUMBER(SEARCH("T_b_c*ICE*DSL*s2",[1]OUT_TransportEnergyCons!$A$4:$A$10000))*1,[1]OUT_TransportEnergyCons!O$4:O$10000))*1000&lt;0,0,(SUMPRODUCT(("Var_Cap"=[1]OUT_TransportEnergyCons!$B$4:$B$10000)*1,ISNUMBER(SEARCH("T_b_c*ICE*DSL*s2",[1]OUT_TransportEnergyCons!$A$4:$A$10000))*1,[1]OUT_TransportEnergyCons!O$4:O$10000))*1000)</f>
        <v>0</v>
      </c>
      <c r="S1994" s="3"/>
    </row>
    <row r="1995" spans="2:19" x14ac:dyDescent="0.5">
      <c r="B1995" s="5" t="str">
        <f t="shared" si="2165"/>
        <v>SPS1</v>
      </c>
      <c r="C1995" s="5" t="str">
        <f t="shared" si="2166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0.20240156556387692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0.19336167814205074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0.19370251204420116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[1]OUT_TransportEnergyCons!$B$4:$B$10000)*1,ISNUMBER(SEARCH("T_b_c*ICE*DSL*s3",[1]OUT_TransportEnergyCons!$A$4:$A$10000))*1,[1]OUT_TransportEnergyCons!H$4:H$10000))*1000&lt;0,0,(SUMPRODUCT(("Var_Cap"=[1]OUT_TransportEnergyCons!$B$4:$B$10000)*1,ISNUMBER(SEARCH("T_b_c*ICE*DSL*s3",[1]OUT_TransportEnergyCons!$A$4:$A$10000))*1,[1]OUT_TransportEnergyCons!H$4:H$10000))*1000)</f>
        <v>0</v>
      </c>
      <c r="K1995" s="1" cm="1">
        <f t="array" ref="K1995">IF((SUMPRODUCT(("Var_Cap"=[1]OUT_TransportEnergyCons!$B$4:$B$10000)*1,ISNUMBER(SEARCH("T_b_c*ICE*DSL*s3",[1]OUT_TransportEnergyCons!$A$4:$A$10000))*1,[1]OUT_TransportEnergyCons!I$4:I$10000))*1000&lt;0,0,(SUMPRODUCT(("Var_Cap"=[1]OUT_TransportEnergyCons!$B$4:$B$10000)*1,ISNUMBER(SEARCH("T_b_c*ICE*DSL*s3",[1]OUT_TransportEnergyCons!$A$4:$A$10000))*1,[1]OUT_TransportEnergyCons!I$4:I$10000))*1000)</f>
        <v>0</v>
      </c>
      <c r="L1995" s="1" cm="1">
        <f t="array" ref="L1995">IF((SUMPRODUCT(("Var_Cap"=[1]OUT_TransportEnergyCons!$B$4:$B$10000)*1,ISNUMBER(SEARCH("T_b_c*ICE*DSL*s3",[1]OUT_TransportEnergyCons!$A$4:$A$10000))*1,[1]OUT_TransportEnergyCons!J$4:J$10000))*1000&lt;0,0,(SUMPRODUCT(("Var_Cap"=[1]OUT_TransportEnergyCons!$B$4:$B$10000)*1,ISNUMBER(SEARCH("T_b_c*ICE*DSL*s3",[1]OUT_TransportEnergyCons!$A$4:$A$10000))*1,[1]OUT_TransportEnergyCons!J$4:J$10000))*1000)</f>
        <v>0</v>
      </c>
      <c r="M1995" s="1" cm="1">
        <f t="array" ref="M1995">IF((SUMPRODUCT(("Var_Cap"=[1]OUT_TransportEnergyCons!$B$4:$B$10000)*1,ISNUMBER(SEARCH("T_b_c*ICE*DSL*s3",[1]OUT_TransportEnergyCons!$A$4:$A$10000))*1,[1]OUT_TransportEnergyCons!K$4:K$10000))*1000&lt;0,0,(SUMPRODUCT(("Var_Cap"=[1]OUT_TransportEnergyCons!$B$4:$B$10000)*1,ISNUMBER(SEARCH("T_b_c*ICE*DSL*s3",[1]OUT_TransportEnergyCons!$A$4:$A$10000))*1,[1]OUT_TransportEnergyCons!K$4:K$10000))*1000)</f>
        <v>0</v>
      </c>
      <c r="N1995" s="1" cm="1">
        <f t="array" ref="N1995">IF((SUMPRODUCT(("Var_Cap"=[1]OUT_TransportEnergyCons!$B$4:$B$10000)*1,ISNUMBER(SEARCH("T_b_c*ICE*DSL*s3",[1]OUT_TransportEnergyCons!$A$4:$A$10000))*1,[1]OUT_TransportEnergyCons!L$4:L$10000))*1000&lt;0,0,(SUMPRODUCT(("Var_Cap"=[1]OUT_TransportEnergyCons!$B$4:$B$10000)*1,ISNUMBER(SEARCH("T_b_c*ICE*DSL*s3",[1]OUT_TransportEnergyCons!$A$4:$A$10000))*1,[1]OUT_TransportEnergyCons!L$4:L$10000))*1000)</f>
        <v>0</v>
      </c>
      <c r="O1995" s="1" cm="1">
        <f t="array" ref="O1995">IF((SUMPRODUCT(("Var_Cap"=[1]OUT_TransportEnergyCons!$B$4:$B$10000)*1,ISNUMBER(SEARCH("T_b_c*ICE*DSL*s3",[1]OUT_TransportEnergyCons!$A$4:$A$10000))*1,[1]OUT_TransportEnergyCons!M$4:M$10000))*1000&lt;0,0,(SUMPRODUCT(("Var_Cap"=[1]OUT_TransportEnergyCons!$B$4:$B$10000)*1,ISNUMBER(SEARCH("T_b_c*ICE*DSL*s3",[1]OUT_TransportEnergyCons!$A$4:$A$10000))*1,[1]OUT_TransportEnergyCons!M$4:M$10000))*1000)</f>
        <v>0</v>
      </c>
      <c r="P1995" s="1" cm="1">
        <f t="array" ref="P1995">IF((SUMPRODUCT(("Var_Cap"=[1]OUT_TransportEnergyCons!$B$4:$B$10000)*1,ISNUMBER(SEARCH("T_b_c*ICE*DSL*s3",[1]OUT_TransportEnergyCons!$A$4:$A$10000))*1,[1]OUT_TransportEnergyCons!N$4:N$10000))*1000&lt;0,0,(SUMPRODUCT(("Var_Cap"=[1]OUT_TransportEnergyCons!$B$4:$B$10000)*1,ISNUMBER(SEARCH("T_b_c*ICE*DSL*s3",[1]OUT_TransportEnergyCons!$A$4:$A$10000))*1,[1]OUT_TransportEnergyCons!N$4:N$10000))*1000)</f>
        <v>0</v>
      </c>
      <c r="Q1995" s="1" cm="1">
        <f t="array" ref="Q1995">IF((SUMPRODUCT(("Var_Cap"=[1]OUT_TransportEnergyCons!$B$4:$B$10000)*1,ISNUMBER(SEARCH("T_b_c*ICE*DSL*s3",[1]OUT_TransportEnergyCons!$A$4:$A$10000))*1,[1]OUT_TransportEnergyCons!O$4:O$10000))*1000&lt;0,0,(SUMPRODUCT(("Var_Cap"=[1]OUT_TransportEnergyCons!$B$4:$B$10000)*1,ISNUMBER(SEARCH("T_b_c*ICE*DSL*s3",[1]OUT_TransportEnergyCons!$A$4:$A$10000))*1,[1]OUT_TransportEnergyCons!O$4:O$10000))*1000)</f>
        <v>0</v>
      </c>
      <c r="S1995" s="3"/>
    </row>
    <row r="1996" spans="2:19" x14ac:dyDescent="0.5">
      <c r="B1996" s="5" t="str">
        <f t="shared" si="2165"/>
        <v>SPS1</v>
      </c>
      <c r="C1996" s="5" t="str">
        <f t="shared" si="2166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1.2126144990265802E-2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4.4943616555099842E-4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5.0187423970170296E-4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[1]OUT_TransportEnergyCons!$B$4:$B$10000)*1,ISNUMBER(SEARCH("T_b_c*ICE*DSL*s4",[1]OUT_TransportEnergyCons!$A$4:$A$10000))*1,[1]OUT_TransportEnergyCons!H$4:H$10000))*1000&lt;0,0,(SUMPRODUCT(("Var_Cap"=[1]OUT_TransportEnergyCons!$B$4:$B$10000)*1,ISNUMBER(SEARCH("T_b_c*ICE*DSL*s4",[1]OUT_TransportEnergyCons!$A$4:$A$10000))*1,[1]OUT_TransportEnergyCons!H$4:H$10000))*1000)</f>
        <v>0</v>
      </c>
      <c r="K1996" s="1" cm="1">
        <f t="array" ref="K1996">IF((SUMPRODUCT(("Var_Cap"=[1]OUT_TransportEnergyCons!$B$4:$B$10000)*1,ISNUMBER(SEARCH("T_b_c*ICE*DSL*s4",[1]OUT_TransportEnergyCons!$A$4:$A$10000))*1,[1]OUT_TransportEnergyCons!I$4:I$10000))*1000&lt;0,0,(SUMPRODUCT(("Var_Cap"=[1]OUT_TransportEnergyCons!$B$4:$B$10000)*1,ISNUMBER(SEARCH("T_b_c*ICE*DSL*s4",[1]OUT_TransportEnergyCons!$A$4:$A$10000))*1,[1]OUT_TransportEnergyCons!I$4:I$10000))*1000)</f>
        <v>0</v>
      </c>
      <c r="L1996" s="1" cm="1">
        <f t="array" ref="L1996">IF((SUMPRODUCT(("Var_Cap"=[1]OUT_TransportEnergyCons!$B$4:$B$10000)*1,ISNUMBER(SEARCH("T_b_c*ICE*DSL*s4",[1]OUT_TransportEnergyCons!$A$4:$A$10000))*1,[1]OUT_TransportEnergyCons!J$4:J$10000))*1000&lt;0,0,(SUMPRODUCT(("Var_Cap"=[1]OUT_TransportEnergyCons!$B$4:$B$10000)*1,ISNUMBER(SEARCH("T_b_c*ICE*DSL*s4",[1]OUT_TransportEnergyCons!$A$4:$A$10000))*1,[1]OUT_TransportEnergyCons!J$4:J$10000))*1000)</f>
        <v>0</v>
      </c>
      <c r="M1996" s="1" cm="1">
        <f t="array" ref="M1996">IF((SUMPRODUCT(("Var_Cap"=[1]OUT_TransportEnergyCons!$B$4:$B$10000)*1,ISNUMBER(SEARCH("T_b_c*ICE*DSL*s4",[1]OUT_TransportEnergyCons!$A$4:$A$10000))*1,[1]OUT_TransportEnergyCons!K$4:K$10000))*1000&lt;0,0,(SUMPRODUCT(("Var_Cap"=[1]OUT_TransportEnergyCons!$B$4:$B$10000)*1,ISNUMBER(SEARCH("T_b_c*ICE*DSL*s4",[1]OUT_TransportEnergyCons!$A$4:$A$10000))*1,[1]OUT_TransportEnergyCons!K$4:K$10000))*1000)</f>
        <v>0</v>
      </c>
      <c r="N1996" s="1" cm="1">
        <f t="array" ref="N1996">IF((SUMPRODUCT(("Var_Cap"=[1]OUT_TransportEnergyCons!$B$4:$B$10000)*1,ISNUMBER(SEARCH("T_b_c*ICE*DSL*s4",[1]OUT_TransportEnergyCons!$A$4:$A$10000))*1,[1]OUT_TransportEnergyCons!L$4:L$10000))*1000&lt;0,0,(SUMPRODUCT(("Var_Cap"=[1]OUT_TransportEnergyCons!$B$4:$B$10000)*1,ISNUMBER(SEARCH("T_b_c*ICE*DSL*s4",[1]OUT_TransportEnergyCons!$A$4:$A$10000))*1,[1]OUT_TransportEnergyCons!L$4:L$10000))*1000)</f>
        <v>0</v>
      </c>
      <c r="O1996" s="1" cm="1">
        <f t="array" ref="O1996">IF((SUMPRODUCT(("Var_Cap"=[1]OUT_TransportEnergyCons!$B$4:$B$10000)*1,ISNUMBER(SEARCH("T_b_c*ICE*DSL*s4",[1]OUT_TransportEnergyCons!$A$4:$A$10000))*1,[1]OUT_TransportEnergyCons!M$4:M$10000))*1000&lt;0,0,(SUMPRODUCT(("Var_Cap"=[1]OUT_TransportEnergyCons!$B$4:$B$10000)*1,ISNUMBER(SEARCH("T_b_c*ICE*DSL*s4",[1]OUT_TransportEnergyCons!$A$4:$A$10000))*1,[1]OUT_TransportEnergyCons!M$4:M$10000))*1000)</f>
        <v>0</v>
      </c>
      <c r="P1996" s="1" cm="1">
        <f t="array" ref="P1996">IF((SUMPRODUCT(("Var_Cap"=[1]OUT_TransportEnergyCons!$B$4:$B$10000)*1,ISNUMBER(SEARCH("T_b_c*ICE*DSL*s4",[1]OUT_TransportEnergyCons!$A$4:$A$10000))*1,[1]OUT_TransportEnergyCons!N$4:N$10000))*1000&lt;0,0,(SUMPRODUCT(("Var_Cap"=[1]OUT_TransportEnergyCons!$B$4:$B$10000)*1,ISNUMBER(SEARCH("T_b_c*ICE*DSL*s4",[1]OUT_TransportEnergyCons!$A$4:$A$10000))*1,[1]OUT_TransportEnergyCons!N$4:N$10000))*1000)</f>
        <v>0</v>
      </c>
      <c r="Q1996" s="1" cm="1">
        <f t="array" ref="Q1996">IF((SUMPRODUCT(("Var_Cap"=[1]OUT_TransportEnergyCons!$B$4:$B$10000)*1,ISNUMBER(SEARCH("T_b_c*ICE*DSL*s4",[1]OUT_TransportEnergyCons!$A$4:$A$10000))*1,[1]OUT_TransportEnergyCons!O$4:O$10000))*1000&lt;0,0,(SUMPRODUCT(("Var_Cap"=[1]OUT_TransportEnergyCons!$B$4:$B$10000)*1,ISNUMBER(SEARCH("T_b_c*ICE*DSL*s4",[1]OUT_TransportEnergyCons!$A$4:$A$10000))*1,[1]OUT_TransportEnergyCons!O$4:O$10000))*1000)</f>
        <v>0</v>
      </c>
      <c r="S1996" s="3"/>
    </row>
    <row r="1997" spans="2:19" x14ac:dyDescent="0.5">
      <c r="B1997" s="5" t="str">
        <f t="shared" si="2165"/>
        <v>SPS1</v>
      </c>
      <c r="C1997" s="5" t="str">
        <f t="shared" si="2166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2.9720505194880946E-2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(SUMPRODUCT(("Var_Cap"=[1]OUT_TransportEnergyCons!$B$4:$B$10000)*1,ISNUMBER(SEARCH("T_b_c*ICE*nga*ext",[1]OUT_TransportEnergyCons!$A$4:$A$10000))*1,[1]OUT_TransportEnergyCons!H$4:H$10000))*1000</f>
        <v>0</v>
      </c>
      <c r="K1997" s="1" cm="1">
        <f t="array" ref="K1997">(SUMPRODUCT(("Var_Cap"=[1]OUT_TransportEnergyCons!$B$4:$B$10000)*1,ISNUMBER(SEARCH("T_b_c*ICE*nga*ext",[1]OUT_TransportEnergyCons!$A$4:$A$10000))*1,[1]OUT_TransportEnergyCons!I$4:I$10000))*1000</f>
        <v>0</v>
      </c>
      <c r="L1997" s="1" cm="1">
        <f t="array" ref="L1997">(SUMPRODUCT(("Var_Cap"=[1]OUT_TransportEnergyCons!$B$4:$B$10000)*1,ISNUMBER(SEARCH("T_b_c*ICE*nga*ext",[1]OUT_TransportEnergyCons!$A$4:$A$10000))*1,[1]OUT_TransportEnergyCons!J$4:J$10000))*1000</f>
        <v>0</v>
      </c>
      <c r="M1997" s="1" cm="1">
        <f t="array" ref="M1997">(SUMPRODUCT(("Var_Cap"=[1]OUT_TransportEnergyCons!$B$4:$B$10000)*1,ISNUMBER(SEARCH("T_b_c*ICE*nga*ext",[1]OUT_TransportEnergyCons!$A$4:$A$10000))*1,[1]OUT_TransportEnergyCons!K$4:K$10000))*1000</f>
        <v>0</v>
      </c>
      <c r="N1997" s="1" cm="1">
        <f t="array" ref="N1997">(SUMPRODUCT(("Var_Cap"=[1]OUT_TransportEnergyCons!$B$4:$B$10000)*1,ISNUMBER(SEARCH("T_b_c*ICE*nga*ext",[1]OUT_TransportEnergyCons!$A$4:$A$10000))*1,[1]OUT_TransportEnergyCons!L$4:L$10000))*1000</f>
        <v>0</v>
      </c>
      <c r="O1997" s="1" cm="1">
        <f t="array" ref="O1997">(SUMPRODUCT(("Var_Cap"=[1]OUT_TransportEnergyCons!$B$4:$B$10000)*1,ISNUMBER(SEARCH("T_b_c*ICE*nga*ext",[1]OUT_TransportEnergyCons!$A$4:$A$10000))*1,[1]OUT_TransportEnergyCons!M$4:M$10000))*1000</f>
        <v>0</v>
      </c>
      <c r="P1997" s="1" cm="1">
        <f t="array" ref="P1997">(SUMPRODUCT(("Var_Cap"=[1]OUT_TransportEnergyCons!$B$4:$B$10000)*1,ISNUMBER(SEARCH("T_b_c*ICE*nga*ext",[1]OUT_TransportEnergyCons!$A$4:$A$10000))*1,[1]OUT_TransportEnergyCons!N$4:N$10000))*1000</f>
        <v>0</v>
      </c>
      <c r="Q1997" s="1" cm="1">
        <f t="array" ref="Q1997">(SUMPRODUCT(("Var_Cap"=[1]OUT_TransportEnergyCons!$B$4:$B$10000)*1,ISNUMBER(SEARCH("T_b_c*ICE*nga*ext",[1]OUT_TransportEnergyCons!$A$4:$A$10000))*1,[1]OUT_TransportEnergyCons!O$4:O$10000))*1000</f>
        <v>0</v>
      </c>
      <c r="S1997" s="3"/>
    </row>
    <row r="1998" spans="2:19" x14ac:dyDescent="0.5">
      <c r="B1998" s="5" t="str">
        <f t="shared" si="2165"/>
        <v>SPS1</v>
      </c>
      <c r="C1998" s="5" t="str">
        <f t="shared" si="2166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3.19168318567433E-4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2.2971991514870098E-3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-7.0220342684012218E-7</v>
      </c>
      <c r="J1998" s="1" cm="1">
        <f t="array" ref="J1998">(SUMPRODUCT(("Var_Cap"=[1]OUT_TransportEnergyCons!$B$4:$B$10000)*1,ISNUMBER(SEARCH("T_b_c*ICE*nga*s1",[1]OUT_TransportEnergyCons!$A$4:$A$10000))*1,[1]OUT_TransportEnergyCons!H$4:H$10000))*1000</f>
        <v>9.9032005894005346E-7</v>
      </c>
      <c r="K1998" s="1" cm="1">
        <f t="array" ref="K1998">(SUMPRODUCT(("Var_Cap"=[1]OUT_TransportEnergyCons!$B$4:$B$10000)*1,ISNUMBER(SEARCH("T_b_c*ICE*nga*s1",[1]OUT_TransportEnergyCons!$A$4:$A$10000))*1,[1]OUT_TransportEnergyCons!I$4:I$10000))*1000</f>
        <v>0</v>
      </c>
      <c r="L1998" s="1" cm="1">
        <f t="array" ref="L1998">(SUMPRODUCT(("Var_Cap"=[1]OUT_TransportEnergyCons!$B$4:$B$10000)*1,ISNUMBER(SEARCH("T_b_c*ICE*nga*s1",[1]OUT_TransportEnergyCons!$A$4:$A$10000))*1,[1]OUT_TransportEnergyCons!J$4:J$10000))*1000</f>
        <v>0</v>
      </c>
      <c r="M1998" s="1" cm="1">
        <f t="array" ref="M1998">(SUMPRODUCT(("Var_Cap"=[1]OUT_TransportEnergyCons!$B$4:$B$10000)*1,ISNUMBER(SEARCH("T_b_c*ICE*nga*s1",[1]OUT_TransportEnergyCons!$A$4:$A$10000))*1,[1]OUT_TransportEnergyCons!K$4:K$10000))*1000</f>
        <v>0</v>
      </c>
      <c r="N1998" s="1" cm="1">
        <f t="array" ref="N1998">(SUMPRODUCT(("Var_Cap"=[1]OUT_TransportEnergyCons!$B$4:$B$10000)*1,ISNUMBER(SEARCH("T_b_c*ICE*nga*s1",[1]OUT_TransportEnergyCons!$A$4:$A$10000))*1,[1]OUT_TransportEnergyCons!L$4:L$10000))*1000</f>
        <v>0</v>
      </c>
      <c r="O1998" s="1" cm="1">
        <f t="array" ref="O1998">(SUMPRODUCT(("Var_Cap"=[1]OUT_TransportEnergyCons!$B$4:$B$10000)*1,ISNUMBER(SEARCH("T_b_c*ICE*nga*s1",[1]OUT_TransportEnergyCons!$A$4:$A$10000))*1,[1]OUT_TransportEnergyCons!M$4:M$10000))*1000</f>
        <v>0</v>
      </c>
      <c r="P1998" s="1" cm="1">
        <f t="array" ref="P1998">(SUMPRODUCT(("Var_Cap"=[1]OUT_TransportEnergyCons!$B$4:$B$10000)*1,ISNUMBER(SEARCH("T_b_c*ICE*nga*s1",[1]OUT_TransportEnergyCons!$A$4:$A$10000))*1,[1]OUT_TransportEnergyCons!N$4:N$10000))*1000</f>
        <v>0</v>
      </c>
      <c r="Q1998" s="1" cm="1">
        <f t="array" ref="Q1998">(SUMPRODUCT(("Var_Cap"=[1]OUT_TransportEnergyCons!$B$4:$B$10000)*1,ISNUMBER(SEARCH("T_b_c*ICE*nga*s1",[1]OUT_TransportEnergyCons!$A$4:$A$10000))*1,[1]OUT_TransportEnergyCons!O$4:O$10000))*1000</f>
        <v>0</v>
      </c>
      <c r="S1998" s="3"/>
    </row>
    <row r="1999" spans="2:19" x14ac:dyDescent="0.5">
      <c r="B1999" s="5" t="str">
        <f t="shared" si="2165"/>
        <v>SPS1</v>
      </c>
      <c r="C1999" s="5" t="str">
        <f t="shared" si="2166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1.58372115884213E-4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9.16450514977252E-4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0</v>
      </c>
      <c r="J1999" s="1" cm="1">
        <f t="array" ref="J1999">IF((SUMPRODUCT(("Var_Cap"=[1]OUT_TransportEnergyCons!$B$4:$B$10000)*1,ISNUMBER(SEARCH("T_b_c*ICE*nga*s2",[1]OUT_TransportEnergyCons!$A$4:$A$10000))*1,[1]OUT_TransportEnergyCons!H$4:H$10000))*1000&lt;0,0,(SUMPRODUCT(("Var_Cap"=[1]OUT_TransportEnergyCons!$B$4:$B$10000)*1,ISNUMBER(SEARCH("T_b_c*ICE*nga*s2",[1]OUT_TransportEnergyCons!$A$4:$A$10000))*1,[1]OUT_TransportEnergyCons!H$4:H$10000))*1000)</f>
        <v>3.0945323080097524E-7</v>
      </c>
      <c r="K1999" s="1" cm="1">
        <f t="array" ref="K1999">IF((SUMPRODUCT(("Var_Cap"=[1]OUT_TransportEnergyCons!$B$4:$B$10000)*1,ISNUMBER(SEARCH("T_b_c*ICE*nga*s2",[1]OUT_TransportEnergyCons!$A$4:$A$10000))*1,[1]OUT_TransportEnergyCons!I$4:I$10000))*1000&lt;0,0,(SUMPRODUCT(("Var_Cap"=[1]OUT_TransportEnergyCons!$B$4:$B$10000)*1,ISNUMBER(SEARCH("T_b_c*ICE*nga*s2",[1]OUT_TransportEnergyCons!$A$4:$A$10000))*1,[1]OUT_TransportEnergyCons!I$4:I$10000))*1000)</f>
        <v>0</v>
      </c>
      <c r="L1999" s="1" cm="1">
        <f t="array" ref="L1999">IF((SUMPRODUCT(("Var_Cap"=[1]OUT_TransportEnergyCons!$B$4:$B$10000)*1,ISNUMBER(SEARCH("T_b_c*ICE*nga*s2",[1]OUT_TransportEnergyCons!$A$4:$A$10000))*1,[1]OUT_TransportEnergyCons!J$4:J$10000))*1000&lt;0,0,(SUMPRODUCT(("Var_Cap"=[1]OUT_TransportEnergyCons!$B$4:$B$10000)*1,ISNUMBER(SEARCH("T_b_c*ICE*nga*s2",[1]OUT_TransportEnergyCons!$A$4:$A$10000))*1,[1]OUT_TransportEnergyCons!J$4:J$10000))*1000)</f>
        <v>0</v>
      </c>
      <c r="M1999" s="1" cm="1">
        <f t="array" ref="M1999">IF((SUMPRODUCT(("Var_Cap"=[1]OUT_TransportEnergyCons!$B$4:$B$10000)*1,ISNUMBER(SEARCH("T_b_c*ICE*nga*s2",[1]OUT_TransportEnergyCons!$A$4:$A$10000))*1,[1]OUT_TransportEnergyCons!K$4:K$10000))*1000&lt;0,0,(SUMPRODUCT(("Var_Cap"=[1]OUT_TransportEnergyCons!$B$4:$B$10000)*1,ISNUMBER(SEARCH("T_b_c*ICE*nga*s2",[1]OUT_TransportEnergyCons!$A$4:$A$10000))*1,[1]OUT_TransportEnergyCons!K$4:K$10000))*1000)</f>
        <v>0</v>
      </c>
      <c r="N1999" s="1" cm="1">
        <f t="array" ref="N1999">IF((SUMPRODUCT(("Var_Cap"=[1]OUT_TransportEnergyCons!$B$4:$B$10000)*1,ISNUMBER(SEARCH("T_b_c*ICE*nga*s2",[1]OUT_TransportEnergyCons!$A$4:$A$10000))*1,[1]OUT_TransportEnergyCons!L$4:L$10000))*1000&lt;0,0,(SUMPRODUCT(("Var_Cap"=[1]OUT_TransportEnergyCons!$B$4:$B$10000)*1,ISNUMBER(SEARCH("T_b_c*ICE*nga*s2",[1]OUT_TransportEnergyCons!$A$4:$A$10000))*1,[1]OUT_TransportEnergyCons!L$4:L$10000))*1000)</f>
        <v>0</v>
      </c>
      <c r="O1999" s="1" cm="1">
        <f t="array" ref="O1999">IF((SUMPRODUCT(("Var_Cap"=[1]OUT_TransportEnergyCons!$B$4:$B$10000)*1,ISNUMBER(SEARCH("T_b_c*ICE*nga*s2",[1]OUT_TransportEnergyCons!$A$4:$A$10000))*1,[1]OUT_TransportEnergyCons!M$4:M$10000))*1000&lt;0,0,(SUMPRODUCT(("Var_Cap"=[1]OUT_TransportEnergyCons!$B$4:$B$10000)*1,ISNUMBER(SEARCH("T_b_c*ICE*nga*s2",[1]OUT_TransportEnergyCons!$A$4:$A$10000))*1,[1]OUT_TransportEnergyCons!M$4:M$10000))*1000)</f>
        <v>0</v>
      </c>
      <c r="P1999" s="1" cm="1">
        <f t="array" ref="P1999">IF((SUMPRODUCT(("Var_Cap"=[1]OUT_TransportEnergyCons!$B$4:$B$10000)*1,ISNUMBER(SEARCH("T_b_c*ICE*nga*s2",[1]OUT_TransportEnergyCons!$A$4:$A$10000))*1,[1]OUT_TransportEnergyCons!N$4:N$10000))*1000&lt;0,0,(SUMPRODUCT(("Var_Cap"=[1]OUT_TransportEnergyCons!$B$4:$B$10000)*1,ISNUMBER(SEARCH("T_b_c*ICE*nga*s2",[1]OUT_TransportEnergyCons!$A$4:$A$10000))*1,[1]OUT_TransportEnergyCons!N$4:N$10000))*1000)</f>
        <v>0</v>
      </c>
      <c r="Q1999" s="1" cm="1">
        <f t="array" ref="Q1999">IF((SUMPRODUCT(("Var_Cap"=[1]OUT_TransportEnergyCons!$B$4:$B$10000)*1,ISNUMBER(SEARCH("T_b_c*ICE*nga*s2",[1]OUT_TransportEnergyCons!$A$4:$A$10000))*1,[1]OUT_TransportEnergyCons!O$4:O$10000))*1000&lt;0,0,(SUMPRODUCT(("Var_Cap"=[1]OUT_TransportEnergyCons!$B$4:$B$10000)*1,ISNUMBER(SEARCH("T_b_c*ICE*nga*s2",[1]OUT_TransportEnergyCons!$A$4:$A$10000))*1,[1]OUT_TransportEnergyCons!O$4:O$10000))*1000)</f>
        <v>0</v>
      </c>
      <c r="S1999" s="3"/>
    </row>
    <row r="2000" spans="2:19" x14ac:dyDescent="0.5">
      <c r="B2000" s="5" t="str">
        <f t="shared" si="2165"/>
        <v>SPS1</v>
      </c>
      <c r="C2000" s="5" t="str">
        <f t="shared" si="2166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9.6180897835667308E-5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3.9353259377898804E-4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1.4494560431860162E-6</v>
      </c>
      <c r="J2000" s="1" cm="1">
        <f t="array" ref="J2000">(SUMPRODUCT(("Var_Cap"=[1]OUT_TransportEnergyCons!$B$4:$B$10000)*1,ISNUMBER(SEARCH("T_b_c*ICE*nga*s3",[1]OUT_TransportEnergyCons!$A$4:$A$10000))*1,[1]OUT_TransportEnergyCons!H$4:H$10000))*1000</f>
        <v>0</v>
      </c>
      <c r="K2000" s="1" cm="1">
        <f t="array" ref="K2000">(SUMPRODUCT(("Var_Cap"=[1]OUT_TransportEnergyCons!$B$4:$B$10000)*1,ISNUMBER(SEARCH("T_b_c*ICE*nga*s3",[1]OUT_TransportEnergyCons!$A$4:$A$10000))*1,[1]OUT_TransportEnergyCons!I$4:I$10000))*1000</f>
        <v>0</v>
      </c>
      <c r="L2000" s="1" cm="1">
        <f t="array" ref="L2000">(SUMPRODUCT(("Var_Cap"=[1]OUT_TransportEnergyCons!$B$4:$B$10000)*1,ISNUMBER(SEARCH("T_b_c*ICE*nga*s3",[1]OUT_TransportEnergyCons!$A$4:$A$10000))*1,[1]OUT_TransportEnergyCons!J$4:J$10000))*1000</f>
        <v>0</v>
      </c>
      <c r="M2000" s="1" cm="1">
        <f t="array" ref="M2000">(SUMPRODUCT(("Var_Cap"=[1]OUT_TransportEnergyCons!$B$4:$B$10000)*1,ISNUMBER(SEARCH("T_b_c*ICE*nga*s3",[1]OUT_TransportEnergyCons!$A$4:$A$10000))*1,[1]OUT_TransportEnergyCons!K$4:K$10000))*1000</f>
        <v>0</v>
      </c>
      <c r="N2000" s="1" cm="1">
        <f t="array" ref="N2000">(SUMPRODUCT(("Var_Cap"=[1]OUT_TransportEnergyCons!$B$4:$B$10000)*1,ISNUMBER(SEARCH("T_b_c*ICE*nga*s3",[1]OUT_TransportEnergyCons!$A$4:$A$10000))*1,[1]OUT_TransportEnergyCons!L$4:L$10000))*1000</f>
        <v>0</v>
      </c>
      <c r="O2000" s="1" cm="1">
        <f t="array" ref="O2000">(SUMPRODUCT(("Var_Cap"=[1]OUT_TransportEnergyCons!$B$4:$B$10000)*1,ISNUMBER(SEARCH("T_b_c*ICE*nga*s3",[1]OUT_TransportEnergyCons!$A$4:$A$10000))*1,[1]OUT_TransportEnergyCons!M$4:M$10000))*1000</f>
        <v>0</v>
      </c>
      <c r="P2000" s="1" cm="1">
        <f t="array" ref="P2000">(SUMPRODUCT(("Var_Cap"=[1]OUT_TransportEnergyCons!$B$4:$B$10000)*1,ISNUMBER(SEARCH("T_b_c*ICE*nga*s3",[1]OUT_TransportEnergyCons!$A$4:$A$10000))*1,[1]OUT_TransportEnergyCons!N$4:N$10000))*1000</f>
        <v>0</v>
      </c>
      <c r="Q2000" s="1" cm="1">
        <f t="array" ref="Q2000">(SUMPRODUCT(("Var_Cap"=[1]OUT_TransportEnergyCons!$B$4:$B$10000)*1,ISNUMBER(SEARCH("T_b_c*ICE*nga*s3",[1]OUT_TransportEnergyCons!$A$4:$A$10000))*1,[1]OUT_TransportEnergyCons!O$4:O$10000))*1000</f>
        <v>0</v>
      </c>
      <c r="S2000" s="3"/>
    </row>
    <row r="2001" spans="2:19" x14ac:dyDescent="0.5">
      <c r="B2001" s="5" t="str">
        <f t="shared" si="2165"/>
        <v>SPS1</v>
      </c>
      <c r="C2001" s="5" t="str">
        <f t="shared" si="2166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2.1807078678466899E-5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6.3436360104904995E-5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0</v>
      </c>
      <c r="J2001" s="1" cm="1">
        <f t="array" ref="J2001">IF((SUMPRODUCT(("Var_Cap"=[1]OUT_TransportEnergyCons!$B$4:$B$10000)*1,ISNUMBER(SEARCH("T_b_c*ICE*nga*s4",[1]OUT_TransportEnergyCons!$A$4:$A$10000))*1,[1]OUT_TransportEnergyCons!H$4:H$10000))*1000&lt;0,0,(SUMPRODUCT(("Var_Cap"=[1]OUT_TransportEnergyCons!$B$4:$B$10000)*1,ISNUMBER(SEARCH("T_b_c*ICE*nga*s4",[1]OUT_TransportEnergyCons!$A$4:$A$10000))*1,[1]OUT_TransportEnergyCons!H$4:H$10000))*1000)</f>
        <v>0</v>
      </c>
      <c r="K2001" s="1" cm="1">
        <f t="array" ref="K2001">IF((SUMPRODUCT(("Var_Cap"=[1]OUT_TransportEnergyCons!$B$4:$B$10000)*1,ISNUMBER(SEARCH("T_b_c*ICE*nga*s4",[1]OUT_TransportEnergyCons!$A$4:$A$10000))*1,[1]OUT_TransportEnergyCons!I$4:I$10000))*1000&lt;0,0,(SUMPRODUCT(("Var_Cap"=[1]OUT_TransportEnergyCons!$B$4:$B$10000)*1,ISNUMBER(SEARCH("T_b_c*ICE*nga*s4",[1]OUT_TransportEnergyCons!$A$4:$A$10000))*1,[1]OUT_TransportEnergyCons!I$4:I$10000))*1000)</f>
        <v>0</v>
      </c>
      <c r="L2001" s="1" cm="1">
        <f t="array" ref="L2001">IF((SUMPRODUCT(("Var_Cap"=[1]OUT_TransportEnergyCons!$B$4:$B$10000)*1,ISNUMBER(SEARCH("T_b_c*ICE*nga*s4",[1]OUT_TransportEnergyCons!$A$4:$A$10000))*1,[1]OUT_TransportEnergyCons!J$4:J$10000))*1000&lt;0,0,(SUMPRODUCT(("Var_Cap"=[1]OUT_TransportEnergyCons!$B$4:$B$10000)*1,ISNUMBER(SEARCH("T_b_c*ICE*nga*s4",[1]OUT_TransportEnergyCons!$A$4:$A$10000))*1,[1]OUT_TransportEnergyCons!J$4:J$10000))*1000)</f>
        <v>0</v>
      </c>
      <c r="M2001" s="1" cm="1">
        <f t="array" ref="M2001">IF((SUMPRODUCT(("Var_Cap"=[1]OUT_TransportEnergyCons!$B$4:$B$10000)*1,ISNUMBER(SEARCH("T_b_c*ICE*nga*s4",[1]OUT_TransportEnergyCons!$A$4:$A$10000))*1,[1]OUT_TransportEnergyCons!K$4:K$10000))*1000&lt;0,0,(SUMPRODUCT(("Var_Cap"=[1]OUT_TransportEnergyCons!$B$4:$B$10000)*1,ISNUMBER(SEARCH("T_b_c*ICE*nga*s4",[1]OUT_TransportEnergyCons!$A$4:$A$10000))*1,[1]OUT_TransportEnergyCons!K$4:K$10000))*1000)</f>
        <v>0</v>
      </c>
      <c r="N2001" s="1" cm="1">
        <f t="array" ref="N2001">IF((SUMPRODUCT(("Var_Cap"=[1]OUT_TransportEnergyCons!$B$4:$B$10000)*1,ISNUMBER(SEARCH("T_b_c*ICE*nga*s4",[1]OUT_TransportEnergyCons!$A$4:$A$10000))*1,[1]OUT_TransportEnergyCons!L$4:L$10000))*1000&lt;0,0,(SUMPRODUCT(("Var_Cap"=[1]OUT_TransportEnergyCons!$B$4:$B$10000)*1,ISNUMBER(SEARCH("T_b_c*ICE*nga*s4",[1]OUT_TransportEnergyCons!$A$4:$A$10000))*1,[1]OUT_TransportEnergyCons!L$4:L$10000))*1000)</f>
        <v>0</v>
      </c>
      <c r="O2001" s="1" cm="1">
        <f t="array" ref="O2001">IF((SUMPRODUCT(("Var_Cap"=[1]OUT_TransportEnergyCons!$B$4:$B$10000)*1,ISNUMBER(SEARCH("T_b_c*ICE*nga*s4",[1]OUT_TransportEnergyCons!$A$4:$A$10000))*1,[1]OUT_TransportEnergyCons!M$4:M$10000))*1000&lt;0,0,(SUMPRODUCT(("Var_Cap"=[1]OUT_TransportEnergyCons!$B$4:$B$10000)*1,ISNUMBER(SEARCH("T_b_c*ICE*nga*s4",[1]OUT_TransportEnergyCons!$A$4:$A$10000))*1,[1]OUT_TransportEnergyCons!M$4:M$10000))*1000)</f>
        <v>0</v>
      </c>
      <c r="P2001" s="1" cm="1">
        <f t="array" ref="P2001">IF((SUMPRODUCT(("Var_Cap"=[1]OUT_TransportEnergyCons!$B$4:$B$10000)*1,ISNUMBER(SEARCH("T_b_c*ICE*nga*s4",[1]OUT_TransportEnergyCons!$A$4:$A$10000))*1,[1]OUT_TransportEnergyCons!N$4:N$10000))*1000&lt;0,0,(SUMPRODUCT(("Var_Cap"=[1]OUT_TransportEnergyCons!$B$4:$B$10000)*1,ISNUMBER(SEARCH("T_b_c*ICE*nga*s4",[1]OUT_TransportEnergyCons!$A$4:$A$10000))*1,[1]OUT_TransportEnergyCons!N$4:N$10000))*1000)</f>
        <v>0</v>
      </c>
      <c r="Q2001" s="1" cm="1">
        <f t="array" ref="Q2001">IF((SUMPRODUCT(("Var_Cap"=[1]OUT_TransportEnergyCons!$B$4:$B$10000)*1,ISNUMBER(SEARCH("T_b_c*ICE*nga*s4",[1]OUT_TransportEnergyCons!$A$4:$A$10000))*1,[1]OUT_TransportEnergyCons!O$4:O$10000))*1000&lt;0,0,(SUMPRODUCT(("Var_Cap"=[1]OUT_TransportEnergyCons!$B$4:$B$10000)*1,ISNUMBER(SEARCH("T_b_c*ICE*nga*s4",[1]OUT_TransportEnergyCons!$A$4:$A$10000))*1,[1]OUT_TransportEnergyCons!O$4:O$10000))*1000)</f>
        <v>0</v>
      </c>
      <c r="S2001" s="3"/>
    </row>
    <row r="2002" spans="2:19" x14ac:dyDescent="0.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393.01025187888246</v>
      </c>
      <c r="G2002" s="3">
        <f t="shared" ref="G2002:K2002" si="2167">SUM(G2003:G2011)</f>
        <v>399.40168941258338</v>
      </c>
      <c r="H2002" s="3">
        <f t="shared" si="2167"/>
        <v>407.07932203400992</v>
      </c>
      <c r="I2002" s="3">
        <f t="shared" si="2167"/>
        <v>419.87780593007267</v>
      </c>
      <c r="J2002" s="3">
        <f t="shared" si="2167"/>
        <v>443.91655627640944</v>
      </c>
      <c r="K2002" s="3">
        <f t="shared" si="2167"/>
        <v>467.95476331530864</v>
      </c>
      <c r="L2002" s="3">
        <f t="shared" ref="L2002:O2002" si="2168">SUM(L2003:L2011)</f>
        <v>487.49227523350112</v>
      </c>
      <c r="M2002" s="3">
        <f t="shared" si="2168"/>
        <v>507.02739794554446</v>
      </c>
      <c r="N2002" s="3">
        <f t="shared" si="2168"/>
        <v>507.03061204127226</v>
      </c>
      <c r="O2002" s="3">
        <f t="shared" si="2168"/>
        <v>507.02717144161539</v>
      </c>
      <c r="P2002" s="3">
        <f>SUM(P2003:P2011)</f>
        <v>507.02848274428925</v>
      </c>
      <c r="Q2002" s="3">
        <f>SUM(Q2003:Q2011)</f>
        <v>507.02450592823868</v>
      </c>
      <c r="S2002" s="3"/>
    </row>
    <row r="2003" spans="2:19" x14ac:dyDescent="0.5">
      <c r="B2003" s="5" t="str">
        <f t="shared" ref="B2003:B2011" si="2169">B2002</f>
        <v>SPS1</v>
      </c>
      <c r="C2003" s="5" t="str">
        <f t="shared" ref="C2003:C2011" si="2170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1.9499628225821608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1.6899892458595074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(SUMPRODUCT(("Var_Cap"=[1]OUT_TransportEnergyCons!$B$4:$B$10000)*1,("-"=[1]OUT_TransportEnergyCons!$C$4:$C$10000)*1,ISNUMBER(SEARCH("tfl*bev*ext",[1]OUT_TransportEnergyCons!$A$4:$A$10000))*1,[1]OUT_TransportEnergyCons!H$4:H$10000))*1000</f>
        <v>0</v>
      </c>
      <c r="K2003" s="1" cm="1">
        <f t="array" ref="K2003">(SUMPRODUCT(("Var_Cap"=[1]OUT_TransportEnergyCons!$B$4:$B$10000)*1,("-"=[1]OUT_TransportEnergyCons!$C$4:$C$10000)*1,ISNUMBER(SEARCH("tfl*bev*ext",[1]OUT_TransportEnergyCons!$A$4:$A$10000))*1,[1]OUT_TransportEnergyCons!I$4:I$10000))*1000</f>
        <v>0</v>
      </c>
      <c r="L2003" s="1" cm="1">
        <f t="array" ref="L2003">(SUMPRODUCT(("Var_Cap"=[1]OUT_TransportEnergyCons!$B$4:$B$10000)*1,("-"=[1]OUT_TransportEnergyCons!$C$4:$C$10000)*1,ISNUMBER(SEARCH("tfl*bev*ext",[1]OUT_TransportEnergyCons!$A$4:$A$10000))*1,[1]OUT_TransportEnergyCons!J$4:J$10000))*1000</f>
        <v>0</v>
      </c>
      <c r="M2003" s="1" cm="1">
        <f t="array" ref="M2003">(SUMPRODUCT(("Var_Cap"=[1]OUT_TransportEnergyCons!$B$4:$B$10000)*1,("-"=[1]OUT_TransportEnergyCons!$C$4:$C$10000)*1,ISNUMBER(SEARCH("tfl*bev*ext",[1]OUT_TransportEnergyCons!$A$4:$A$10000))*1,[1]OUT_TransportEnergyCons!K$4:K$10000))*1000</f>
        <v>0</v>
      </c>
      <c r="N2003" s="1" cm="1">
        <f t="array" ref="N2003">(SUMPRODUCT(("Var_Cap"=[1]OUT_TransportEnergyCons!$B$4:$B$10000)*1,("-"=[1]OUT_TransportEnergyCons!$C$4:$C$10000)*1,ISNUMBER(SEARCH("tfl*bev*ext",[1]OUT_TransportEnergyCons!$A$4:$A$10000))*1,[1]OUT_TransportEnergyCons!L$4:L$10000))*1000</f>
        <v>0</v>
      </c>
      <c r="O2003" s="1" cm="1">
        <f t="array" ref="O2003">(SUMPRODUCT(("Var_Cap"=[1]OUT_TransportEnergyCons!$B$4:$B$10000)*1,("-"=[1]OUT_TransportEnergyCons!$C$4:$C$10000)*1,ISNUMBER(SEARCH("tfl*bev*ext",[1]OUT_TransportEnergyCons!$A$4:$A$10000))*1,[1]OUT_TransportEnergyCons!M$4:M$10000))*1000</f>
        <v>0</v>
      </c>
      <c r="P2003" s="1" cm="1">
        <f t="array" ref="P2003">(SUMPRODUCT(("Var_Cap"=[1]OUT_TransportEnergyCons!$B$4:$B$10000)*1,("-"=[1]OUT_TransportEnergyCons!$C$4:$C$10000)*1,ISNUMBER(SEARCH("tfl*bev*ext",[1]OUT_TransportEnergyCons!$A$4:$A$10000))*1,[1]OUT_TransportEnergyCons!N$4:N$10000))*1000</f>
        <v>0</v>
      </c>
      <c r="Q2003" s="1" cm="1">
        <f t="array" ref="Q2003">(SUMPRODUCT(("Var_Cap"=[1]OUT_TransportEnergyCons!$B$4:$B$10000)*1,("-"=[1]OUT_TransportEnergyCons!$C$4:$C$10000)*1,ISNUMBER(SEARCH("tfl*bev*ext",[1]OUT_TransportEnergyCons!$A$4:$A$10000))*1,[1]OUT_TransportEnergyCons!O$4:O$10000))*1000</f>
        <v>0</v>
      </c>
      <c r="S2003" s="3"/>
    </row>
    <row r="2004" spans="2:19" x14ac:dyDescent="0.5">
      <c r="B2004" s="5" t="str">
        <f t="shared" si="2169"/>
        <v>SPS1</v>
      </c>
      <c r="C2004" s="5" t="str">
        <f t="shared" si="2170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1.6988544400583221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3.79334798943382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14.099921381563298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58.364288174528369</v>
      </c>
      <c r="J2004" s="1" cm="1">
        <f t="array" ref="J2004">(SUMPRODUCT(("Var_Cap"=[1]OUT_TransportEnergyCons!$B$4:$B$10000)*1,("-"=[1]OUT_TransportEnergyCons!$C$4:$C$10000)*1,ISNUMBER(SEARCH("tfl*bev*",[1]OUT_TransportEnergyCons!$A$4:$A$10000))*1,[1]OUT_TransportEnergyCons!H$4:H$10000))*1000-J2003</f>
        <v>194.0851143987195</v>
      </c>
      <c r="K2004" s="1" cm="1">
        <f t="array" ref="K2004">(SUMPRODUCT(("Var_Cap"=[1]OUT_TransportEnergyCons!$B$4:$B$10000)*1,("-"=[1]OUT_TransportEnergyCons!$C$4:$C$10000)*1,ISNUMBER(SEARCH("tfl*bev*",[1]OUT_TransportEnergyCons!$A$4:$A$10000))*1,[1]OUT_TransportEnergyCons!I$4:I$10000))*1000-K2003</f>
        <v>343.84675411574977</v>
      </c>
      <c r="L2004" s="1" cm="1">
        <f t="array" ref="L2004">(SUMPRODUCT(("Var_Cap"=[1]OUT_TransportEnergyCons!$B$4:$B$10000)*1,("-"=[1]OUT_TransportEnergyCons!$C$4:$C$10000)*1,ISNUMBER(SEARCH("tfl*bev*",[1]OUT_TransportEnergyCons!$A$4:$A$10000))*1,[1]OUT_TransportEnergyCons!J$4:J$10000))*1000-L2003</f>
        <v>355.74788847129071</v>
      </c>
      <c r="M2004" s="1" cm="1">
        <f t="array" ref="M2004">(SUMPRODUCT(("Var_Cap"=[1]OUT_TransportEnergyCons!$B$4:$B$10000)*1,("-"=[1]OUT_TransportEnergyCons!$C$4:$C$10000)*1,ISNUMBER(SEARCH("tfl*bev*",[1]OUT_TransportEnergyCons!$A$4:$A$10000))*1,[1]OUT_TransportEnergyCons!K$4:K$10000))*1000-M2003</f>
        <v>368.47568603131839</v>
      </c>
      <c r="N2004" s="1" cm="1">
        <f t="array" ref="N2004">(SUMPRODUCT(("Var_Cap"=[1]OUT_TransportEnergyCons!$B$4:$B$10000)*1,("-"=[1]OUT_TransportEnergyCons!$C$4:$C$10000)*1,ISNUMBER(SEARCH("tfl*bev*",[1]OUT_TransportEnergyCons!$A$4:$A$10000))*1,[1]OUT_TransportEnergyCons!L$4:L$10000))*1000-N2003</f>
        <v>368.47478797601769</v>
      </c>
      <c r="O2004" s="1" cm="1">
        <f t="array" ref="O2004">(SUMPRODUCT(("Var_Cap"=[1]OUT_TransportEnergyCons!$B$4:$B$10000)*1,("-"=[1]OUT_TransportEnergyCons!$C$4:$C$10000)*1,ISNUMBER(SEARCH("tfl*bev*",[1]OUT_TransportEnergyCons!$A$4:$A$10000))*1,[1]OUT_TransportEnergyCons!M$4:M$10000))*1000-O2003</f>
        <v>368.47514917563632</v>
      </c>
      <c r="P2004" s="1" cm="1">
        <f t="array" ref="P2004">(SUMPRODUCT(("Var_Cap"=[1]OUT_TransportEnergyCons!$B$4:$B$10000)*1,("-"=[1]OUT_TransportEnergyCons!$C$4:$C$10000)*1,ISNUMBER(SEARCH("tfl*bev*",[1]OUT_TransportEnergyCons!$A$4:$A$10000))*1,[1]OUT_TransportEnergyCons!N$4:N$10000))*1000-P2003</f>
        <v>368.47550258755831</v>
      </c>
      <c r="Q2004" s="1" cm="1">
        <f t="array" ref="Q2004">(SUMPRODUCT(("Var_Cap"=[1]OUT_TransportEnergyCons!$B$4:$B$10000)*1,("-"=[1]OUT_TransportEnergyCons!$C$4:$C$10000)*1,ISNUMBER(SEARCH("tfl*bev*",[1]OUT_TransportEnergyCons!$A$4:$A$10000))*1,[1]OUT_TransportEnergyCons!O$4:O$10000))*1000-Q2003</f>
        <v>368.47520636924691</v>
      </c>
      <c r="S2004" s="3"/>
    </row>
    <row r="2005" spans="2:19" x14ac:dyDescent="0.5">
      <c r="B2005" s="5" t="str">
        <f t="shared" si="2169"/>
        <v>SPS1</v>
      </c>
      <c r="C2005" s="5" t="str">
        <f t="shared" si="2170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2.7684808616782498E-3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3.80936122055856E-3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8.4083287797859013E-4</v>
      </c>
      <c r="J2005" s="1" cm="1">
        <f t="array" ref="J2005">(SUMPRODUCT(("Var_Cap"=[1]OUT_TransportEnergyCons!$B$4:$B$10000)*1,("-"=[1]OUT_TransportEnergyCons!$C$4:$C$10000)*1,ISNUMBER(SEARCH("tfl*h2o*",[1]OUT_TransportEnergyCons!$A$4:$A$10000))*1,[1]OUT_TransportEnergyCons!H$4:H$10000))*1000</f>
        <v>7.9827567833719412E-4</v>
      </c>
      <c r="K2005" s="1" cm="1">
        <f t="array" ref="K2005">(SUMPRODUCT(("Var_Cap"=[1]OUT_TransportEnergyCons!$B$4:$B$10000)*1,("-"=[1]OUT_TransportEnergyCons!$C$4:$C$10000)*1,ISNUMBER(SEARCH("tfl*h2o*",[1]OUT_TransportEnergyCons!$A$4:$A$10000))*1,[1]OUT_TransportEnergyCons!I$4:I$10000))*1000</f>
        <v>7.5962283087449805E-4</v>
      </c>
      <c r="L2005" s="1" cm="1">
        <f t="array" ref="L2005">(SUMPRODUCT(("Var_Cap"=[1]OUT_TransportEnergyCons!$B$4:$B$10000)*1,("-"=[1]OUT_TransportEnergyCons!$C$4:$C$10000)*1,ISNUMBER(SEARCH("tfl*h2o*",[1]OUT_TransportEnergyCons!$A$4:$A$10000))*1,[1]OUT_TransportEnergyCons!J$4:J$10000))*1000</f>
        <v>7.6075165046183754E-4</v>
      </c>
      <c r="M2005" s="1" cm="1">
        <f t="array" ref="M2005">(SUMPRODUCT(("Var_Cap"=[1]OUT_TransportEnergyCons!$B$4:$B$10000)*1,("-"=[1]OUT_TransportEnergyCons!$C$4:$C$10000)*1,ISNUMBER(SEARCH("tfl*h2o*",[1]OUT_TransportEnergyCons!$A$4:$A$10000))*1,[1]OUT_TransportEnergyCons!K$4:K$10000))*1000</f>
        <v>7.2981859649522032E-4</v>
      </c>
      <c r="N2005" s="1" cm="1">
        <f t="array" ref="N2005">(SUMPRODUCT(("Var_Cap"=[1]OUT_TransportEnergyCons!$B$4:$B$10000)*1,("-"=[1]OUT_TransportEnergyCons!$C$4:$C$10000)*1,ISNUMBER(SEARCH("tfl*h2o*",[1]OUT_TransportEnergyCons!$A$4:$A$10000))*1,[1]OUT_TransportEnergyCons!L$4:L$10000))*1000</f>
        <v>6.9675535583735098E-4</v>
      </c>
      <c r="O2005" s="1" cm="1">
        <f t="array" ref="O2005">(SUMPRODUCT(("Var_Cap"=[1]OUT_TransportEnergyCons!$B$4:$B$10000)*1,("-"=[1]OUT_TransportEnergyCons!$C$4:$C$10000)*1,ISNUMBER(SEARCH("tfl*h2o*",[1]OUT_TransportEnergyCons!$A$4:$A$10000))*1,[1]OUT_TransportEnergyCons!M$4:M$10000))*1000</f>
        <v>6.6499966189232588E-4</v>
      </c>
      <c r="P2005" s="1" cm="1">
        <f t="array" ref="P2005">(SUMPRODUCT(("Var_Cap"=[1]OUT_TransportEnergyCons!$B$4:$B$10000)*1,("-"=[1]OUT_TransportEnergyCons!$C$4:$C$10000)*1,ISNUMBER(SEARCH("tfl*h2o*",[1]OUT_TransportEnergyCons!$A$4:$A$10000))*1,[1]OUT_TransportEnergyCons!N$4:N$10000))*1000</f>
        <v>6.0184669504987449E-4</v>
      </c>
      <c r="Q2005" s="1" cm="1">
        <f t="array" ref="Q2005">(SUMPRODUCT(("Var_Cap"=[1]OUT_TransportEnergyCons!$B$4:$B$10000)*1,("-"=[1]OUT_TransportEnergyCons!$C$4:$C$10000)*1,ISNUMBER(SEARCH("tfl*h2o*",[1]OUT_TransportEnergyCons!$A$4:$A$10000))*1,[1]OUT_TransportEnergyCons!O$4:O$10000))*1000</f>
        <v>2.4149848060188699E-3</v>
      </c>
      <c r="S2005" s="3"/>
    </row>
    <row r="2006" spans="2:19" x14ac:dyDescent="0.5">
      <c r="B2006" s="5" t="str">
        <f t="shared" si="2169"/>
        <v>SPS1</v>
      </c>
      <c r="C2006" s="5" t="str">
        <f t="shared" si="2170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39.829815208390492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39.825053668781898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30.63465582672417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(SUMPRODUCT(("Var_Cap"=[1]OUT_TransportEnergyCons!$B$4:$B$10000)*1,("-"=[1]OUT_TransportEnergyCons!$C$4:$C$10000)*1,ISNUMBER(SEARCH("TfL*ICE*GSL*ext",[1]OUT_TransportEnergyCons!$A$4:$A$10000))*1,[1]OUT_TransportEnergyCons!H$4:H$10000))*1000</f>
        <v>0</v>
      </c>
      <c r="K2006" s="1" cm="1">
        <f t="array" ref="K2006">(SUMPRODUCT(("Var_Cap"=[1]OUT_TransportEnergyCons!$B$4:$B$10000)*1,("-"=[1]OUT_TransportEnergyCons!$C$4:$C$10000)*1,ISNUMBER(SEARCH("TfL*ICE*GSL*ext",[1]OUT_TransportEnergyCons!$A$4:$A$10000))*1,[1]OUT_TransportEnergyCons!I$4:I$10000))*1000</f>
        <v>0</v>
      </c>
      <c r="L2006" s="1" cm="1">
        <f t="array" ref="L2006">(SUMPRODUCT(("Var_Cap"=[1]OUT_TransportEnergyCons!$B$4:$B$10000)*1,("-"=[1]OUT_TransportEnergyCons!$C$4:$C$10000)*1,ISNUMBER(SEARCH("TfL*ICE*GSL*ext",[1]OUT_TransportEnergyCons!$A$4:$A$10000))*1,[1]OUT_TransportEnergyCons!J$4:J$10000))*1000</f>
        <v>0</v>
      </c>
      <c r="M2006" s="1" cm="1">
        <f t="array" ref="M2006">(SUMPRODUCT(("Var_Cap"=[1]OUT_TransportEnergyCons!$B$4:$B$10000)*1,("-"=[1]OUT_TransportEnergyCons!$C$4:$C$10000)*1,ISNUMBER(SEARCH("TfL*ICE*GSL*ext",[1]OUT_TransportEnergyCons!$A$4:$A$10000))*1,[1]OUT_TransportEnergyCons!K$4:K$10000))*1000</f>
        <v>0</v>
      </c>
      <c r="N2006" s="1" cm="1">
        <f t="array" ref="N2006">(SUMPRODUCT(("Var_Cap"=[1]OUT_TransportEnergyCons!$B$4:$B$10000)*1,("-"=[1]OUT_TransportEnergyCons!$C$4:$C$10000)*1,ISNUMBER(SEARCH("TfL*ICE*GSL*ext",[1]OUT_TransportEnergyCons!$A$4:$A$10000))*1,[1]OUT_TransportEnergyCons!L$4:L$10000))*1000</f>
        <v>0</v>
      </c>
      <c r="O2006" s="1" cm="1">
        <f t="array" ref="O2006">(SUMPRODUCT(("Var_Cap"=[1]OUT_TransportEnergyCons!$B$4:$B$10000)*1,("-"=[1]OUT_TransportEnergyCons!$C$4:$C$10000)*1,ISNUMBER(SEARCH("TfL*ICE*GSL*ext",[1]OUT_TransportEnergyCons!$A$4:$A$10000))*1,[1]OUT_TransportEnergyCons!M$4:M$10000))*1000</f>
        <v>0</v>
      </c>
      <c r="P2006" s="1" cm="1">
        <f t="array" ref="P2006">(SUMPRODUCT(("Var_Cap"=[1]OUT_TransportEnergyCons!$B$4:$B$10000)*1,("-"=[1]OUT_TransportEnergyCons!$C$4:$C$10000)*1,ISNUMBER(SEARCH("TfL*ICE*GSL*ext",[1]OUT_TransportEnergyCons!$A$4:$A$10000))*1,[1]OUT_TransportEnergyCons!N$4:N$10000))*1000</f>
        <v>0</v>
      </c>
      <c r="Q2006" s="1" cm="1">
        <f t="array" ref="Q2006">(SUMPRODUCT(("Var_Cap"=[1]OUT_TransportEnergyCons!$B$4:$B$10000)*1,("-"=[1]OUT_TransportEnergyCons!$C$4:$C$10000)*1,ISNUMBER(SEARCH("TfL*ICE*GSL*ext",[1]OUT_TransportEnergyCons!$A$4:$A$10000))*1,[1]OUT_TransportEnergyCons!O$4:O$10000))*1000</f>
        <v>0</v>
      </c>
      <c r="S2006" s="3"/>
    </row>
    <row r="2007" spans="2:19" x14ac:dyDescent="0.5">
      <c r="B2007" s="5" t="str">
        <f t="shared" si="2169"/>
        <v>SPS1</v>
      </c>
      <c r="C2007" s="5" t="str">
        <f t="shared" si="2170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12.434889455288221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14.171202119972264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26.553052347534596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47.61413122216743</v>
      </c>
      <c r="J2007" s="1" cm="1">
        <f t="array" ref="J2007">(SUMPRODUCT(("Var_Cap"=[1]OUT_TransportEnergyCons!$B$4:$B$10000)*1,("-"=[1]OUT_TransportEnergyCons!$C$4:$C$10000)*1,ISNUMBER(SEARCH("TfL*ICE*GSL*",[1]OUT_TransportEnergyCons!$A$4:$A$10000))*1,[1]OUT_TransportEnergyCons!H$4:H$10000))*1000-J2006</f>
        <v>69.25206056160367</v>
      </c>
      <c r="K2007" s="1" cm="1">
        <f t="array" ref="K2007">(SUMPRODUCT(("Var_Cap"=[1]OUT_TransportEnergyCons!$B$4:$B$10000)*1,("-"=[1]OUT_TransportEnergyCons!$C$4:$C$10000)*1,ISNUMBER(SEARCH("TfL*ICE*GSL*",[1]OUT_TransportEnergyCons!$A$4:$A$10000))*1,[1]OUT_TransportEnergyCons!I$4:I$10000))*1000-K2006</f>
        <v>41.351552636726858</v>
      </c>
      <c r="L2007" s="1" cm="1">
        <f t="array" ref="L2007">(SUMPRODUCT(("Var_Cap"=[1]OUT_TransportEnergyCons!$B$4:$B$10000)*1,("-"=[1]OUT_TransportEnergyCons!$C$4:$C$10000)*1,ISNUMBER(SEARCH("TfL*ICE*GSL*",[1]OUT_TransportEnergyCons!$A$4:$A$10000))*1,[1]OUT_TransportEnergyCons!J$4:J$10000))*1000-L2006</f>
        <v>45.504430349579692</v>
      </c>
      <c r="M2007" s="1" cm="1">
        <f t="array" ref="M2007">(SUMPRODUCT(("Var_Cap"=[1]OUT_TransportEnergyCons!$B$4:$B$10000)*1,("-"=[1]OUT_TransportEnergyCons!$C$4:$C$10000)*1,ISNUMBER(SEARCH("TfL*ICE*GSL*",[1]OUT_TransportEnergyCons!$A$4:$A$10000))*1,[1]OUT_TransportEnergyCons!K$4:K$10000))*1000-M2006</f>
        <v>50.074269104577176</v>
      </c>
      <c r="N2007" s="1" cm="1">
        <f t="array" ref="N2007">(SUMPRODUCT(("Var_Cap"=[1]OUT_TransportEnergyCons!$B$4:$B$10000)*1,("-"=[1]OUT_TransportEnergyCons!$C$4:$C$10000)*1,ISNUMBER(SEARCH("TfL*ICE*GSL*",[1]OUT_TransportEnergyCons!$A$4:$A$10000))*1,[1]OUT_TransportEnergyCons!L$4:L$10000))*1000-N2006</f>
        <v>50.125897063390639</v>
      </c>
      <c r="O2007" s="1" cm="1">
        <f t="array" ref="O2007">(SUMPRODUCT(("Var_Cap"=[1]OUT_TransportEnergyCons!$B$4:$B$10000)*1,("-"=[1]OUT_TransportEnergyCons!$C$4:$C$10000)*1,ISNUMBER(SEARCH("TfL*ICE*GSL*",[1]OUT_TransportEnergyCons!$A$4:$A$10000))*1,[1]OUT_TransportEnergyCons!M$4:M$10000))*1000-O2006</f>
        <v>50.196933893133398</v>
      </c>
      <c r="P2007" s="1" cm="1">
        <f t="array" ref="P2007">(SUMPRODUCT(("Var_Cap"=[1]OUT_TransportEnergyCons!$B$4:$B$10000)*1,("-"=[1]OUT_TransportEnergyCons!$C$4:$C$10000)*1,ISNUMBER(SEARCH("TfL*ICE*GSL*",[1]OUT_TransportEnergyCons!$A$4:$A$10000))*1,[1]OUT_TransportEnergyCons!N$4:N$10000))*1000-P2006</f>
        <v>50.24423476773412</v>
      </c>
      <c r="Q2007" s="1" cm="1">
        <f t="array" ref="Q2007">(SUMPRODUCT(("Var_Cap"=[1]OUT_TransportEnergyCons!$B$4:$B$10000)*1,("-"=[1]OUT_TransportEnergyCons!$C$4:$C$10000)*1,ISNUMBER(SEARCH("TfL*ICE*GSL*",[1]OUT_TransportEnergyCons!$A$4:$A$10000))*1,[1]OUT_TransportEnergyCons!O$4:O$10000))*1000-Q2006</f>
        <v>50.153574176914688</v>
      </c>
      <c r="S2007" s="3"/>
    </row>
    <row r="2008" spans="2:19" x14ac:dyDescent="0.5">
      <c r="B2008" s="5" t="str">
        <f t="shared" si="2169"/>
        <v>SPS1</v>
      </c>
      <c r="C2008" s="5" t="str">
        <f t="shared" si="2170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228.67004565285464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198.4605570513969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152.66197427635959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(SUMPRODUCT(("Var_Cap"=[1]OUT_TransportEnergyCons!$B$4:$B$10000)*1,("-"=[1]OUT_TransportEnergyCons!$C$4:$C$10000)*1,ISNUMBER(SEARCH("tfl*ICE*DSL*ext",[1]OUT_TransportEnergyCons!$A$4:$A$10000))*1,[1]OUT_TransportEnergyCons!H$4:H$10000))*1000</f>
        <v>0</v>
      </c>
      <c r="K2008" s="1" cm="1">
        <f t="array" ref="K2008">(SUMPRODUCT(("Var_Cap"=[1]OUT_TransportEnergyCons!$B$4:$B$10000)*1,("-"=[1]OUT_TransportEnergyCons!$C$4:$C$10000)*1,ISNUMBER(SEARCH("tfl*ICE*DSL*ext",[1]OUT_TransportEnergyCons!$A$4:$A$10000))*1,[1]OUT_TransportEnergyCons!I$4:I$10000))*1000</f>
        <v>0</v>
      </c>
      <c r="L2008" s="1" cm="1">
        <f t="array" ref="L2008">(SUMPRODUCT(("Var_Cap"=[1]OUT_TransportEnergyCons!$B$4:$B$10000)*1,("-"=[1]OUT_TransportEnergyCons!$C$4:$C$10000)*1,ISNUMBER(SEARCH("tfl*ICE*DSL*ext",[1]OUT_TransportEnergyCons!$A$4:$A$10000))*1,[1]OUT_TransportEnergyCons!J$4:J$10000))*1000</f>
        <v>0</v>
      </c>
      <c r="M2008" s="1" cm="1">
        <f t="array" ref="M2008">(SUMPRODUCT(("Var_Cap"=[1]OUT_TransportEnergyCons!$B$4:$B$10000)*1,("-"=[1]OUT_TransportEnergyCons!$C$4:$C$10000)*1,ISNUMBER(SEARCH("tfl*ICE*DSL*ext",[1]OUT_TransportEnergyCons!$A$4:$A$10000))*1,[1]OUT_TransportEnergyCons!K$4:K$10000))*1000</f>
        <v>0</v>
      </c>
      <c r="N2008" s="1" cm="1">
        <f t="array" ref="N2008">(SUMPRODUCT(("Var_Cap"=[1]OUT_TransportEnergyCons!$B$4:$B$10000)*1,("-"=[1]OUT_TransportEnergyCons!$C$4:$C$10000)*1,ISNUMBER(SEARCH("tfl*ICE*DSL*ext",[1]OUT_TransportEnergyCons!$A$4:$A$10000))*1,[1]OUT_TransportEnergyCons!L$4:L$10000))*1000</f>
        <v>0</v>
      </c>
      <c r="O2008" s="1" cm="1">
        <f t="array" ref="O2008">(SUMPRODUCT(("Var_Cap"=[1]OUT_TransportEnergyCons!$B$4:$B$10000)*1,("-"=[1]OUT_TransportEnergyCons!$C$4:$C$10000)*1,ISNUMBER(SEARCH("tfl*ICE*DSL*ext",[1]OUT_TransportEnergyCons!$A$4:$A$10000))*1,[1]OUT_TransportEnergyCons!M$4:M$10000))*1000</f>
        <v>0</v>
      </c>
      <c r="P2008" s="1" cm="1">
        <f t="array" ref="P2008">(SUMPRODUCT(("Var_Cap"=[1]OUT_TransportEnergyCons!$B$4:$B$10000)*1,("-"=[1]OUT_TransportEnergyCons!$C$4:$C$10000)*1,ISNUMBER(SEARCH("tfl*ICE*DSL*ext",[1]OUT_TransportEnergyCons!$A$4:$A$10000))*1,[1]OUT_TransportEnergyCons!N$4:N$10000))*1000</f>
        <v>0</v>
      </c>
      <c r="Q2008" s="1" cm="1">
        <f t="array" ref="Q2008">(SUMPRODUCT(("Var_Cap"=[1]OUT_TransportEnergyCons!$B$4:$B$10000)*1,("-"=[1]OUT_TransportEnergyCons!$C$4:$C$10000)*1,ISNUMBER(SEARCH("tfl*ICE*DSL*ext",[1]OUT_TransportEnergyCons!$A$4:$A$10000))*1,[1]OUT_TransportEnergyCons!O$4:O$10000))*1000</f>
        <v>0</v>
      </c>
      <c r="S2008" s="3"/>
    </row>
    <row r="2009" spans="2:19" x14ac:dyDescent="0.5">
      <c r="B2009" s="5" t="str">
        <f t="shared" si="2169"/>
        <v>SPS1</v>
      </c>
      <c r="C2009" s="5" t="str">
        <f t="shared" si="2170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106.16883906055574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125.1691956458539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125.26015707412549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71.031183076380145</v>
      </c>
      <c r="J2009" s="1" cm="1">
        <f t="array" ref="J2009">(SUMPRODUCT(("Var_Cap"=[1]OUT_TransportEnergyCons!$B$4:$B$10000)*1,("-"=[1]OUT_TransportEnergyCons!$C$4:$C$10000)*1,ISNUMBER(SEARCH("tfl*ICE*DSL*",[1]OUT_TransportEnergyCons!$A$4:$A$10000))*1,[1]OUT_TransportEnergyCons!H$4:H$10000))*1000-J2008</f>
        <v>9.1912740848970902</v>
      </c>
      <c r="K2009" s="1" cm="1">
        <f t="array" ref="K2009">(SUMPRODUCT(("Var_Cap"=[1]OUT_TransportEnergyCons!$B$4:$B$10000)*1,("-"=[1]OUT_TransportEnergyCons!$C$4:$C$10000)*1,ISNUMBER(SEARCH("tfl*ICE*DSL*",[1]OUT_TransportEnergyCons!$A$4:$A$10000))*1,[1]OUT_TransportEnergyCons!I$4:I$10000))*1000-K2008</f>
        <v>9.1144072516002126</v>
      </c>
      <c r="L2009" s="1" cm="1">
        <f t="array" ref="L2009">(SUMPRODUCT(("Var_Cap"=[1]OUT_TransportEnergyCons!$B$4:$B$10000)*1,("-"=[1]OUT_TransportEnergyCons!$C$4:$C$10000)*1,ISNUMBER(SEARCH("tfl*ICE*DSL*",[1]OUT_TransportEnergyCons!$A$4:$A$10000))*1,[1]OUT_TransportEnergyCons!J$4:J$10000))*1000-L2008</f>
        <v>4.9611679037465271</v>
      </c>
      <c r="M2009" s="1" cm="1">
        <f t="array" ref="M2009">(SUMPRODUCT(("Var_Cap"=[1]OUT_TransportEnergyCons!$B$4:$B$10000)*1,("-"=[1]OUT_TransportEnergyCons!$C$4:$C$10000)*1,ISNUMBER(SEARCH("tfl*ICE*DSL*",[1]OUT_TransportEnergyCons!$A$4:$A$10000))*1,[1]OUT_TransportEnergyCons!K$4:K$10000))*1000-M2008</f>
        <v>0.39062713343529398</v>
      </c>
      <c r="N2009" s="1" cm="1">
        <f t="array" ref="N2009">(SUMPRODUCT(("Var_Cap"=[1]OUT_TransportEnergyCons!$B$4:$B$10000)*1,("-"=[1]OUT_TransportEnergyCons!$C$4:$C$10000)*1,ISNUMBER(SEARCH("tfl*ICE*DSL*",[1]OUT_TransportEnergyCons!$A$4:$A$10000))*1,[1]OUT_TransportEnergyCons!L$4:L$10000))*1000-N2008</f>
        <v>0.33890284361288336</v>
      </c>
      <c r="O2009" s="1" cm="1">
        <f t="array" ref="O2009">(SUMPRODUCT(("Var_Cap"=[1]OUT_TransportEnergyCons!$B$4:$B$10000)*1,("-"=[1]OUT_TransportEnergyCons!$C$4:$C$10000)*1,ISNUMBER(SEARCH("tfl*ICE*DSL*",[1]OUT_TransportEnergyCons!$A$4:$A$10000))*1,[1]OUT_TransportEnergyCons!M$4:M$10000))*1000-O2008</f>
        <v>0.26762424559069681</v>
      </c>
      <c r="P2009" s="1" cm="1">
        <f t="array" ref="P2009">(SUMPRODUCT(("Var_Cap"=[1]OUT_TransportEnergyCons!$B$4:$B$10000)*1,("-"=[1]OUT_TransportEnergyCons!$C$4:$C$10000)*1,ISNUMBER(SEARCH("tfl*ICE*DSL*",[1]OUT_TransportEnergyCons!$A$4:$A$10000))*1,[1]OUT_TransportEnergyCons!N$4:N$10000))*1000-P2008</f>
        <v>0.21981563237491972</v>
      </c>
      <c r="Q2009" s="1" cm="1">
        <f t="array" ref="Q2009">(SUMPRODUCT(("Var_Cap"=[1]OUT_TransportEnergyCons!$B$4:$B$10000)*1,("-"=[1]OUT_TransportEnergyCons!$C$4:$C$10000)*1,ISNUMBER(SEARCH("tfl*ICE*DSL*",[1]OUT_TransportEnergyCons!$A$4:$A$10000))*1,[1]OUT_TransportEnergyCons!O$4:O$10000))*1000-Q2008</f>
        <v>0.30930388354436084</v>
      </c>
      <c r="S2009" s="3"/>
    </row>
    <row r="2010" spans="2:19" x14ac:dyDescent="0.5">
      <c r="B2010" s="5" t="str">
        <f t="shared" si="2169"/>
        <v>SPS1</v>
      </c>
      <c r="C2010" s="5" t="str">
        <f t="shared" si="2170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14.3891965116437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55.080550839498301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150.56567981773406</v>
      </c>
      <c r="J2010" s="1" cm="1">
        <f t="array" ref="J2010">(SUMPRODUCT(("Var_Cap"=[1]OUT_TransportEnergyCons!$B$4:$B$10000)*1,("-"=[1]OUT_TransportEnergyCons!$C$4:$C$10000)*1,ISNUMBER(SEARCH("tfl*hyb*DSL*",[1]OUT_TransportEnergyCons!$A$4:$A$10000))*1,[1]OUT_TransportEnergyCons!H$4:H$10000))*1000</f>
        <v>171.38463387751929</v>
      </c>
      <c r="K2010" s="1" cm="1">
        <f t="array" ref="K2010">(SUMPRODUCT(("Var_Cap"=[1]OUT_TransportEnergyCons!$B$4:$B$10000)*1,("-"=[1]OUT_TransportEnergyCons!$C$4:$C$10000)*1,ISNUMBER(SEARCH("tfl*hyb*DSL*",[1]OUT_TransportEnergyCons!$A$4:$A$10000))*1,[1]OUT_TransportEnergyCons!I$4:I$10000))*1000</f>
        <v>73.638608378885607</v>
      </c>
      <c r="L2010" s="1" cm="1">
        <f t="array" ref="L2010">(SUMPRODUCT(("Var_Cap"=[1]OUT_TransportEnergyCons!$B$4:$B$10000)*1,("-"=[1]OUT_TransportEnergyCons!$C$4:$C$10000)*1,ISNUMBER(SEARCH("tfl*hyb*DSL*",[1]OUT_TransportEnergyCons!$A$4:$A$10000))*1,[1]OUT_TransportEnergyCons!J$4:J$10000))*1000</f>
        <v>81.275323954476065</v>
      </c>
      <c r="M2010" s="1" cm="1">
        <f t="array" ref="M2010">(SUMPRODUCT(("Var_Cap"=[1]OUT_TransportEnergyCons!$B$4:$B$10000)*1,("-"=[1]OUT_TransportEnergyCons!$C$4:$C$10000)*1,ISNUMBER(SEARCH("tfl*hyb*DSL*",[1]OUT_TransportEnergyCons!$A$4:$A$10000))*1,[1]OUT_TransportEnergyCons!K$4:K$10000))*1000</f>
        <v>88.083290268585316</v>
      </c>
      <c r="N2010" s="1" cm="1">
        <f t="array" ref="N2010">(SUMPRODUCT(("Var_Cap"=[1]OUT_TransportEnergyCons!$B$4:$B$10000)*1,("-"=[1]OUT_TransportEnergyCons!$C$4:$C$10000)*1,ISNUMBER(SEARCH("tfl*hyb*DSL*",[1]OUT_TransportEnergyCons!$A$4:$A$10000))*1,[1]OUT_TransportEnergyCons!L$4:L$10000))*1000</f>
        <v>88.08750495973139</v>
      </c>
      <c r="O2010" s="1" cm="1">
        <f t="array" ref="O2010">(SUMPRODUCT(("Var_Cap"=[1]OUT_TransportEnergyCons!$B$4:$B$10000)*1,("-"=[1]OUT_TransportEnergyCons!$C$4:$C$10000)*1,ISNUMBER(SEARCH("tfl*hyb*DSL*",[1]OUT_TransportEnergyCons!$A$4:$A$10000))*1,[1]OUT_TransportEnergyCons!M$4:M$10000))*1000</f>
        <v>88.083935848013425</v>
      </c>
      <c r="P2010" s="1" cm="1">
        <f t="array" ref="P2010">(SUMPRODUCT(("Var_Cap"=[1]OUT_TransportEnergyCons!$B$4:$B$10000)*1,("-"=[1]OUT_TransportEnergyCons!$C$4:$C$10000)*1,ISNUMBER(SEARCH("tfl*hyb*DSL*",[1]OUT_TransportEnergyCons!$A$4:$A$10000))*1,[1]OUT_TransportEnergyCons!N$4:N$10000))*1000</f>
        <v>88.085378138218644</v>
      </c>
      <c r="Q2010" s="1" cm="1">
        <f t="array" ref="Q2010">(SUMPRODUCT(("Var_Cap"=[1]OUT_TransportEnergyCons!$B$4:$B$10000)*1,("-"=[1]OUT_TransportEnergyCons!$C$4:$C$10000)*1,ISNUMBER(SEARCH("tfl*hyb*DSL*",[1]OUT_TransportEnergyCons!$A$4:$A$10000))*1,[1]OUT_TransportEnergyCons!O$4:O$10000))*1000</f>
        <v>88.08104061430646</v>
      </c>
      <c r="S2010" s="3"/>
    </row>
    <row r="2011" spans="2:19" x14ac:dyDescent="0.5">
      <c r="B2011" s="5" t="str">
        <f t="shared" si="2169"/>
        <v>SPS1</v>
      </c>
      <c r="C2011" s="5" t="str">
        <f t="shared" si="2170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2.2578452391528505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1.900378698779734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1.4852009269839217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3.3494730513816879E-3</v>
      </c>
      <c r="J2011" s="1" cm="1">
        <f t="array" ref="J2011">(SUMPRODUCT(("Var_Cap"=[1]OUT_TransportEnergyCons!$B$4:$B$10000)*1,("-"=[1]OUT_TransportEnergyCons!$C$4:$C$10000)*1,ISNUMBER(SEARCH("tfl*ice*nga*",[1]OUT_TransportEnergyCons!$A$4:$A$10000))*1,[1]OUT_TransportEnergyCons!H$4:H$10000))*1000</f>
        <v>2.6750779915142128E-3</v>
      </c>
      <c r="K2011" s="1" cm="1">
        <f t="array" ref="K2011">(SUMPRODUCT(("Var_Cap"=[1]OUT_TransportEnergyCons!$B$4:$B$10000)*1,("-"=[1]OUT_TransportEnergyCons!$C$4:$C$10000)*1,ISNUMBER(SEARCH("tfl*ice*nga*",[1]OUT_TransportEnergyCons!$A$4:$A$10000))*1,[1]OUT_TransportEnergyCons!I$4:I$10000))*1000</f>
        <v>2.681309515376702E-3</v>
      </c>
      <c r="L2011" s="1" cm="1">
        <f t="array" ref="L2011">(SUMPRODUCT(("Var_Cap"=[1]OUT_TransportEnergyCons!$B$4:$B$10000)*1,("-"=[1]OUT_TransportEnergyCons!$C$4:$C$10000)*1,ISNUMBER(SEARCH("tfl*ice*nga*",[1]OUT_TransportEnergyCons!$A$4:$A$10000))*1,[1]OUT_TransportEnergyCons!J$4:J$10000))*1000</f>
        <v>2.7038027576465427E-3</v>
      </c>
      <c r="M2011" s="1" cm="1">
        <f t="array" ref="M2011">(SUMPRODUCT(("Var_Cap"=[1]OUT_TransportEnergyCons!$B$4:$B$10000)*1,("-"=[1]OUT_TransportEnergyCons!$C$4:$C$10000)*1,ISNUMBER(SEARCH("tfl*ice*nga*",[1]OUT_TransportEnergyCons!$A$4:$A$10000))*1,[1]OUT_TransportEnergyCons!K$4:K$10000))*1000</f>
        <v>2.7955890317820481E-3</v>
      </c>
      <c r="N2011" s="1" cm="1">
        <f t="array" ref="N2011">(SUMPRODUCT(("Var_Cap"=[1]OUT_TransportEnergyCons!$B$4:$B$10000)*1,("-"=[1]OUT_TransportEnergyCons!$C$4:$C$10000)*1,ISNUMBER(SEARCH("tfl*ice*nga*",[1]OUT_TransportEnergyCons!$A$4:$A$10000))*1,[1]OUT_TransportEnergyCons!L$4:L$10000))*1000</f>
        <v>2.8224431638496834E-3</v>
      </c>
      <c r="O2011" s="1" cm="1">
        <f t="array" ref="O2011">(SUMPRODUCT(("Var_Cap"=[1]OUT_TransportEnergyCons!$B$4:$B$10000)*1,("-"=[1]OUT_TransportEnergyCons!$C$4:$C$10000)*1,ISNUMBER(SEARCH("tfl*ice*nga*",[1]OUT_TransportEnergyCons!$A$4:$A$10000))*1,[1]OUT_TransportEnergyCons!M$4:M$10000))*1000</f>
        <v>2.8632795797099717E-3</v>
      </c>
      <c r="P2011" s="1" cm="1">
        <f t="array" ref="P2011">(SUMPRODUCT(("Var_Cap"=[1]OUT_TransportEnergyCons!$B$4:$B$10000)*1,("-"=[1]OUT_TransportEnergyCons!$C$4:$C$10000)*1,ISNUMBER(SEARCH("tfl*ice*nga*",[1]OUT_TransportEnergyCons!$A$4:$A$10000))*1,[1]OUT_TransportEnergyCons!N$4:N$10000))*1000</f>
        <v>2.9497717081606403E-3</v>
      </c>
      <c r="Q2011" s="1" cm="1">
        <f t="array" ref="Q2011">(SUMPRODUCT(("Var_Cap"=[1]OUT_TransportEnergyCons!$B$4:$B$10000)*1,("-"=[1]OUT_TransportEnergyCons!$C$4:$C$10000)*1,ISNUMBER(SEARCH("tfl*ice*nga*",[1]OUT_TransportEnergyCons!$A$4:$A$10000))*1,[1]OUT_TransportEnergyCons!O$4:O$10000))*1000</f>
        <v>2.9658994202344598E-3</v>
      </c>
      <c r="S2011" s="3"/>
    </row>
    <row r="2012" spans="2:19" x14ac:dyDescent="0.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41.468390367383094</v>
      </c>
      <c r="G2012" s="3">
        <f t="shared" ref="G2012" si="2171">SUM(G2013:G2021)</f>
        <v>43.007420797044922</v>
      </c>
      <c r="H2012" s="3">
        <f t="shared" ref="H2012" si="2172">SUM(H2013:H2021)</f>
        <v>43.497564449746946</v>
      </c>
      <c r="I2012" s="3">
        <f t="shared" ref="I2012" si="2173">SUM(I2013:I2021)</f>
        <v>45.397767959887659</v>
      </c>
      <c r="J2012" s="3">
        <f t="shared" ref="J2012" si="2174">SUM(J2013:J2021)</f>
        <v>47.377766064194837</v>
      </c>
      <c r="K2012" s="3">
        <f t="shared" ref="K2012" si="2175">SUM(K2013:K2021)</f>
        <v>49.358139804803656</v>
      </c>
      <c r="L2012" s="3">
        <f t="shared" ref="L2012:O2012" si="2176">SUM(L2013:L2021)</f>
        <v>51.363498773045421</v>
      </c>
      <c r="M2012" s="3">
        <f t="shared" si="2176"/>
        <v>53.368432158358324</v>
      </c>
      <c r="N2012" s="3">
        <f t="shared" si="2176"/>
        <v>55.268388852468412</v>
      </c>
      <c r="O2012" s="3">
        <f t="shared" si="2176"/>
        <v>57.194101786403991</v>
      </c>
      <c r="P2012" s="3">
        <f>SUM(P2013:P2021)</f>
        <v>59.231124170979783</v>
      </c>
      <c r="Q2012" s="3">
        <f>SUM(Q2013:Q2021)</f>
        <v>61.549855503985668</v>
      </c>
      <c r="S2012" s="3"/>
    </row>
    <row r="2013" spans="2:19" x14ac:dyDescent="0.5">
      <c r="B2013" s="5" t="str">
        <f t="shared" ref="B2013:B2021" si="2177">B2012</f>
        <v>SPS1</v>
      </c>
      <c r="C2013" s="5" t="str">
        <f t="shared" ref="C2013:C2021" si="2178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(SUMPRODUCT(("Var_Cap"=[1]OUT_TransportEnergyCons!$B$4:$B$10000)*1,("-"=[1]OUT_TransportEnergyCons!$C$4:$C$10000)*1,ISNUMBER(SEARCH("tfh*bev*ext",[1]OUT_TransportEnergyCons!$A$4:$A$10000))*1,[1]OUT_TransportEnergyCons!H$4:H$10000))*1000</f>
        <v>0</v>
      </c>
      <c r="K2013" s="1" cm="1">
        <f t="array" ref="K2013">(SUMPRODUCT(("Var_Cap"=[1]OUT_TransportEnergyCons!$B$4:$B$10000)*1,("-"=[1]OUT_TransportEnergyCons!$C$4:$C$10000)*1,ISNUMBER(SEARCH("tfh*bev*ext",[1]OUT_TransportEnergyCons!$A$4:$A$10000))*1,[1]OUT_TransportEnergyCons!I$4:I$10000))*1000</f>
        <v>0</v>
      </c>
      <c r="L2013" s="1" cm="1">
        <f t="array" ref="L2013">(SUMPRODUCT(("Var_Cap"=[1]OUT_TransportEnergyCons!$B$4:$B$10000)*1,("-"=[1]OUT_TransportEnergyCons!$C$4:$C$10000)*1,ISNUMBER(SEARCH("tfh*bev*ext",[1]OUT_TransportEnergyCons!$A$4:$A$10000))*1,[1]OUT_TransportEnergyCons!J$4:J$10000))*1000</f>
        <v>0</v>
      </c>
      <c r="M2013" s="1" cm="1">
        <f t="array" ref="M2013">(SUMPRODUCT(("Var_Cap"=[1]OUT_TransportEnergyCons!$B$4:$B$10000)*1,("-"=[1]OUT_TransportEnergyCons!$C$4:$C$10000)*1,ISNUMBER(SEARCH("tfh*bev*ext",[1]OUT_TransportEnergyCons!$A$4:$A$10000))*1,[1]OUT_TransportEnergyCons!K$4:K$10000))*1000</f>
        <v>0</v>
      </c>
      <c r="N2013" s="1" cm="1">
        <f t="array" ref="N2013">(SUMPRODUCT(("Var_Cap"=[1]OUT_TransportEnergyCons!$B$4:$B$10000)*1,("-"=[1]OUT_TransportEnergyCons!$C$4:$C$10000)*1,ISNUMBER(SEARCH("tfh*bev*ext",[1]OUT_TransportEnergyCons!$A$4:$A$10000))*1,[1]OUT_TransportEnergyCons!L$4:L$10000))*1000</f>
        <v>0</v>
      </c>
      <c r="O2013" s="1" cm="1">
        <f t="array" ref="O2013">(SUMPRODUCT(("Var_Cap"=[1]OUT_TransportEnergyCons!$B$4:$B$10000)*1,("-"=[1]OUT_TransportEnergyCons!$C$4:$C$10000)*1,ISNUMBER(SEARCH("tfh*bev*ext",[1]OUT_TransportEnergyCons!$A$4:$A$10000))*1,[1]OUT_TransportEnergyCons!M$4:M$10000))*1000</f>
        <v>0</v>
      </c>
      <c r="P2013" s="1" cm="1">
        <f t="array" ref="P2013">(SUMPRODUCT(("Var_Cap"=[1]OUT_TransportEnergyCons!$B$4:$B$10000)*1,("-"=[1]OUT_TransportEnergyCons!$C$4:$C$10000)*1,ISNUMBER(SEARCH("tfh*bev*ext",[1]OUT_TransportEnergyCons!$A$4:$A$10000))*1,[1]OUT_TransportEnergyCons!N$4:N$10000))*1000</f>
        <v>0</v>
      </c>
      <c r="Q2013" s="1" cm="1">
        <f t="array" ref="Q2013">(SUMPRODUCT(("Var_Cap"=[1]OUT_TransportEnergyCons!$B$4:$B$10000)*1,("-"=[1]OUT_TransportEnergyCons!$C$4:$C$10000)*1,ISNUMBER(SEARCH("tfh*bev*ext",[1]OUT_TransportEnergyCons!$A$4:$A$10000))*1,[1]OUT_TransportEnergyCons!O$4:O$10000))*1000</f>
        <v>0</v>
      </c>
      <c r="S2013" s="3"/>
    </row>
    <row r="2014" spans="2:19" x14ac:dyDescent="0.5">
      <c r="B2014" s="5" t="str">
        <f t="shared" si="2177"/>
        <v>SPS1</v>
      </c>
      <c r="C2014" s="5" t="str">
        <f t="shared" si="2178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2.9529292588822496E-2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2.2951559468649987E-2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2.4458493726713486E-2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1.0000833287331706E-2</v>
      </c>
      <c r="J2014" s="1" cm="1">
        <f t="array" ref="J2014">(SUMPRODUCT(("Var_Cap"=[1]OUT_TransportEnergyCons!$B$4:$B$10000)*1,("-"=[1]OUT_TransportEnergyCons!$C$4:$C$10000)*1,ISNUMBER(SEARCH("tfh*bev*",[1]OUT_TransportEnergyCons!$A$4:$A$10000))*1,[1]OUT_TransportEnergyCons!H$4:H$10000))*1000-J2013</f>
        <v>4.7532702193005798E-3</v>
      </c>
      <c r="K2014" s="1" cm="1">
        <f t="array" ref="K2014">(SUMPRODUCT(("Var_Cap"=[1]OUT_TransportEnergyCons!$B$4:$B$10000)*1,("-"=[1]OUT_TransportEnergyCons!$C$4:$C$10000)*1,ISNUMBER(SEARCH("tfh*bev*",[1]OUT_TransportEnergyCons!$A$4:$A$10000))*1,[1]OUT_TransportEnergyCons!I$4:I$10000))*1000-K2013</f>
        <v>9.0616693370760507E-3</v>
      </c>
      <c r="L2014" s="1" cm="1">
        <f t="array" ref="L2014">(SUMPRODUCT(("Var_Cap"=[1]OUT_TransportEnergyCons!$B$4:$B$10000)*1,("-"=[1]OUT_TransportEnergyCons!$C$4:$C$10000)*1,ISNUMBER(SEARCH("tfh*bev*",[1]OUT_TransportEnergyCons!$A$4:$A$10000))*1,[1]OUT_TransportEnergyCons!J$4:J$10000))*1000-L2013</f>
        <v>1.2339199374822E-2</v>
      </c>
      <c r="M2014" s="1" cm="1">
        <f t="array" ref="M2014">(SUMPRODUCT(("Var_Cap"=[1]OUT_TransportEnergyCons!$B$4:$B$10000)*1,("-"=[1]OUT_TransportEnergyCons!$C$4:$C$10000)*1,ISNUMBER(SEARCH("tfh*bev*",[1]OUT_TransportEnergyCons!$A$4:$A$10000))*1,[1]OUT_TransportEnergyCons!K$4:K$10000))*1000-M2013</f>
        <v>2.30129192031381E-2</v>
      </c>
      <c r="N2014" s="1" cm="1">
        <f t="array" ref="N2014">(SUMPRODUCT(("Var_Cap"=[1]OUT_TransportEnergyCons!$B$4:$B$10000)*1,("-"=[1]OUT_TransportEnergyCons!$C$4:$C$10000)*1,ISNUMBER(SEARCH("tfh*bev*",[1]OUT_TransportEnergyCons!$A$4:$A$10000))*1,[1]OUT_TransportEnergyCons!L$4:L$10000))*1000-N2013</f>
        <v>3.3893896182257403E-2</v>
      </c>
      <c r="O2014" s="1" cm="1">
        <f t="array" ref="O2014">(SUMPRODUCT(("Var_Cap"=[1]OUT_TransportEnergyCons!$B$4:$B$10000)*1,("-"=[1]OUT_TransportEnergyCons!$C$4:$C$10000)*1,ISNUMBER(SEARCH("tfh*bev*",[1]OUT_TransportEnergyCons!$A$4:$A$10000))*1,[1]OUT_TransportEnergyCons!M$4:M$10000))*1000-O2013</f>
        <v>4.2410575871829226E-2</v>
      </c>
      <c r="P2014" s="1" cm="1">
        <f t="array" ref="P2014">(SUMPRODUCT(("Var_Cap"=[1]OUT_TransportEnergyCons!$B$4:$B$10000)*1,("-"=[1]OUT_TransportEnergyCons!$C$4:$C$10000)*1,ISNUMBER(SEARCH("tfh*bev*",[1]OUT_TransportEnergyCons!$A$4:$A$10000))*1,[1]OUT_TransportEnergyCons!N$4:N$10000))*1000-P2013</f>
        <v>7.7880009066362901E-2</v>
      </c>
      <c r="Q2014" s="1" cm="1">
        <f t="array" ref="Q2014">(SUMPRODUCT(("Var_Cap"=[1]OUT_TransportEnergyCons!$B$4:$B$10000)*1,("-"=[1]OUT_TransportEnergyCons!$C$4:$C$10000)*1,ISNUMBER(SEARCH("tfh*bev*",[1]OUT_TransportEnergyCons!$A$4:$A$10000))*1,[1]OUT_TransportEnergyCons!O$4:O$10000))*1000-Q2013</f>
        <v>0.22406478837304783</v>
      </c>
      <c r="S2014" s="3"/>
    </row>
    <row r="2015" spans="2:19" x14ac:dyDescent="0.5">
      <c r="B2015" s="5" t="str">
        <f t="shared" si="2177"/>
        <v>SPS1</v>
      </c>
      <c r="C2015" s="5" t="str">
        <f t="shared" si="2178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1.0567927020779421E-2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3.1897572207816418E-3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3.3151528464267499E-3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5.3750376326018373E-4</v>
      </c>
      <c r="J2015" s="1" cm="1">
        <f t="array" ref="J2015">IF((SUMPRODUCT(("Var_Cap"=[1]OUT_TransportEnergyCons!$B$4:$B$10000)*1,("-"=[1]OUT_TransportEnergyCons!$C$4:$C$10000)*1,ISNUMBER(SEARCH("tfh*h2o*",[1]OUT_TransportEnergyCons!$A$4:$A$10000))*1,[1]OUT_TransportEnergyCons!H$4:H$10000))*1000&lt;0,0,(SUMPRODUCT(("Var_Cap"=[1]OUT_TransportEnergyCons!$B$4:$B$10000)*1,("-"=[1]OUT_TransportEnergyCons!$C$4:$C$10000)*1,ISNUMBER(SEARCH("tfh*h2o*",[1]OUT_TransportEnergyCons!$A$4:$A$10000))*1,[1]OUT_TransportEnergyCons!H$4:H$10000))*1000)</f>
        <v>5.2777048678894802E-4</v>
      </c>
      <c r="K2015" s="1" cm="1">
        <f t="array" ref="K2015">IF((SUMPRODUCT(("Var_Cap"=[1]OUT_TransportEnergyCons!$B$4:$B$10000)*1,("-"=[1]OUT_TransportEnergyCons!$C$4:$C$10000)*1,ISNUMBER(SEARCH("tfh*h2o*",[1]OUT_TransportEnergyCons!$A$4:$A$10000))*1,[1]OUT_TransportEnergyCons!I$4:I$10000))*1000&lt;0,0,(SUMPRODUCT(("Var_Cap"=[1]OUT_TransportEnergyCons!$B$4:$B$10000)*1,("-"=[1]OUT_TransportEnergyCons!$C$4:$C$10000)*1,ISNUMBER(SEARCH("tfh*h2o*",[1]OUT_TransportEnergyCons!$A$4:$A$10000))*1,[1]OUT_TransportEnergyCons!I$4:I$10000))*1000)</f>
        <v>5.0722374928547091E-4</v>
      </c>
      <c r="L2015" s="1" cm="1">
        <f t="array" ref="L2015">IF((SUMPRODUCT(("Var_Cap"=[1]OUT_TransportEnergyCons!$B$4:$B$10000)*1,("-"=[1]OUT_TransportEnergyCons!$C$4:$C$10000)*1,ISNUMBER(SEARCH("tfh*h2o*",[1]OUT_TransportEnergyCons!$A$4:$A$10000))*1,[1]OUT_TransportEnergyCons!J$4:J$10000))*1000&lt;0,0,(SUMPRODUCT(("Var_Cap"=[1]OUT_TransportEnergyCons!$B$4:$B$10000)*1,("-"=[1]OUT_TransportEnergyCons!$C$4:$C$10000)*1,ISNUMBER(SEARCH("tfh*h2o*",[1]OUT_TransportEnergyCons!$A$4:$A$10000))*1,[1]OUT_TransportEnergyCons!J$4:J$10000))*1000)</f>
        <v>4.8602202482852407E-4</v>
      </c>
      <c r="M2015" s="1" cm="1">
        <f t="array" ref="M2015">IF((SUMPRODUCT(("Var_Cap"=[1]OUT_TransportEnergyCons!$B$4:$B$10000)*1,("-"=[1]OUT_TransportEnergyCons!$C$4:$C$10000)*1,ISNUMBER(SEARCH("tfh*h2o*",[1]OUT_TransportEnergyCons!$A$4:$A$10000))*1,[1]OUT_TransportEnergyCons!K$4:K$10000))*1000&lt;0,0,(SUMPRODUCT(("Var_Cap"=[1]OUT_TransportEnergyCons!$B$4:$B$10000)*1,("-"=[1]OUT_TransportEnergyCons!$C$4:$C$10000)*1,ISNUMBER(SEARCH("tfh*h2o*",[1]OUT_TransportEnergyCons!$A$4:$A$10000))*1,[1]OUT_TransportEnergyCons!K$4:K$10000))*1000)</f>
        <v>4.6597634978599601E-4</v>
      </c>
      <c r="N2015" s="1" cm="1">
        <f t="array" ref="N2015">IF((SUMPRODUCT(("Var_Cap"=[1]OUT_TransportEnergyCons!$B$4:$B$10000)*1,("-"=[1]OUT_TransportEnergyCons!$C$4:$C$10000)*1,ISNUMBER(SEARCH("tfh*h2o*",[1]OUT_TransportEnergyCons!$A$4:$A$10000))*1,[1]OUT_TransportEnergyCons!L$4:L$10000))*1000&lt;0,0,(SUMPRODUCT(("Var_Cap"=[1]OUT_TransportEnergyCons!$B$4:$B$10000)*1,("-"=[1]OUT_TransportEnergyCons!$C$4:$C$10000)*1,ISNUMBER(SEARCH("tfh*h2o*",[1]OUT_TransportEnergyCons!$A$4:$A$10000))*1,[1]OUT_TransportEnergyCons!L$4:L$10000))*1000)</f>
        <v>4.44597057823989E-4</v>
      </c>
      <c r="O2015" s="1" cm="1">
        <f t="array" ref="O2015">IF((SUMPRODUCT(("Var_Cap"=[1]OUT_TransportEnergyCons!$B$4:$B$10000)*1,("-"=[1]OUT_TransportEnergyCons!$C$4:$C$10000)*1,ISNUMBER(SEARCH("tfh*h2o*",[1]OUT_TransportEnergyCons!$A$4:$A$10000))*1,[1]OUT_TransportEnergyCons!M$4:M$10000))*1000&lt;0,0,(SUMPRODUCT(("Var_Cap"=[1]OUT_TransportEnergyCons!$B$4:$B$10000)*1,("-"=[1]OUT_TransportEnergyCons!$C$4:$C$10000)*1,ISNUMBER(SEARCH("tfh*h2o*",[1]OUT_TransportEnergyCons!$A$4:$A$10000))*1,[1]OUT_TransportEnergyCons!M$4:M$10000))*1000)</f>
        <v>4.2081426812315599E-4</v>
      </c>
      <c r="P2015" s="1" cm="1">
        <f t="array" ref="P2015">IF((SUMPRODUCT(("Var_Cap"=[1]OUT_TransportEnergyCons!$B$4:$B$10000)*1,("-"=[1]OUT_TransportEnergyCons!$C$4:$C$10000)*1,ISNUMBER(SEARCH("tfh*h2o*",[1]OUT_TransportEnergyCons!$A$4:$A$10000))*1,[1]OUT_TransportEnergyCons!N$4:N$10000))*1000&lt;0,0,(SUMPRODUCT(("Var_Cap"=[1]OUT_TransportEnergyCons!$B$4:$B$10000)*1,("-"=[1]OUT_TransportEnergyCons!$C$4:$C$10000)*1,ISNUMBER(SEARCH("tfh*h2o*",[1]OUT_TransportEnergyCons!$A$4:$A$10000))*1,[1]OUT_TransportEnergyCons!N$4:N$10000))*1000)</f>
        <v>4.3660172146748602E-4</v>
      </c>
      <c r="Q2015" s="1" cm="1">
        <f t="array" ref="Q2015">IF((SUMPRODUCT(("Var_Cap"=[1]OUT_TransportEnergyCons!$B$4:$B$10000)*1,("-"=[1]OUT_TransportEnergyCons!$C$4:$C$10000)*1,ISNUMBER(SEARCH("tfh*h2o*",[1]OUT_TransportEnergyCons!$A$4:$A$10000))*1,[1]OUT_TransportEnergyCons!O$4:O$10000))*1000&lt;0,0,(SUMPRODUCT(("Var_Cap"=[1]OUT_TransportEnergyCons!$B$4:$B$10000)*1,("-"=[1]OUT_TransportEnergyCons!$C$4:$C$10000)*1,ISNUMBER(SEARCH("tfh*h2o*",[1]OUT_TransportEnergyCons!$A$4:$A$10000))*1,[1]OUT_TransportEnergyCons!O$4:O$10000))*1000)</f>
        <v>4.0145486386380599E-4</v>
      </c>
      <c r="S2015" s="3"/>
    </row>
    <row r="2016" spans="2:19" x14ac:dyDescent="0.5">
      <c r="B2016" s="5" t="str">
        <f t="shared" si="2177"/>
        <v>SPS1</v>
      </c>
      <c r="C2016" s="5" t="str">
        <f t="shared" si="2178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(SUMPRODUCT(("Var_Cap"=[1]OUT_TransportEnergyCons!$B$4:$B$10000)*1,("-"=[1]OUT_TransportEnergyCons!$C$4:$C$10000)*1,ISNUMBER(SEARCH("tfh*ICE*GSL*ext",[1]OUT_TransportEnergyCons!$A$4:$A$10000))*1,[1]OUT_TransportEnergyCons!H$4:H$10000))*1000</f>
        <v>0</v>
      </c>
      <c r="K2016" s="1" cm="1">
        <f t="array" ref="K2016">(SUMPRODUCT(("Var_Cap"=[1]OUT_TransportEnergyCons!$B$4:$B$10000)*1,("-"=[1]OUT_TransportEnergyCons!$C$4:$C$10000)*1,ISNUMBER(SEARCH("tfh*ICE*GSL*ext",[1]OUT_TransportEnergyCons!$A$4:$A$10000))*1,[1]OUT_TransportEnergyCons!I$4:I$10000))*1000</f>
        <v>0</v>
      </c>
      <c r="L2016" s="1" cm="1">
        <f t="array" ref="L2016">(SUMPRODUCT(("Var_Cap"=[1]OUT_TransportEnergyCons!$B$4:$B$10000)*1,("-"=[1]OUT_TransportEnergyCons!$C$4:$C$10000)*1,ISNUMBER(SEARCH("tfh*ICE*GSL*ext",[1]OUT_TransportEnergyCons!$A$4:$A$10000))*1,[1]OUT_TransportEnergyCons!J$4:J$10000))*1000</f>
        <v>0</v>
      </c>
      <c r="M2016" s="1" cm="1">
        <f t="array" ref="M2016">(SUMPRODUCT(("Var_Cap"=[1]OUT_TransportEnergyCons!$B$4:$B$10000)*1,("-"=[1]OUT_TransportEnergyCons!$C$4:$C$10000)*1,ISNUMBER(SEARCH("tfh*ICE*GSL*ext",[1]OUT_TransportEnergyCons!$A$4:$A$10000))*1,[1]OUT_TransportEnergyCons!K$4:K$10000))*1000</f>
        <v>0</v>
      </c>
      <c r="N2016" s="1" cm="1">
        <f t="array" ref="N2016">(SUMPRODUCT(("Var_Cap"=[1]OUT_TransportEnergyCons!$B$4:$B$10000)*1,("-"=[1]OUT_TransportEnergyCons!$C$4:$C$10000)*1,ISNUMBER(SEARCH("tfh*ICE*GSL*ext",[1]OUT_TransportEnergyCons!$A$4:$A$10000))*1,[1]OUT_TransportEnergyCons!L$4:L$10000))*1000</f>
        <v>0</v>
      </c>
      <c r="O2016" s="1" cm="1">
        <f t="array" ref="O2016">(SUMPRODUCT(("Var_Cap"=[1]OUT_TransportEnergyCons!$B$4:$B$10000)*1,("-"=[1]OUT_TransportEnergyCons!$C$4:$C$10000)*1,ISNUMBER(SEARCH("tfh*ICE*GSL*ext",[1]OUT_TransportEnergyCons!$A$4:$A$10000))*1,[1]OUT_TransportEnergyCons!M$4:M$10000))*1000</f>
        <v>0</v>
      </c>
      <c r="P2016" s="1" cm="1">
        <f t="array" ref="P2016">(SUMPRODUCT(("Var_Cap"=[1]OUT_TransportEnergyCons!$B$4:$B$10000)*1,("-"=[1]OUT_TransportEnergyCons!$C$4:$C$10000)*1,ISNUMBER(SEARCH("tfh*ICE*GSL*ext",[1]OUT_TransportEnergyCons!$A$4:$A$10000))*1,[1]OUT_TransportEnergyCons!N$4:N$10000))*1000</f>
        <v>0</v>
      </c>
      <c r="Q2016" s="1" cm="1">
        <f t="array" ref="Q2016">(SUMPRODUCT(("Var_Cap"=[1]OUT_TransportEnergyCons!$B$4:$B$10000)*1,("-"=[1]OUT_TransportEnergyCons!$C$4:$C$10000)*1,ISNUMBER(SEARCH("tfh*ICE*GSL*ext",[1]OUT_TransportEnergyCons!$A$4:$A$10000))*1,[1]OUT_TransportEnergyCons!O$4:O$10000))*1000</f>
        <v>0</v>
      </c>
      <c r="S2016" s="3"/>
    </row>
    <row r="2017" spans="2:19" x14ac:dyDescent="0.5">
      <c r="B2017" s="5" t="str">
        <f t="shared" si="2177"/>
        <v>SPS1</v>
      </c>
      <c r="C2017" s="5" t="str">
        <f t="shared" si="2178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(SUMPRODUCT(("Var_Cap"=[1]OUT_TransportEnergyCons!$B$4:$B$10000)*1,("-"=[1]OUT_TransportEnergyCons!$C$4:$C$10000)*1,ISNUMBER(SEARCH("tfh*ICE*GSL*",[1]OUT_TransportEnergyCons!$A$4:$A$10000))*1,[1]OUT_TransportEnergyCons!H$4:H$10000))*1000-J2016</f>
        <v>0</v>
      </c>
      <c r="K2017" s="1" cm="1">
        <f t="array" ref="K2017">(SUMPRODUCT(("Var_Cap"=[1]OUT_TransportEnergyCons!$B$4:$B$10000)*1,("-"=[1]OUT_TransportEnergyCons!$C$4:$C$10000)*1,ISNUMBER(SEARCH("tfh*ICE*GSL*",[1]OUT_TransportEnergyCons!$A$4:$A$10000))*1,[1]OUT_TransportEnergyCons!I$4:I$10000))*1000-K2016</f>
        <v>0</v>
      </c>
      <c r="L2017" s="1" cm="1">
        <f t="array" ref="L2017">(SUMPRODUCT(("Var_Cap"=[1]OUT_TransportEnergyCons!$B$4:$B$10000)*1,("-"=[1]OUT_TransportEnergyCons!$C$4:$C$10000)*1,ISNUMBER(SEARCH("tfh*ICE*GSL*",[1]OUT_TransportEnergyCons!$A$4:$A$10000))*1,[1]OUT_TransportEnergyCons!J$4:J$10000))*1000-L2016</f>
        <v>0</v>
      </c>
      <c r="M2017" s="1" cm="1">
        <f t="array" ref="M2017">(SUMPRODUCT(("Var_Cap"=[1]OUT_TransportEnergyCons!$B$4:$B$10000)*1,("-"=[1]OUT_TransportEnergyCons!$C$4:$C$10000)*1,ISNUMBER(SEARCH("tfh*ICE*GSL*",[1]OUT_TransportEnergyCons!$A$4:$A$10000))*1,[1]OUT_TransportEnergyCons!K$4:K$10000))*1000-M2016</f>
        <v>0</v>
      </c>
      <c r="N2017" s="1" cm="1">
        <f t="array" ref="N2017">(SUMPRODUCT(("Var_Cap"=[1]OUT_TransportEnergyCons!$B$4:$B$10000)*1,("-"=[1]OUT_TransportEnergyCons!$C$4:$C$10000)*1,ISNUMBER(SEARCH("tfh*ICE*GSL*",[1]OUT_TransportEnergyCons!$A$4:$A$10000))*1,[1]OUT_TransportEnergyCons!L$4:L$10000))*1000-N2016</f>
        <v>0</v>
      </c>
      <c r="O2017" s="1" cm="1">
        <f t="array" ref="O2017">(SUMPRODUCT(("Var_Cap"=[1]OUT_TransportEnergyCons!$B$4:$B$10000)*1,("-"=[1]OUT_TransportEnergyCons!$C$4:$C$10000)*1,ISNUMBER(SEARCH("tfh*ICE*GSL*",[1]OUT_TransportEnergyCons!$A$4:$A$10000))*1,[1]OUT_TransportEnergyCons!M$4:M$10000))*1000-O2016</f>
        <v>0</v>
      </c>
      <c r="P2017" s="1" cm="1">
        <f t="array" ref="P2017">(SUMPRODUCT(("Var_Cap"=[1]OUT_TransportEnergyCons!$B$4:$B$10000)*1,("-"=[1]OUT_TransportEnergyCons!$C$4:$C$10000)*1,ISNUMBER(SEARCH("tfh*ICE*GSL*",[1]OUT_TransportEnergyCons!$A$4:$A$10000))*1,[1]OUT_TransportEnergyCons!N$4:N$10000))*1000-P2016</f>
        <v>0</v>
      </c>
      <c r="Q2017" s="1" cm="1">
        <f t="array" ref="Q2017">(SUMPRODUCT(("Var_Cap"=[1]OUT_TransportEnergyCons!$B$4:$B$10000)*1,("-"=[1]OUT_TransportEnergyCons!$C$4:$C$10000)*1,ISNUMBER(SEARCH("tfh*ICE*GSL*",[1]OUT_TransportEnergyCons!$A$4:$A$10000))*1,[1]OUT_TransportEnergyCons!O$4:O$10000))*1000-Q2016</f>
        <v>0</v>
      </c>
      <c r="S2017" s="3"/>
    </row>
    <row r="2018" spans="2:19" x14ac:dyDescent="0.5">
      <c r="B2018" s="5" t="str">
        <f t="shared" si="2177"/>
        <v>SPS1</v>
      </c>
      <c r="C2018" s="5" t="str">
        <f t="shared" si="2178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29.661985762444168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19.774652145620713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19.774650915266683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(SUMPRODUCT(("Var_Cap"=[1]OUT_TransportEnergyCons!$B$4:$B$10000)*1,("-"=[1]OUT_TransportEnergyCons!$C$4:$C$10000)*1,ISNUMBER(SEARCH("tfh*ICE*DSL*ext",[1]OUT_TransportEnergyCons!$A$4:$A$10000))*1,[1]OUT_TransportEnergyCons!H$4:H$10000))*1000</f>
        <v>0</v>
      </c>
      <c r="K2018" s="1" cm="1">
        <f t="array" ref="K2018">(SUMPRODUCT(("Var_Cap"=[1]OUT_TransportEnergyCons!$B$4:$B$10000)*1,("-"=[1]OUT_TransportEnergyCons!$C$4:$C$10000)*1,ISNUMBER(SEARCH("tfh*ICE*DSL*ext",[1]OUT_TransportEnergyCons!$A$4:$A$10000))*1,[1]OUT_TransportEnergyCons!I$4:I$10000))*1000</f>
        <v>0</v>
      </c>
      <c r="L2018" s="1" cm="1">
        <f t="array" ref="L2018">(SUMPRODUCT(("Var_Cap"=[1]OUT_TransportEnergyCons!$B$4:$B$10000)*1,("-"=[1]OUT_TransportEnergyCons!$C$4:$C$10000)*1,ISNUMBER(SEARCH("tfh*ICE*DSL*ext",[1]OUT_TransportEnergyCons!$A$4:$A$10000))*1,[1]OUT_TransportEnergyCons!J$4:J$10000))*1000</f>
        <v>0</v>
      </c>
      <c r="M2018" s="1" cm="1">
        <f t="array" ref="M2018">(SUMPRODUCT(("Var_Cap"=[1]OUT_TransportEnergyCons!$B$4:$B$10000)*1,("-"=[1]OUT_TransportEnergyCons!$C$4:$C$10000)*1,ISNUMBER(SEARCH("tfh*ICE*DSL*ext",[1]OUT_TransportEnergyCons!$A$4:$A$10000))*1,[1]OUT_TransportEnergyCons!K$4:K$10000))*1000</f>
        <v>0</v>
      </c>
      <c r="N2018" s="1" cm="1">
        <f t="array" ref="N2018">(SUMPRODUCT(("Var_Cap"=[1]OUT_TransportEnergyCons!$B$4:$B$10000)*1,("-"=[1]OUT_TransportEnergyCons!$C$4:$C$10000)*1,ISNUMBER(SEARCH("tfh*ICE*DSL*ext",[1]OUT_TransportEnergyCons!$A$4:$A$10000))*1,[1]OUT_TransportEnergyCons!L$4:L$10000))*1000</f>
        <v>0</v>
      </c>
      <c r="O2018" s="1" cm="1">
        <f t="array" ref="O2018">(SUMPRODUCT(("Var_Cap"=[1]OUT_TransportEnergyCons!$B$4:$B$10000)*1,("-"=[1]OUT_TransportEnergyCons!$C$4:$C$10000)*1,ISNUMBER(SEARCH("tfh*ICE*DSL*ext",[1]OUT_TransportEnergyCons!$A$4:$A$10000))*1,[1]OUT_TransportEnergyCons!M$4:M$10000))*1000</f>
        <v>0</v>
      </c>
      <c r="P2018" s="1" cm="1">
        <f t="array" ref="P2018">(SUMPRODUCT(("Var_Cap"=[1]OUT_TransportEnergyCons!$B$4:$B$10000)*1,("-"=[1]OUT_TransportEnergyCons!$C$4:$C$10000)*1,ISNUMBER(SEARCH("tfh*ICE*DSL*ext",[1]OUT_TransportEnergyCons!$A$4:$A$10000))*1,[1]OUT_TransportEnergyCons!N$4:N$10000))*1000</f>
        <v>0</v>
      </c>
      <c r="Q2018" s="1" cm="1">
        <f t="array" ref="Q2018">(SUMPRODUCT(("Var_Cap"=[1]OUT_TransportEnergyCons!$B$4:$B$10000)*1,("-"=[1]OUT_TransportEnergyCons!$C$4:$C$10000)*1,ISNUMBER(SEARCH("tfh*ICE*DSL*ext",[1]OUT_TransportEnergyCons!$A$4:$A$10000))*1,[1]OUT_TransportEnergyCons!O$4:O$10000))*1000</f>
        <v>0</v>
      </c>
      <c r="S2018" s="3"/>
    </row>
    <row r="2019" spans="2:19" x14ac:dyDescent="0.5">
      <c r="B2019" s="5" t="str">
        <f t="shared" si="2177"/>
        <v>SPS1</v>
      </c>
      <c r="C2019" s="5" t="str">
        <f t="shared" si="2178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11.712935335217566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13.71332863047499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10.721520743371276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0.99028447876976244</v>
      </c>
      <c r="J2019" s="1" cm="1">
        <f t="array" ref="J2019">(SUMPRODUCT(("Var_Cap"=[1]OUT_TransportEnergyCons!$B$4:$B$10000)*1,("-"=[1]OUT_TransportEnergyCons!$C$4:$C$10000)*1,ISNUMBER(SEARCH("tfh*ICE*DSL*",[1]OUT_TransportEnergyCons!$A$4:$A$10000))*1,[1]OUT_TransportEnergyCons!H$4:H$10000))*1000-J2018</f>
        <v>9.0666670816265602E-3</v>
      </c>
      <c r="K2019" s="1" cm="1">
        <f t="array" ref="K2019">(SUMPRODUCT(("Var_Cap"=[1]OUT_TransportEnergyCons!$B$4:$B$10000)*1,("-"=[1]OUT_TransportEnergyCons!$C$4:$C$10000)*1,ISNUMBER(SEARCH("tfh*ICE*DSL*",[1]OUT_TransportEnergyCons!$A$4:$A$10000))*1,[1]OUT_TransportEnergyCons!I$4:I$10000))*1000-K2018</f>
        <v>1.3108362250592399E-2</v>
      </c>
      <c r="L2019" s="1" cm="1">
        <f t="array" ref="L2019">(SUMPRODUCT(("Var_Cap"=[1]OUT_TransportEnergyCons!$B$4:$B$10000)*1,("-"=[1]OUT_TransportEnergyCons!$C$4:$C$10000)*1,ISNUMBER(SEARCH("tfh*ICE*DSL*",[1]OUT_TransportEnergyCons!$A$4:$A$10000))*1,[1]OUT_TransportEnergyCons!J$4:J$10000))*1000-L2018</f>
        <v>1.1136483794573E-2</v>
      </c>
      <c r="M2019" s="1" cm="1">
        <f t="array" ref="M2019">(SUMPRODUCT(("Var_Cap"=[1]OUT_TransportEnergyCons!$B$4:$B$10000)*1,("-"=[1]OUT_TransportEnergyCons!$C$4:$C$10000)*1,ISNUMBER(SEARCH("tfh*ICE*DSL*",[1]OUT_TransportEnergyCons!$A$4:$A$10000))*1,[1]OUT_TransportEnergyCons!K$4:K$10000))*1000-M2018</f>
        <v>1.28366195605914E-2</v>
      </c>
      <c r="N2019" s="1" cm="1">
        <f t="array" ref="N2019">(SUMPRODUCT(("Var_Cap"=[1]OUT_TransportEnergyCons!$B$4:$B$10000)*1,("-"=[1]OUT_TransportEnergyCons!$C$4:$C$10000)*1,ISNUMBER(SEARCH("tfh*ICE*DSL*",[1]OUT_TransportEnergyCons!$A$4:$A$10000))*1,[1]OUT_TransportEnergyCons!L$4:L$10000))*1000-N2018</f>
        <v>1.42107976591366E-2</v>
      </c>
      <c r="O2019" s="1" cm="1">
        <f t="array" ref="O2019">(SUMPRODUCT(("Var_Cap"=[1]OUT_TransportEnergyCons!$B$4:$B$10000)*1,("-"=[1]OUT_TransportEnergyCons!$C$4:$C$10000)*1,ISNUMBER(SEARCH("tfh*ICE*DSL*",[1]OUT_TransportEnergyCons!$A$4:$A$10000))*1,[1]OUT_TransportEnergyCons!M$4:M$10000))*1000-O2018</f>
        <v>1.22291620941958E-2</v>
      </c>
      <c r="P2019" s="1" cm="1">
        <f t="array" ref="P2019">(SUMPRODUCT(("Var_Cap"=[1]OUT_TransportEnergyCons!$B$4:$B$10000)*1,("-"=[1]OUT_TransportEnergyCons!$C$4:$C$10000)*1,ISNUMBER(SEARCH("tfh*ICE*DSL*",[1]OUT_TransportEnergyCons!$A$4:$A$10000))*1,[1]OUT_TransportEnergyCons!N$4:N$10000))*1000-P2018</f>
        <v>1.7602326803843601E-2</v>
      </c>
      <c r="Q2019" s="1" cm="1">
        <f t="array" ref="Q2019">(SUMPRODUCT(("Var_Cap"=[1]OUT_TransportEnergyCons!$B$4:$B$10000)*1,("-"=[1]OUT_TransportEnergyCons!$C$4:$C$10000)*1,ISNUMBER(SEARCH("tfh*ICE*DSL*",[1]OUT_TransportEnergyCons!$A$4:$A$10000))*1,[1]OUT_TransportEnergyCons!O$4:O$10000))*1000-Q2018</f>
        <v>2.28906388260968E-2</v>
      </c>
      <c r="S2019" s="3"/>
    </row>
    <row r="2020" spans="2:19" x14ac:dyDescent="0.5">
      <c r="B2020" s="5" t="str">
        <f t="shared" si="2177"/>
        <v>SPS1</v>
      </c>
      <c r="C2020" s="5" t="str">
        <f t="shared" si="2178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9.4873211364149697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12.967633099478199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34.503617469743801</v>
      </c>
      <c r="J2020" s="1" cm="1">
        <f t="array" ref="J2020">(SUMPRODUCT(("Var_Cap"=[1]OUT_TransportEnergyCons!$B$4:$B$10000)*1,("-"=[1]OUT_TransportEnergyCons!$C$4:$C$10000)*1,ISNUMBER(SEARCH("tfh*hyb*DSL*",[1]OUT_TransportEnergyCons!$A$4:$A$10000))*1,[1]OUT_TransportEnergyCons!H$4:H$10000))*1000</f>
        <v>47.357416810920903</v>
      </c>
      <c r="K2020" s="1" cm="1">
        <f t="array" ref="K2020">(SUMPRODUCT(("Var_Cap"=[1]OUT_TransportEnergyCons!$B$4:$B$10000)*1,("-"=[1]OUT_TransportEnergyCons!$C$4:$C$10000)*1,ISNUMBER(SEARCH("tfh*hyb*DSL*",[1]OUT_TransportEnergyCons!$A$4:$A$10000))*1,[1]OUT_TransportEnergyCons!I$4:I$10000))*1000</f>
        <v>49.329440521447601</v>
      </c>
      <c r="L2020" s="1" cm="1">
        <f t="array" ref="L2020">(SUMPRODUCT(("Var_Cap"=[1]OUT_TransportEnergyCons!$B$4:$B$10000)*1,("-"=[1]OUT_TransportEnergyCons!$C$4:$C$10000)*1,ISNUMBER(SEARCH("tfh*hyb*DSL*",[1]OUT_TransportEnergyCons!$A$4:$A$10000))*1,[1]OUT_TransportEnergyCons!J$4:J$10000))*1000</f>
        <v>51.333505030017299</v>
      </c>
      <c r="M2020" s="1" cm="1">
        <f t="array" ref="M2020">(SUMPRODUCT(("Var_Cap"=[1]OUT_TransportEnergyCons!$B$4:$B$10000)*1,("-"=[1]OUT_TransportEnergyCons!$C$4:$C$10000)*1,ISNUMBER(SEARCH("tfh*hyb*DSL*",[1]OUT_TransportEnergyCons!$A$4:$A$10000))*1,[1]OUT_TransportEnergyCons!K$4:K$10000))*1000</f>
        <v>53.3260762471552</v>
      </c>
      <c r="N2020" s="1" cm="1">
        <f t="array" ref="N2020">(SUMPRODUCT(("Var_Cap"=[1]OUT_TransportEnergyCons!$B$4:$B$10000)*1,("-"=[1]OUT_TransportEnergyCons!$C$4:$C$10000)*1,ISNUMBER(SEARCH("tfh*hyb*DSL*",[1]OUT_TransportEnergyCons!$A$4:$A$10000))*1,[1]OUT_TransportEnergyCons!L$4:L$10000))*1000</f>
        <v>55.213781188719004</v>
      </c>
      <c r="O2020" s="1" cm="1">
        <f t="array" ref="O2020">(SUMPRODUCT(("Var_Cap"=[1]OUT_TransportEnergyCons!$B$4:$B$10000)*1,("-"=[1]OUT_TransportEnergyCons!$C$4:$C$10000)*1,ISNUMBER(SEARCH("tfh*hyb*DSL*",[1]OUT_TransportEnergyCons!$A$4:$A$10000))*1,[1]OUT_TransportEnergyCons!M$4:M$10000))*1000</f>
        <v>57.132973112956847</v>
      </c>
      <c r="P2020" s="1" cm="1">
        <f t="array" ref="P2020">(SUMPRODUCT(("Var_Cap"=[1]OUT_TransportEnergyCons!$B$4:$B$10000)*1,("-"=[1]OUT_TransportEnergyCons!$C$4:$C$10000)*1,ISNUMBER(SEARCH("tfh*hyb*DSL*",[1]OUT_TransportEnergyCons!$A$4:$A$10000))*1,[1]OUT_TransportEnergyCons!N$4:N$10000))*1000</f>
        <v>59.129135730876101</v>
      </c>
      <c r="Q2020" s="1" cm="1">
        <f t="array" ref="Q2020">(SUMPRODUCT(("Var_Cap"=[1]OUT_TransportEnergyCons!$B$4:$B$10000)*1,("-"=[1]OUT_TransportEnergyCons!$C$4:$C$10000)*1,ISNUMBER(SEARCH("tfh*hyb*DSL*",[1]OUT_TransportEnergyCons!$A$4:$A$10000))*1,[1]OUT_TransportEnergyCons!O$4:O$10000))*1000</f>
        <v>61.296409210927393</v>
      </c>
      <c r="S2020" s="3"/>
    </row>
    <row r="2021" spans="2:19" x14ac:dyDescent="0.5">
      <c r="B2021" s="5" t="str">
        <f t="shared" si="2177"/>
        <v>SPS1</v>
      </c>
      <c r="C2021" s="5" t="str">
        <f t="shared" si="2178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5.3372050111762999E-2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5.9775678448142477E-3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5.9860450576480623E-3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5.9943409901733911E-3</v>
      </c>
      <c r="J2021" s="1" cm="1">
        <f t="array" ref="J2021">(SUMPRODUCT(("Var_Cap"=[1]OUT_TransportEnergyCons!$B$4:$B$10000)*1,("-"=[1]OUT_TransportEnergyCons!$C$4:$C$10000)*1,ISNUMBER(SEARCH("tfh*ice*nga*",[1]OUT_TransportEnergyCons!$A$4:$A$10000))*1,[1]OUT_TransportEnergyCons!H$4:H$10000))*1000</f>
        <v>6.00154548622175E-3</v>
      </c>
      <c r="K2021" s="1" cm="1">
        <f t="array" ref="K2021">(SUMPRODUCT(("Var_Cap"=[1]OUT_TransportEnergyCons!$B$4:$B$10000)*1,("-"=[1]OUT_TransportEnergyCons!$C$4:$C$10000)*1,ISNUMBER(SEARCH("tfh*ice*nga*",[1]OUT_TransportEnergyCons!$A$4:$A$10000))*1,[1]OUT_TransportEnergyCons!I$4:I$10000))*1000</f>
        <v>6.0220280191059196E-3</v>
      </c>
      <c r="L2021" s="1" cm="1">
        <f t="array" ref="L2021">(SUMPRODUCT(("Var_Cap"=[1]OUT_TransportEnergyCons!$B$4:$B$10000)*1,("-"=[1]OUT_TransportEnergyCons!$C$4:$C$10000)*1,ISNUMBER(SEARCH("tfh*ice*nga*",[1]OUT_TransportEnergyCons!$A$4:$A$10000))*1,[1]OUT_TransportEnergyCons!J$4:J$10000))*1000</f>
        <v>6.0320378338992505E-3</v>
      </c>
      <c r="M2021" s="1" cm="1">
        <f t="array" ref="M2021">(SUMPRODUCT(("Var_Cap"=[1]OUT_TransportEnergyCons!$B$4:$B$10000)*1,("-"=[1]OUT_TransportEnergyCons!$C$4:$C$10000)*1,ISNUMBER(SEARCH("tfh*ice*nga*",[1]OUT_TransportEnergyCons!$A$4:$A$10000))*1,[1]OUT_TransportEnergyCons!K$4:K$10000))*1000</f>
        <v>6.0403960896069199E-3</v>
      </c>
      <c r="N2021" s="1" cm="1">
        <f t="array" ref="N2021">(SUMPRODUCT(("Var_Cap"=[1]OUT_TransportEnergyCons!$B$4:$B$10000)*1,("-"=[1]OUT_TransportEnergyCons!$C$4:$C$10000)*1,ISNUMBER(SEARCH("tfh*ice*nga*",[1]OUT_TransportEnergyCons!$A$4:$A$10000))*1,[1]OUT_TransportEnergyCons!L$4:L$10000))*1000</f>
        <v>6.0583728501891797E-3</v>
      </c>
      <c r="O2021" s="1" cm="1">
        <f t="array" ref="O2021">(SUMPRODUCT(("Var_Cap"=[1]OUT_TransportEnergyCons!$B$4:$B$10000)*1,("-"=[1]OUT_TransportEnergyCons!$C$4:$C$10000)*1,ISNUMBER(SEARCH("tfh*ice*nga*",[1]OUT_TransportEnergyCons!$A$4:$A$10000))*1,[1]OUT_TransportEnergyCons!M$4:M$10000))*1000</f>
        <v>6.0681212129985798E-3</v>
      </c>
      <c r="P2021" s="1" cm="1">
        <f t="array" ref="P2021">(SUMPRODUCT(("Var_Cap"=[1]OUT_TransportEnergyCons!$B$4:$B$10000)*1,("-"=[1]OUT_TransportEnergyCons!$C$4:$C$10000)*1,ISNUMBER(SEARCH("tfh*ice*nga*",[1]OUT_TransportEnergyCons!$A$4:$A$10000))*1,[1]OUT_TransportEnergyCons!N$4:N$10000))*1000</f>
        <v>6.0695025120069898E-3</v>
      </c>
      <c r="Q2021" s="1" cm="1">
        <f t="array" ref="Q2021">(SUMPRODUCT(("Var_Cap"=[1]OUT_TransportEnergyCons!$B$4:$B$10000)*1,("-"=[1]OUT_TransportEnergyCons!$C$4:$C$10000)*1,ISNUMBER(SEARCH("tfh*ice*nga*",[1]OUT_TransportEnergyCons!$A$4:$A$10000))*1,[1]OUT_TransportEnergyCons!O$4:O$10000))*1000</f>
        <v>6.0894109952691101E-3</v>
      </c>
      <c r="S2021" s="3"/>
    </row>
    <row r="2022" spans="2:19" x14ac:dyDescent="0.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179">SUM(F2023,F2027,F2030)</f>
        <v>2.8141597491688401E-4</v>
      </c>
      <c r="G2022" s="3">
        <f t="shared" ref="G2022" si="2180">SUM(G2023,G2027,G2030)</f>
        <v>3.1021787131164583E-4</v>
      </c>
      <c r="H2022" s="3">
        <f t="shared" ref="H2022" si="2181">SUM(H2023,H2027,H2030)</f>
        <v>3.1417412655668697E-4</v>
      </c>
      <c r="I2022" s="3">
        <f t="shared" ref="I2022" si="2182">SUM(I2023,I2027,I2030)</f>
        <v>4.6025532782887344E-4</v>
      </c>
      <c r="J2022" s="3">
        <f t="shared" ref="J2022" si="2183">SUM(J2023,J2027,J2030)</f>
        <v>1.5469645405219053E-3</v>
      </c>
      <c r="K2022" s="3">
        <f t="shared" ref="K2022" si="2184">SUM(K2023,K2027,K2030)</f>
        <v>2.8298990140785351E-3</v>
      </c>
      <c r="L2022" s="3">
        <f t="shared" ref="L2022:O2022" si="2185">SUM(L2023,L2027,L2030)</f>
        <v>2.9354048564185203E-3</v>
      </c>
      <c r="M2022" s="3">
        <f t="shared" si="2185"/>
        <v>1.3638424949773395E-2</v>
      </c>
      <c r="N2022" s="3">
        <f t="shared" si="2185"/>
        <v>1.300552324810067E-2</v>
      </c>
      <c r="O2022" s="3">
        <f t="shared" si="2185"/>
        <v>4.9961833307310514E-2</v>
      </c>
      <c r="P2022" s="3">
        <f>SUM(P2023,P2027,P2030)</f>
        <v>5.381854491183246E-2</v>
      </c>
      <c r="Q2022" s="3">
        <f>SUM(Q2023,Q2027,Q2030)</f>
        <v>5.513568779589028E-2</v>
      </c>
      <c r="S2022" s="3"/>
    </row>
    <row r="2023" spans="2:19" x14ac:dyDescent="0.5">
      <c r="B2023" s="5" t="str">
        <f t="shared" ref="B2023:B2032" si="2186">B2022</f>
        <v>SPS1</v>
      </c>
      <c r="C2023" s="5" t="str">
        <f t="shared" ref="C2023:C2032" si="2187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2.8141597491688401E-4</v>
      </c>
      <c r="G2023" s="1" cm="1">
        <f t="array" ref="G2023">SUMPRODUCT(ISNUMBER(SEARCH("SUP_ELCH2*",[1]OUT_SyntheticFuels!$C$4:$C$1000))*1,("Var_cap"=[1]OUT_SyntheticFuels!$B$4:$B$1000)*1,[1]OUT_SyntheticFuels!F$4:F$1000)</f>
        <v>3.1021787131164583E-4</v>
      </c>
      <c r="H2023" s="1" cm="1">
        <f t="array" ref="H2023">SUMPRODUCT(ISNUMBER(SEARCH("SUP_ELCH2*",[1]OUT_SyntheticFuels!$C$4:$C$1000))*1,("Var_cap"=[1]OUT_SyntheticFuels!$B$4:$B$1000)*1,[1]OUT_SyntheticFuels!G$4:G$1000)</f>
        <v>3.1417412655668697E-4</v>
      </c>
      <c r="I2023" s="1" cm="1">
        <f t="array" ref="I2023">SUMPRODUCT(ISNUMBER(SEARCH("SUP_ELCH2*",[1]OUT_SyntheticFuels!$C$4:$C$1000))*1,("Var_cap"=[1]OUT_SyntheticFuels!$B$4:$B$1000)*1,[1]OUT_SyntheticFuels!H$4:H$1000)</f>
        <v>4.5978756568058676E-4</v>
      </c>
      <c r="J2023" s="1" cm="1">
        <f t="array" ref="J2023">SUMPRODUCT(ISNUMBER(SEARCH("SUP_ELCH2*",[1]OUT_SyntheticFuels!$C$4:$C$1000))*1,("Var_cap"=[1]OUT_SyntheticFuels!$B$4:$B$1000)*1,[1]OUT_SyntheticFuels!I$4:I$1000)</f>
        <v>1.5459176189743554E-3</v>
      </c>
      <c r="K2023" s="1" cm="1">
        <f t="array" ref="K2023">SUMPRODUCT(ISNUMBER(SEARCH("SUP_ELCH2*",[1]OUT_SyntheticFuels!$C$4:$C$1000))*1,("Var_cap"=[1]OUT_SyntheticFuels!$B$4:$B$1000)*1,[1]OUT_SyntheticFuels!J$4:J$1000)</f>
        <v>2.8284106605749363E-3</v>
      </c>
      <c r="L2023" s="1" cm="1">
        <f t="array" ref="L2023">SUMPRODUCT(ISNUMBER(SEARCH("SUP_ELCH2*",[1]OUT_SyntheticFuels!$C$4:$C$1000))*1,("Var_cap"=[1]OUT_SyntheticFuels!$B$4:$B$1000)*1,[1]OUT_SyntheticFuels!K$4:K$1000)</f>
        <v>2.9325123025162581E-3</v>
      </c>
      <c r="M2023" s="1" cm="1">
        <f t="array" ref="M2023">SUMPRODUCT(ISNUMBER(SEARCH("SUP_ELCH2*",[1]OUT_SyntheticFuels!$C$4:$C$1000))*1,("Var_cap"=[1]OUT_SyntheticFuels!$B$4:$B$1000)*1,[1]OUT_SyntheticFuels!L$4:L$1000)</f>
        <v>1.3213518036212639E-2</v>
      </c>
      <c r="N2023" s="1" cm="1">
        <f t="array" ref="N2023">SUMPRODUCT(ISNUMBER(SEARCH("SUP_ELCH2*",[1]OUT_SyntheticFuels!$C$4:$C$1000))*1,("Var_cap"=[1]OUT_SyntheticFuels!$B$4:$B$1000)*1,[1]OUT_SyntheticFuels!M$4:M$1000)</f>
        <v>1.2577250535277435E-2</v>
      </c>
      <c r="O2023" s="1" cm="1">
        <f t="array" ref="O2023">SUMPRODUCT(ISNUMBER(SEARCH("SUP_ELCH2*",[1]OUT_SyntheticFuels!$C$4:$C$1000))*1,("Var_cap"=[1]OUT_SyntheticFuels!$B$4:$B$1000)*1,[1]OUT_SyntheticFuels!N$4:N$1000)</f>
        <v>4.9312129739996567E-2</v>
      </c>
      <c r="P2023" s="1" cm="1">
        <f t="array" ref="P2023">SUMPRODUCT(ISNUMBER(SEARCH("SUP_ELCH2*",[1]OUT_SyntheticFuels!$C$4:$C$1000))*1,("Var_cap"=[1]OUT_SyntheticFuels!$B$4:$B$1000)*1,[1]OUT_SyntheticFuels!O$4:O$1000)</f>
        <v>5.3152180881505966E-2</v>
      </c>
      <c r="Q2023" s="1" cm="1">
        <f t="array" ref="Q2023">SUMPRODUCT(ISNUMBER(SEARCH("SUP_ELCH2*",[1]OUT_SyntheticFuels!$C$4:$C$1000))*1,("Var_cap"=[1]OUT_SyntheticFuels!$B$4:$B$1000)*1,[1]OUT_SyntheticFuels!P$4:P$1000)</f>
        <v>5.3229935587637195E-2</v>
      </c>
      <c r="S2023" s="3"/>
    </row>
    <row r="2024" spans="2:19" x14ac:dyDescent="0.5">
      <c r="B2024" s="5" t="str">
        <f t="shared" si="2186"/>
        <v>SPS1</v>
      </c>
      <c r="C2024" s="5" t="str">
        <f t="shared" si="2187"/>
        <v>CH</v>
      </c>
      <c r="D2024" t="s">
        <v>2145</v>
      </c>
      <c r="E2024" t="s">
        <v>2154</v>
      </c>
      <c r="F2024" s="1">
        <f t="shared" ref="F2024" si="2188">F2023-F2025-F2026</f>
        <v>2.8141597491688401E-4</v>
      </c>
      <c r="G2024" s="1">
        <f t="shared" ref="G2024" si="2189">G2023-G2025-G2026</f>
        <v>3.1021787131164583E-4</v>
      </c>
      <c r="H2024" s="1">
        <f t="shared" ref="H2024" si="2190">H2023-H2025-H2026</f>
        <v>3.1417412655668697E-4</v>
      </c>
      <c r="I2024" s="1">
        <f t="shared" ref="I2024" si="2191">I2023-I2025-I2026</f>
        <v>4.5133949520380562E-4</v>
      </c>
      <c r="J2024" s="1">
        <f t="shared" ref="J2024" si="2192">J2023-J2025-J2026</f>
        <v>1.5014110586393143E-3</v>
      </c>
      <c r="K2024" s="1">
        <f t="shared" ref="K2024" si="2193">K2023-K2025-K2026</f>
        <v>2.2345867448508292E-3</v>
      </c>
      <c r="L2024" s="1">
        <f t="shared" ref="L2024:O2024" si="2194">L2023-L2025-L2026</f>
        <v>2.1950166151338667E-3</v>
      </c>
      <c r="M2024" s="1">
        <f t="shared" si="2194"/>
        <v>1.203773548153928E-2</v>
      </c>
      <c r="N2024" s="1">
        <f t="shared" si="2194"/>
        <v>1.1568509568146448E-2</v>
      </c>
      <c r="O2024" s="1">
        <f t="shared" si="2194"/>
        <v>4.8029323222355307E-2</v>
      </c>
      <c r="P2024" s="1">
        <f>P2023-P2025-P2026</f>
        <v>5.189868384466001E-2</v>
      </c>
      <c r="Q2024" s="1">
        <f>Q2023-Q2025-Q2026</f>
        <v>5.0808459641080009E-2</v>
      </c>
      <c r="S2024" s="3"/>
    </row>
    <row r="2025" spans="2:19" x14ac:dyDescent="0.5">
      <c r="B2025" s="5" t="str">
        <f t="shared" si="2186"/>
        <v>SPS1</v>
      </c>
      <c r="C2025" s="5" t="str">
        <f t="shared" si="2187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8.4480704767811504E-6</v>
      </c>
      <c r="J2025" s="1" cm="1">
        <f t="array" ref="J2025">SUMPRODUCT(ISNUMBER(SEARCH("SUP_ELCH2*D",[1]OUT_SyntheticFuels!$C$4:$C$1000))*1,("Var_cap"=[1]OUT_SyntheticFuels!$B$4:$B$1000)*1,[1]OUT_SyntheticFuels!I$4:I$1000)</f>
        <v>4.4506560335041201E-5</v>
      </c>
      <c r="K2025" s="1" cm="1">
        <f t="array" ref="K2025">SUMPRODUCT(ISNUMBER(SEARCH("SUP_ELCH2*D",[1]OUT_SyntheticFuels!$C$4:$C$1000))*1,("Var_cap"=[1]OUT_SyntheticFuels!$B$4:$B$1000)*1,[1]OUT_SyntheticFuels!J$4:J$1000)</f>
        <v>1.41735393306589E-4</v>
      </c>
      <c r="L2025" s="1" cm="1">
        <f t="array" ref="L2025">SUMPRODUCT(ISNUMBER(SEARCH("SUP_ELCH2*D",[1]OUT_SyntheticFuels!$C$4:$C$1000))*1,("Var_cap"=[1]OUT_SyntheticFuels!$B$4:$B$1000)*1,[1]OUT_SyntheticFuels!K$4:K$1000)</f>
        <v>1.7242554928963201E-4</v>
      </c>
      <c r="M2025" s="1" cm="1">
        <f t="array" ref="M2025">SUMPRODUCT(ISNUMBER(SEARCH("SUP_ELCH2*D",[1]OUT_SyntheticFuels!$C$4:$C$1000))*1,("Var_cap"=[1]OUT_SyntheticFuels!$B$4:$B$1000)*1,[1]OUT_SyntheticFuels!L$4:L$1000)</f>
        <v>2.1972156765111601E-4</v>
      </c>
      <c r="N2025" s="1" cm="1">
        <f t="array" ref="N2025">SUMPRODUCT(ISNUMBER(SEARCH("SUP_ELCH2*D",[1]OUT_SyntheticFuels!$C$4:$C$1000))*1,("Var_cap"=[1]OUT_SyntheticFuels!$B$4:$B$1000)*1,[1]OUT_SyntheticFuels!M$4:M$1000)</f>
        <v>1.9467663150681301E-4</v>
      </c>
      <c r="O2025" s="1" cm="1">
        <f t="array" ref="O2025">SUMPRODUCT(ISNUMBER(SEARCH("SUP_ELCH2*D",[1]OUT_SyntheticFuels!$C$4:$C$1000))*1,("Var_cap"=[1]OUT_SyntheticFuels!$B$4:$B$1000)*1,[1]OUT_SyntheticFuels!N$4:N$1000)</f>
        <v>2.3626841317363201E-4</v>
      </c>
      <c r="P2025" s="1" cm="1">
        <f t="array" ref="P2025">SUMPRODUCT(ISNUMBER(SEARCH("SUP_ELCH2*D",[1]OUT_SyntheticFuels!$C$4:$C$1000))*1,("Var_cap"=[1]OUT_SyntheticFuels!$B$4:$B$1000)*1,[1]OUT_SyntheticFuels!O$4:O$1000)</f>
        <v>2.11109963232437E-4</v>
      </c>
      <c r="Q2025" s="1" cm="1">
        <f t="array" ref="Q2025">SUMPRODUCT(ISNUMBER(SEARCH("SUP_ELCH2*D",[1]OUT_SyntheticFuels!$C$4:$C$1000))*1,("Var_cap"=[1]OUT_SyntheticFuels!$B$4:$B$1000)*1,[1]OUT_SyntheticFuels!P$4:P$1000)</f>
        <v>4.2060724049622101E-4</v>
      </c>
      <c r="S2025" s="3"/>
    </row>
    <row r="2026" spans="2:19" x14ac:dyDescent="0.5">
      <c r="B2026" s="5" t="str">
        <f t="shared" si="2186"/>
        <v>SPS1</v>
      </c>
      <c r="C2026" s="5" t="str">
        <f t="shared" si="2187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SUMPRODUCT(ISNUMBER(SEARCH("SUP_ELCH2*SOEC*",[1]OUT_SyntheticFuels!$C$4:$C$1000))*1,("Var_cap"=[1]OUT_SyntheticFuels!$B$4:$B$1000)*1,[1]OUT_SyntheticFuels!I$4:I$1000)</f>
        <v>0</v>
      </c>
      <c r="K2026" s="1" cm="1">
        <f t="array" ref="K2026">SUMPRODUCT(ISNUMBER(SEARCH("SUP_ELCH2*SOEC*",[1]OUT_SyntheticFuels!$C$4:$C$1000))*1,("Var_cap"=[1]OUT_SyntheticFuels!$B$4:$B$1000)*1,[1]OUT_SyntheticFuels!J$4:J$1000)</f>
        <v>4.52088522417518E-4</v>
      </c>
      <c r="L2026" s="1" cm="1">
        <f t="array" ref="L2026">SUMPRODUCT(ISNUMBER(SEARCH("SUP_ELCH2*SOEC*",[1]OUT_SyntheticFuels!$C$4:$C$1000))*1,("Var_cap"=[1]OUT_SyntheticFuels!$B$4:$B$1000)*1,[1]OUT_SyntheticFuels!K$4:K$1000)</f>
        <v>5.6507013809275943E-4</v>
      </c>
      <c r="M2026" s="1" cm="1">
        <f t="array" ref="M2026">SUMPRODUCT(ISNUMBER(SEARCH("SUP_ELCH2*SOEC*",[1]OUT_SyntheticFuels!$C$4:$C$1000))*1,("Var_cap"=[1]OUT_SyntheticFuels!$B$4:$B$1000)*1,[1]OUT_SyntheticFuels!L$4:L$1000)</f>
        <v>9.56060987022244E-4</v>
      </c>
      <c r="N2026" s="1" cm="1">
        <f t="array" ref="N2026">SUMPRODUCT(ISNUMBER(SEARCH("SUP_ELCH2*SOEC*",[1]OUT_SyntheticFuels!$C$4:$C$1000))*1,("Var_cap"=[1]OUT_SyntheticFuels!$B$4:$B$1000)*1,[1]OUT_SyntheticFuels!M$4:M$1000)</f>
        <v>8.1406433562417372E-4</v>
      </c>
      <c r="O2026" s="1" cm="1">
        <f t="array" ref="O2026">SUMPRODUCT(ISNUMBER(SEARCH("SUP_ELCH2*SOEC*",[1]OUT_SyntheticFuels!$C$4:$C$1000))*1,("Var_cap"=[1]OUT_SyntheticFuels!$B$4:$B$1000)*1,[1]OUT_SyntheticFuels!N$4:N$1000)</f>
        <v>1.0465381044676258E-3</v>
      </c>
      <c r="P2026" s="1" cm="1">
        <f t="array" ref="P2026">SUMPRODUCT(ISNUMBER(SEARCH("SUP_ELCH2*SOEC*",[1]OUT_SyntheticFuels!$C$4:$C$1000))*1,("Var_cap"=[1]OUT_SyntheticFuels!$B$4:$B$1000)*1,[1]OUT_SyntheticFuels!O$4:O$1000)</f>
        <v>1.042387073613514E-3</v>
      </c>
      <c r="Q2026" s="1" cm="1">
        <f t="array" ref="Q2026">SUMPRODUCT(ISNUMBER(SEARCH("SUP_ELCH2*SOEC*",[1]OUT_SyntheticFuels!$C$4:$C$1000))*1,("Var_cap"=[1]OUT_SyntheticFuels!$B$4:$B$1000)*1,[1]OUT_SyntheticFuels!P$4:P$1000)</f>
        <v>2.0008687060609613E-3</v>
      </c>
      <c r="S2026" s="3"/>
    </row>
    <row r="2027" spans="2:19" x14ac:dyDescent="0.5">
      <c r="B2027" s="5" t="str">
        <f t="shared" si="2186"/>
        <v>SPS1</v>
      </c>
      <c r="C2027" s="5" t="str">
        <f t="shared" si="2187"/>
        <v>CH</v>
      </c>
      <c r="D2027" t="s">
        <v>2148</v>
      </c>
      <c r="E2027" t="s">
        <v>2154</v>
      </c>
      <c r="F2027" s="1">
        <f t="shared" ref="F2027" si="2195">SUM(F2028:F2029)</f>
        <v>0</v>
      </c>
      <c r="G2027" s="1">
        <f t="shared" ref="G2027" si="2196">SUM(G2028:G2029)</f>
        <v>0</v>
      </c>
      <c r="H2027" s="1">
        <f t="shared" ref="H2027" si="2197">SUM(H2028:H2029)</f>
        <v>0</v>
      </c>
      <c r="I2027" s="1">
        <f t="shared" ref="I2027" si="2198">SUM(I2028:I2029)</f>
        <v>4.6776214828667598E-7</v>
      </c>
      <c r="J2027" s="1">
        <f t="shared" ref="J2027" si="2199">SUM(J2028:J2029)</f>
        <v>1.046921547549868E-6</v>
      </c>
      <c r="K2027" s="1">
        <f t="shared" ref="K2027" si="2200">SUM(K2028:K2029)</f>
        <v>1.4883535035989899E-6</v>
      </c>
      <c r="L2027" s="1">
        <f t="shared" ref="L2027:O2027" si="2201">SUM(L2028:L2029)</f>
        <v>2.8925539022621299E-6</v>
      </c>
      <c r="M2027" s="1">
        <f t="shared" si="2201"/>
        <v>1.6911265876874679E-4</v>
      </c>
      <c r="N2027" s="1">
        <f t="shared" si="2201"/>
        <v>1.7125591736178819E-4</v>
      </c>
      <c r="O2027" s="1">
        <f t="shared" si="2201"/>
        <v>2.6057528473862415E-4</v>
      </c>
      <c r="P2027" s="1">
        <f>SUM(P2028:P2029)</f>
        <v>2.6319185170642633E-4</v>
      </c>
      <c r="Q2027" s="1">
        <f>SUM(Q2028:Q2029)</f>
        <v>5.7676621521958655E-4</v>
      </c>
      <c r="S2027" s="3"/>
    </row>
    <row r="2028" spans="2:19" x14ac:dyDescent="0.5">
      <c r="B2028" s="5" t="str">
        <f t="shared" si="2186"/>
        <v>SPS1</v>
      </c>
      <c r="C2028" s="5" t="str">
        <f t="shared" si="2187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4.6776214828667598E-7</v>
      </c>
      <c r="J2028" s="1" cm="1">
        <f t="array" ref="J2028">SUMPRODUCT(ISNUMBER(SEARCH("SUP_NGAH2",[1]OUT_SyntheticFuels!$C$4:$C$1000))*1,("Var_cap"=[1]OUT_SyntheticFuels!$B$4:$B$1000)*1,[1]OUT_SyntheticFuels!I$4:I$1000)-J2029</f>
        <v>1.046921547549868E-6</v>
      </c>
      <c r="K2028" s="1" cm="1">
        <f t="array" ref="K2028">SUMPRODUCT(ISNUMBER(SEARCH("SUP_NGAH2",[1]OUT_SyntheticFuels!$C$4:$C$1000))*1,("Var_cap"=[1]OUT_SyntheticFuels!$B$4:$B$1000)*1,[1]OUT_SyntheticFuels!J$4:J$1000)-K2029</f>
        <v>1.4883535035989899E-6</v>
      </c>
      <c r="L2028" s="1" cm="1">
        <f t="array" ref="L2028">SUMPRODUCT(ISNUMBER(SEARCH("SUP_NGAH2",[1]OUT_SyntheticFuels!$C$4:$C$1000))*1,("Var_cap"=[1]OUT_SyntheticFuels!$B$4:$B$1000)*1,[1]OUT_SyntheticFuels!K$4:K$1000)-L2029</f>
        <v>2.8925539022621299E-6</v>
      </c>
      <c r="M2028" s="1" cm="1">
        <f t="array" ref="M2028">SUMPRODUCT(ISNUMBER(SEARCH("SUP_NGAH2",[1]OUT_SyntheticFuels!$C$4:$C$1000))*1,("Var_cap"=[1]OUT_SyntheticFuels!$B$4:$B$1000)*1,[1]OUT_SyntheticFuels!L$4:L$1000)-M2029</f>
        <v>1.6911265876874679E-4</v>
      </c>
      <c r="N2028" s="1" cm="1">
        <f t="array" ref="N2028">SUMPRODUCT(ISNUMBER(SEARCH("SUP_NGAH2",[1]OUT_SyntheticFuels!$C$4:$C$1000))*1,("Var_cap"=[1]OUT_SyntheticFuels!$B$4:$B$1000)*1,[1]OUT_SyntheticFuels!M$4:M$1000)-N2029</f>
        <v>1.7125591736178819E-4</v>
      </c>
      <c r="O2028" s="1" cm="1">
        <f t="array" ref="O2028">SUMPRODUCT(ISNUMBER(SEARCH("SUP_NGAH2",[1]OUT_SyntheticFuels!$C$4:$C$1000))*1,("Var_cap"=[1]OUT_SyntheticFuels!$B$4:$B$1000)*1,[1]OUT_SyntheticFuels!N$4:N$1000)-O2029</f>
        <v>2.6057528473862415E-4</v>
      </c>
      <c r="P2028" s="1" cm="1">
        <f t="array" ref="P2028">SUMPRODUCT(ISNUMBER(SEARCH("SUP_NGAH2",[1]OUT_SyntheticFuels!$C$4:$C$1000))*1,("Var_cap"=[1]OUT_SyntheticFuels!$B$4:$B$1000)*1,[1]OUT_SyntheticFuels!O$4:O$1000)-P2029</f>
        <v>2.6319185170642633E-4</v>
      </c>
      <c r="Q2028" s="1" cm="1">
        <f t="array" ref="Q2028">SUMPRODUCT(ISNUMBER(SEARCH("SUP_NGAH2",[1]OUT_SyntheticFuels!$C$4:$C$1000))*1,("Var_cap"=[1]OUT_SyntheticFuels!$B$4:$B$1000)*1,[1]OUT_SyntheticFuels!P$4:P$1000)-Q2029</f>
        <v>5.7676621521958655E-4</v>
      </c>
      <c r="S2028" s="3"/>
    </row>
    <row r="2029" spans="2:19" x14ac:dyDescent="0.5">
      <c r="B2029" s="5" t="str">
        <f t="shared" si="2186"/>
        <v>SPS1</v>
      </c>
      <c r="C2029" s="5" t="str">
        <f t="shared" si="2187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SUMPRODUCT(ISNUMBER(SEARCH("SUP_NGAH2CCS",[1]OUT_SyntheticFuels!$C$4:$C$1000))*1,("Var_cap"=[1]OUT_SyntheticFuels!$B$4:$B$1000)*1,[1]OUT_SyntheticFuels!I$4:I$1000)</f>
        <v>0</v>
      </c>
      <c r="K2029" s="1" cm="1">
        <f t="array" ref="K2029">SUMPRODUCT(ISNUMBER(SEARCH("SUP_NGAH2CCS",[1]OUT_SyntheticFuels!$C$4:$C$1000))*1,("Var_cap"=[1]OUT_SyntheticFuels!$B$4:$B$1000)*1,[1]OUT_SyntheticFuels!J$4:J$1000)</f>
        <v>0</v>
      </c>
      <c r="L2029" s="1" cm="1">
        <f t="array" ref="L2029">SUMPRODUCT(ISNUMBER(SEARCH("SUP_NGAH2CCS",[1]OUT_SyntheticFuels!$C$4:$C$1000))*1,("Var_cap"=[1]OUT_SyntheticFuels!$B$4:$B$1000)*1,[1]OUT_SyntheticFuels!K$4:K$1000)</f>
        <v>0</v>
      </c>
      <c r="M2029" s="1" cm="1">
        <f t="array" ref="M2029">SUMPRODUCT(ISNUMBER(SEARCH("SUP_NGAH2CCS",[1]OUT_SyntheticFuels!$C$4:$C$1000))*1,("Var_cap"=[1]OUT_SyntheticFuels!$B$4:$B$1000)*1,[1]OUT_SyntheticFuels!L$4:L$1000)</f>
        <v>0</v>
      </c>
      <c r="N2029" s="1" cm="1">
        <f t="array" ref="N2029">SUMPRODUCT(ISNUMBER(SEARCH("SUP_NGAH2CCS",[1]OUT_SyntheticFuels!$C$4:$C$1000))*1,("Var_cap"=[1]OUT_SyntheticFuels!$B$4:$B$1000)*1,[1]OUT_SyntheticFuels!M$4:M$1000)</f>
        <v>0</v>
      </c>
      <c r="O2029" s="1" cm="1">
        <f t="array" ref="O2029">SUMPRODUCT(ISNUMBER(SEARCH("SUP_NGAH2CCS",[1]OUT_SyntheticFuels!$C$4:$C$1000))*1,("Var_cap"=[1]OUT_SyntheticFuels!$B$4:$B$1000)*1,[1]OUT_SyntheticFuels!N$4:N$1000)</f>
        <v>0</v>
      </c>
      <c r="P2029" s="1" cm="1">
        <f t="array" ref="P2029">SUMPRODUCT(ISNUMBER(SEARCH("SUP_NGAH2CCS",[1]OUT_SyntheticFuels!$C$4:$C$1000))*1,("Var_cap"=[1]OUT_SyntheticFuels!$B$4:$B$1000)*1,[1]OUT_SyntheticFuels!O$4:O$1000)</f>
        <v>0</v>
      </c>
      <c r="Q2029" s="1" cm="1">
        <f t="array" ref="Q2029">SUMPRODUCT(ISNUMBER(SEARCH("SUP_NGAH2CCS",[1]OUT_SyntheticFuels!$C$4:$C$1000))*1,("Var_cap"=[1]OUT_SyntheticFuels!$B$4:$B$1000)*1,[1]OUT_SyntheticFuels!P$4:P$1000)</f>
        <v>0</v>
      </c>
      <c r="S2029" s="3"/>
    </row>
    <row r="2030" spans="2:19" x14ac:dyDescent="0.5">
      <c r="B2030" s="5" t="str">
        <f t="shared" si="2186"/>
        <v>SPS1</v>
      </c>
      <c r="C2030" s="5" t="str">
        <f t="shared" si="2187"/>
        <v>CH</v>
      </c>
      <c r="D2030" t="s">
        <v>2151</v>
      </c>
      <c r="E2030" t="s">
        <v>2154</v>
      </c>
      <c r="F2030" s="1">
        <f t="shared" ref="F2030" si="2202">SUM(F2031:F2032)</f>
        <v>0</v>
      </c>
      <c r="G2030" s="1">
        <f t="shared" ref="G2030" si="2203">SUM(G2031:G2032)</f>
        <v>0</v>
      </c>
      <c r="H2030" s="1">
        <f t="shared" ref="H2030" si="2204">SUM(H2031:H2032)</f>
        <v>0</v>
      </c>
      <c r="I2030" s="1">
        <f t="shared" ref="I2030" si="2205">SUM(I2031:I2032)</f>
        <v>0</v>
      </c>
      <c r="J2030" s="1">
        <f t="shared" ref="J2030" si="2206">SUM(J2031:J2032)</f>
        <v>0</v>
      </c>
      <c r="K2030" s="1">
        <f t="shared" ref="K2030" si="2207">SUM(K2031:K2032)</f>
        <v>0</v>
      </c>
      <c r="L2030" s="1">
        <f t="shared" ref="L2030:O2030" si="2208">SUM(L2031:L2032)</f>
        <v>0</v>
      </c>
      <c r="M2030" s="1">
        <f t="shared" si="2208"/>
        <v>2.5579425479200802E-4</v>
      </c>
      <c r="N2030" s="1">
        <f t="shared" si="2208"/>
        <v>2.5701679546144774E-4</v>
      </c>
      <c r="O2030" s="1">
        <f t="shared" si="2208"/>
        <v>3.8912828257531669E-4</v>
      </c>
      <c r="P2030" s="1">
        <f>SUM(P2031:P2032)</f>
        <v>4.0317217862006702E-4</v>
      </c>
      <c r="Q2030" s="1">
        <f>SUM(Q2031:Q2032)</f>
        <v>1.3289859930334994E-3</v>
      </c>
      <c r="S2030" s="3"/>
    </row>
    <row r="2031" spans="2:19" x14ac:dyDescent="0.5">
      <c r="B2031" s="5" t="str">
        <f t="shared" si="2186"/>
        <v>SPS1</v>
      </c>
      <c r="C2031" s="5" t="str">
        <f t="shared" si="2187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SUMPRODUCT(ISNUMBER(SEARCH("SUP_WODH2",[1]OUT_SyntheticFuels!$C$4:$C$1000))*1,("Var_cap"=[1]OUT_SyntheticFuels!$B$4:$B$1000)*1,[1]OUT_SyntheticFuels!I$4:I$1000)-J2032</f>
        <v>0</v>
      </c>
      <c r="K2031" s="1" cm="1">
        <f t="array" ref="K2031">SUMPRODUCT(ISNUMBER(SEARCH("SUP_WODH2",[1]OUT_SyntheticFuels!$C$4:$C$1000))*1,("Var_cap"=[1]OUT_SyntheticFuels!$B$4:$B$1000)*1,[1]OUT_SyntheticFuels!J$4:J$1000)-K2032</f>
        <v>0</v>
      </c>
      <c r="L2031" s="1" cm="1">
        <f t="array" ref="L2031">SUMPRODUCT(ISNUMBER(SEARCH("SUP_WODH2",[1]OUT_SyntheticFuels!$C$4:$C$1000))*1,("Var_cap"=[1]OUT_SyntheticFuels!$B$4:$B$1000)*1,[1]OUT_SyntheticFuels!K$4:K$1000)-L2032</f>
        <v>0</v>
      </c>
      <c r="M2031" s="1" cm="1">
        <f t="array" ref="M2031">SUMPRODUCT(ISNUMBER(SEARCH("SUP_WODH2",[1]OUT_SyntheticFuels!$C$4:$C$1000))*1,("Var_cap"=[1]OUT_SyntheticFuels!$B$4:$B$1000)*1,[1]OUT_SyntheticFuels!L$4:L$1000)-M2032</f>
        <v>2.5579425479200802E-4</v>
      </c>
      <c r="N2031" s="1" cm="1">
        <f t="array" ref="N2031">SUMPRODUCT(ISNUMBER(SEARCH("SUP_WODH2",[1]OUT_SyntheticFuels!$C$4:$C$1000))*1,("Var_cap"=[1]OUT_SyntheticFuels!$B$4:$B$1000)*1,[1]OUT_SyntheticFuels!M$4:M$1000)-N2032</f>
        <v>2.5701679546144774E-4</v>
      </c>
      <c r="O2031" s="1" cm="1">
        <f t="array" ref="O2031">SUMPRODUCT(ISNUMBER(SEARCH("SUP_WODH2",[1]OUT_SyntheticFuels!$C$4:$C$1000))*1,("Var_cap"=[1]OUT_SyntheticFuels!$B$4:$B$1000)*1,[1]OUT_SyntheticFuels!N$4:N$1000)-O2032</f>
        <v>3.8912828257531669E-4</v>
      </c>
      <c r="P2031" s="1" cm="1">
        <f t="array" ref="P2031">SUMPRODUCT(ISNUMBER(SEARCH("SUP_WODH2",[1]OUT_SyntheticFuels!$C$4:$C$1000))*1,("Var_cap"=[1]OUT_SyntheticFuels!$B$4:$B$1000)*1,[1]OUT_SyntheticFuels!O$4:O$1000)-P2032</f>
        <v>4.0317217862006702E-4</v>
      </c>
      <c r="Q2031" s="1" cm="1">
        <f t="array" ref="Q2031">SUMPRODUCT(ISNUMBER(SEARCH("SUP_WODH2",[1]OUT_SyntheticFuels!$C$4:$C$1000))*1,("Var_cap"=[1]OUT_SyntheticFuels!$B$4:$B$1000)*1,[1]OUT_SyntheticFuels!P$4:P$1000)-Q2032</f>
        <v>1.3289859930334994E-3</v>
      </c>
      <c r="S2031" s="3"/>
    </row>
    <row r="2032" spans="2:19" x14ac:dyDescent="0.5">
      <c r="B2032" s="5" t="str">
        <f t="shared" si="2186"/>
        <v>SPS1</v>
      </c>
      <c r="C2032" s="5" t="str">
        <f t="shared" si="2187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SUMPRODUCT(ISNUMBER(SEARCH("SUP_WODH2CCS",[1]OUT_SyntheticFuels!$C$4:$C$1000))*1,("Var_cap"=[1]OUT_SyntheticFuels!$B$4:$B$1000)*1,[1]OUT_SyntheticFuels!I$4:I$1000)</f>
        <v>0</v>
      </c>
      <c r="K2032" s="1" cm="1">
        <f t="array" ref="K2032">SUMPRODUCT(ISNUMBER(SEARCH("SUP_WODH2CCS",[1]OUT_SyntheticFuels!$C$4:$C$1000))*1,("Var_cap"=[1]OUT_SyntheticFuels!$B$4:$B$1000)*1,[1]OUT_SyntheticFuels!J$4:J$1000)</f>
        <v>0</v>
      </c>
      <c r="L2032" s="1" cm="1">
        <f t="array" ref="L2032">SUMPRODUCT(ISNUMBER(SEARCH("SUP_WODH2CCS",[1]OUT_SyntheticFuels!$C$4:$C$1000))*1,("Var_cap"=[1]OUT_SyntheticFuels!$B$4:$B$1000)*1,[1]OUT_SyntheticFuels!K$4:K$1000)</f>
        <v>0</v>
      </c>
      <c r="M2032" s="1" cm="1">
        <f t="array" ref="M2032">SUMPRODUCT(ISNUMBER(SEARCH("SUP_WODH2CCS",[1]OUT_SyntheticFuels!$C$4:$C$1000))*1,("Var_cap"=[1]OUT_SyntheticFuels!$B$4:$B$1000)*1,[1]OUT_SyntheticFuels!L$4:L$1000)</f>
        <v>0</v>
      </c>
      <c r="N2032" s="1" cm="1">
        <f t="array" ref="N2032">SUMPRODUCT(ISNUMBER(SEARCH("SUP_WODH2CCS",[1]OUT_SyntheticFuels!$C$4:$C$1000))*1,("Var_cap"=[1]OUT_SyntheticFuels!$B$4:$B$1000)*1,[1]OUT_SyntheticFuels!M$4:M$1000)</f>
        <v>0</v>
      </c>
      <c r="O2032" s="1" cm="1">
        <f t="array" ref="O2032">SUMPRODUCT(ISNUMBER(SEARCH("SUP_WODH2CCS",[1]OUT_SyntheticFuels!$C$4:$C$1000))*1,("Var_cap"=[1]OUT_SyntheticFuels!$B$4:$B$1000)*1,[1]OUT_SyntheticFuels!N$4:N$1000)</f>
        <v>0</v>
      </c>
      <c r="P2032" s="1" cm="1">
        <f t="array" ref="P2032">SUMPRODUCT(ISNUMBER(SEARCH("SUP_WODH2CCS",[1]OUT_SyntheticFuels!$C$4:$C$1000))*1,("Var_cap"=[1]OUT_SyntheticFuels!$B$4:$B$1000)*1,[1]OUT_SyntheticFuels!O$4:O$1000)</f>
        <v>0</v>
      </c>
      <c r="Q2032" s="1" cm="1">
        <f t="array" ref="Q2032">SUMPRODUCT(ISNUMBER(SEARCH("SUP_WODH2CCS",[1]OUT_SyntheticFuels!$C$4:$C$1000))*1,("Var_cap"=[1]OUT_SyntheticFuels!$B$4:$B$1000)*1,[1]OUT_SyntheticFuels!P$4:P$1000)</f>
        <v>0</v>
      </c>
      <c r="S2032" s="3"/>
    </row>
    <row r="2033" spans="2:19" x14ac:dyDescent="0.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4"/>
      <c r="G2033" s="24"/>
      <c r="H2033" s="24"/>
      <c r="I2033" s="24"/>
      <c r="J2033" s="24"/>
      <c r="K2033" s="24"/>
      <c r="L2033" s="24"/>
      <c r="M2033" s="24"/>
      <c r="N2033" s="24"/>
      <c r="O2033" s="24"/>
      <c r="P2033" s="24"/>
      <c r="Q2033" s="24"/>
      <c r="S2033" s="3"/>
    </row>
    <row r="2034" spans="2:19" x14ac:dyDescent="0.5">
      <c r="B2034" s="5" t="str">
        <f t="shared" ref="B2034:B2049" si="2209">B2033</f>
        <v>SPS1</v>
      </c>
      <c r="C2034" s="5" t="str">
        <f t="shared" ref="C2034:C2049" si="2210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3.3062628789547299E-2</v>
      </c>
      <c r="G2034" s="7" cm="1">
        <f t="array" ref="G2034">SUMPRODUCT(("CT_CWODBDS"=[1]OUT_SyntheticFuels!$C$4:$C$1000)*1,("Var_cap"=[1]OUT_SyntheticFuels!$B$4:$B$1000)*1,[1]OUT_SyntheticFuels!F$4:F$1000)</f>
        <v>3.3045867595601464E-2</v>
      </c>
      <c r="H2034" s="7" cm="1">
        <f t="array" ref="H2034">SUMPRODUCT(("CT_CWODBDS"=[1]OUT_SyntheticFuels!$C$4:$C$1000)*1,("Var_cap"=[1]OUT_SyntheticFuels!$B$4:$B$1000)*1,[1]OUT_SyntheticFuels!G$4:G$1000)</f>
        <v>3.2716908987953812E-2</v>
      </c>
      <c r="I2034" s="7" cm="1">
        <f t="array" ref="I2034">SUMPRODUCT(("CT_CWODBDS"=[1]OUT_SyntheticFuels!$C$4:$C$1000)*1,("Var_cap"=[1]OUT_SyntheticFuels!$B$4:$B$1000)*1,[1]OUT_SyntheticFuels!H$4:H$1000)</f>
        <v>5.2661067220738378E-5</v>
      </c>
      <c r="J2034" s="7" cm="1">
        <f t="array" ref="J2034">SUMPRODUCT(("CT_CWODBDS"=[1]OUT_SyntheticFuels!$C$4:$C$1000)*1,("Var_cap"=[1]OUT_SyntheticFuels!$B$4:$B$1000)*1,[1]OUT_SyntheticFuels!I$4:I$1000)</f>
        <v>3.672218354590015E-5</v>
      </c>
      <c r="K2034" s="7" cm="1">
        <f t="array" ref="K2034">SUMPRODUCT(("CT_CWODBDS"=[1]OUT_SyntheticFuels!$C$4:$C$1000)*1,("Var_cap"=[1]OUT_SyntheticFuels!$B$4:$B$1000)*1,[1]OUT_SyntheticFuels!J$4:J$1000)</f>
        <v>5.1791522470626258E-5</v>
      </c>
      <c r="L2034" s="7" cm="1">
        <f t="array" ref="L2034">SUMPRODUCT(("CT_CWODBDS"=[1]OUT_SyntheticFuels!$C$4:$C$1000)*1,("Var_cap"=[1]OUT_SyntheticFuels!$B$4:$B$1000)*1,[1]OUT_SyntheticFuels!K$4:K$1000)</f>
        <v>6.1370276783352345E-5</v>
      </c>
      <c r="M2034" s="7" cm="1">
        <f t="array" ref="M2034">SUMPRODUCT(("CT_CWODBDS"=[1]OUT_SyntheticFuels!$C$4:$C$1000)*1,("Var_cap"=[1]OUT_SyntheticFuels!$B$4:$B$1000)*1,[1]OUT_SyntheticFuels!L$4:L$1000)</f>
        <v>1.0818031107805151E-2</v>
      </c>
      <c r="N2034" s="7" cm="1">
        <f t="array" ref="N2034">SUMPRODUCT(("CT_CWODBDS"=[1]OUT_SyntheticFuels!$C$4:$C$1000)*1,("Var_cap"=[1]OUT_SyntheticFuels!$B$4:$B$1000)*1,[1]OUT_SyntheticFuels!M$4:M$1000)</f>
        <v>1.4788866876203028E-2</v>
      </c>
      <c r="O2034" s="7" cm="1">
        <f t="array" ref="O2034">SUMPRODUCT(("CT_CWODBDS"=[1]OUT_SyntheticFuels!$C$4:$C$1000)*1,("Var_cap"=[1]OUT_SyntheticFuels!$B$4:$B$1000)*1,[1]OUT_SyntheticFuels!N$4:N$1000)</f>
        <v>2.4116457552523823E-2</v>
      </c>
      <c r="P2034" s="7" cm="1">
        <f t="array" ref="P2034">SUMPRODUCT(("CT_CWODBDS"=[1]OUT_SyntheticFuels!$C$4:$C$1000)*1,("Var_cap"=[1]OUT_SyntheticFuels!$B$4:$B$1000)*1,[1]OUT_SyntheticFuels!O$4:O$1000)</f>
        <v>6.8201050868685817E-2</v>
      </c>
      <c r="Q2034" s="7" cm="1">
        <f t="array" ref="Q2034">SUMPRODUCT(("CT_CWODBDS"=[1]OUT_SyntheticFuels!$C$4:$C$1000)*1,("Var_cap"=[1]OUT_SyntheticFuels!$B$4:$B$1000)*1,[1]OUT_SyntheticFuels!P$4:P$1000)</f>
        <v>8.1878376313005236E-2</v>
      </c>
      <c r="S2034" s="3"/>
    </row>
    <row r="2035" spans="2:19" x14ac:dyDescent="0.5">
      <c r="B2035" s="5" t="str">
        <f t="shared" si="2209"/>
        <v>SPS1</v>
      </c>
      <c r="C2035" s="5" t="str">
        <f t="shared" si="2210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SUMPRODUCT(("CT_CWODBDSCCS"=[1]OUT_SyntheticFuels!$C$4:$C$1000)*1,("Var_cap"=[1]OUT_SyntheticFuels!$B$4:$B$1000)*1,[1]OUT_SyntheticFuels!I$4:I$1000)</f>
        <v>0</v>
      </c>
      <c r="K2035" s="7" cm="1">
        <f t="array" ref="K2035">SUMPRODUCT(("CT_CWODBDSCCS"=[1]OUT_SyntheticFuels!$C$4:$C$1000)*1,("Var_cap"=[1]OUT_SyntheticFuels!$B$4:$B$1000)*1,[1]OUT_SyntheticFuels!J$4:J$1000)</f>
        <v>0</v>
      </c>
      <c r="L2035" s="7" cm="1">
        <f t="array" ref="L2035">SUMPRODUCT(("CT_CWODBDSCCS"=[1]OUT_SyntheticFuels!$C$4:$C$1000)*1,("Var_cap"=[1]OUT_SyntheticFuels!$B$4:$B$1000)*1,[1]OUT_SyntheticFuels!K$4:K$1000)</f>
        <v>0</v>
      </c>
      <c r="M2035" s="7" cm="1">
        <f t="array" ref="M2035">SUMPRODUCT(("CT_CWODBDSCCS"=[1]OUT_SyntheticFuels!$C$4:$C$1000)*1,("Var_cap"=[1]OUT_SyntheticFuels!$B$4:$B$1000)*1,[1]OUT_SyntheticFuels!L$4:L$1000)</f>
        <v>0</v>
      </c>
      <c r="N2035" s="7" cm="1">
        <f t="array" ref="N2035">SUMPRODUCT(("CT_CWODBDSCCS"=[1]OUT_SyntheticFuels!$C$4:$C$1000)*1,("Var_cap"=[1]OUT_SyntheticFuels!$B$4:$B$1000)*1,[1]OUT_SyntheticFuels!M$4:M$1000)</f>
        <v>0</v>
      </c>
      <c r="O2035" s="7" cm="1">
        <f t="array" ref="O2035">SUMPRODUCT(("CT_CWODBDSCCS"=[1]OUT_SyntheticFuels!$C$4:$C$1000)*1,("Var_cap"=[1]OUT_SyntheticFuels!$B$4:$B$1000)*1,[1]OUT_SyntheticFuels!N$4:N$1000)</f>
        <v>0</v>
      </c>
      <c r="P2035" s="7" cm="1">
        <f t="array" ref="P2035">SUMPRODUCT(("CT_CWODBDSCCS"=[1]OUT_SyntheticFuels!$C$4:$C$1000)*1,("Var_cap"=[1]OUT_SyntheticFuels!$B$4:$B$1000)*1,[1]OUT_SyntheticFuels!O$4:O$1000)</f>
        <v>0</v>
      </c>
      <c r="Q2035" s="7" cm="1">
        <f t="array" ref="Q2035">SUMPRODUCT(("CT_CWODBDSCCS"=[1]OUT_SyntheticFuels!$C$4:$C$1000)*1,("Var_cap"=[1]OUT_SyntheticFuels!$B$4:$B$1000)*1,[1]OUT_SyntheticFuels!P$4:P$1000)</f>
        <v>0</v>
      </c>
      <c r="S2035" s="3"/>
    </row>
    <row r="2036" spans="2:19" x14ac:dyDescent="0.5">
      <c r="B2036" s="5" t="str">
        <f t="shared" si="2209"/>
        <v>SPS1</v>
      </c>
      <c r="C2036" s="5" t="str">
        <f t="shared" si="2210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6.982891751403094E-3</v>
      </c>
      <c r="G2036" s="7" cm="1">
        <f t="array" ref="G2036">SUMPRODUCT(("CT_CWODETH"=[1]OUT_SyntheticFuels!$C$4:$C$1000)*1,("Var_cap"=[1]OUT_SyntheticFuels!$B$4:$B$1000)*1,[1]OUT_SyntheticFuels!F$4:F$1000)</f>
        <v>4.9532979158340047E-5</v>
      </c>
      <c r="H2036" s="7" cm="1">
        <f t="array" ref="H2036">SUMPRODUCT(("CT_CWODETH"=[1]OUT_SyntheticFuels!$C$4:$C$1000)*1,("Var_cap"=[1]OUT_SyntheticFuels!$B$4:$B$1000)*1,[1]OUT_SyntheticFuels!G$4:G$1000)</f>
        <v>4.8969487249999298E-5</v>
      </c>
      <c r="I2036" s="7" cm="1">
        <f t="array" ref="I2036">SUMPRODUCT(("CT_CWODETH"=[1]OUT_SyntheticFuels!$C$4:$C$1000)*1,("Var_cap"=[1]OUT_SyntheticFuels!$B$4:$B$1000)*1,[1]OUT_SyntheticFuels!H$4:H$1000)</f>
        <v>3.0029417651229566E-5</v>
      </c>
      <c r="J2036" s="7" cm="1">
        <f t="array" ref="J2036">SUMPRODUCT(("CT_CWODETH"=[1]OUT_SyntheticFuels!$C$4:$C$1000)*1,("Var_cap"=[1]OUT_SyntheticFuels!$B$4:$B$1000)*1,[1]OUT_SyntheticFuels!I$4:I$1000)</f>
        <v>3.1284480523459911E-5</v>
      </c>
      <c r="K2036" s="7" cm="1">
        <f t="array" ref="K2036">SUMPRODUCT(("CT_CWODETH"=[1]OUT_SyntheticFuels!$C$4:$C$1000)*1,("Var_cap"=[1]OUT_SyntheticFuels!$B$4:$B$1000)*1,[1]OUT_SyntheticFuels!J$4:J$1000)</f>
        <v>2.3390608529029987E-5</v>
      </c>
      <c r="L2036" s="7" cm="1">
        <f t="array" ref="L2036">SUMPRODUCT(("CT_CWODETH"=[1]OUT_SyntheticFuels!$C$4:$C$1000)*1,("Var_cap"=[1]OUT_SyntheticFuels!$B$4:$B$1000)*1,[1]OUT_SyntheticFuels!K$4:K$1000)</f>
        <v>2.3210887674910959E-5</v>
      </c>
      <c r="M2036" s="7" cm="1">
        <f t="array" ref="M2036">SUMPRODUCT(("CT_CWODETH"=[1]OUT_SyntheticFuels!$C$4:$C$1000)*1,("Var_cap"=[1]OUT_SyntheticFuels!$B$4:$B$1000)*1,[1]OUT_SyntheticFuels!L$4:L$1000)</f>
        <v>4.6737993102905267E-5</v>
      </c>
      <c r="N2036" s="7" cm="1">
        <f t="array" ref="N2036">SUMPRODUCT(("CT_CWODETH"=[1]OUT_SyntheticFuels!$C$4:$C$1000)*1,("Var_cap"=[1]OUT_SyntheticFuels!$B$4:$B$1000)*1,[1]OUT_SyntheticFuels!M$4:M$1000)</f>
        <v>4.3927312853420431E-5</v>
      </c>
      <c r="O2036" s="7" cm="1">
        <f t="array" ref="O2036">SUMPRODUCT(("CT_CWODETH"=[1]OUT_SyntheticFuels!$C$4:$C$1000)*1,("Var_cap"=[1]OUT_SyntheticFuels!$B$4:$B$1000)*1,[1]OUT_SyntheticFuels!N$4:N$1000)</f>
        <v>6.9880278693505233E-5</v>
      </c>
      <c r="P2036" s="7" cm="1">
        <f t="array" ref="P2036">SUMPRODUCT(("CT_CWODETH"=[1]OUT_SyntheticFuels!$C$4:$C$1000)*1,("Var_cap"=[1]OUT_SyntheticFuels!$B$4:$B$1000)*1,[1]OUT_SyntheticFuels!O$4:O$1000)</f>
        <v>6.186802277981445E-5</v>
      </c>
      <c r="Q2036" s="7" cm="1">
        <f t="array" ref="Q2036">SUMPRODUCT(("CT_CWODETH"=[1]OUT_SyntheticFuels!$C$4:$C$1000)*1,("Var_cap"=[1]OUT_SyntheticFuels!$B$4:$B$1000)*1,[1]OUT_SyntheticFuels!P$4:P$1000)</f>
        <v>1.3108844256001499E-4</v>
      </c>
      <c r="S2036" s="3"/>
    </row>
    <row r="2037" spans="2:19" x14ac:dyDescent="0.5">
      <c r="B2037" s="5" t="str">
        <f t="shared" si="2209"/>
        <v>SPS1</v>
      </c>
      <c r="C2037" s="5" t="str">
        <f t="shared" si="2210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SUMPRODUCT(("CT_CWODETHCCS"=[1]OUT_SyntheticFuels!$C$4:$C$1000)*1,("Var_cap"=[1]OUT_SyntheticFuels!$B$4:$B$1000)*1,[1]OUT_SyntheticFuels!I$4:I$1000)</f>
        <v>0</v>
      </c>
      <c r="K2037" s="7" cm="1">
        <f t="array" ref="K2037">SUMPRODUCT(("CT_CWODETHCCS"=[1]OUT_SyntheticFuels!$C$4:$C$1000)*1,("Var_cap"=[1]OUT_SyntheticFuels!$B$4:$B$1000)*1,[1]OUT_SyntheticFuels!J$4:J$1000)</f>
        <v>0</v>
      </c>
      <c r="L2037" s="7" cm="1">
        <f t="array" ref="L2037">SUMPRODUCT(("CT_CWODETHCCS"=[1]OUT_SyntheticFuels!$C$4:$C$1000)*1,("Var_cap"=[1]OUT_SyntheticFuels!$B$4:$B$1000)*1,[1]OUT_SyntheticFuels!K$4:K$1000)</f>
        <v>0</v>
      </c>
      <c r="M2037" s="7" cm="1">
        <f t="array" ref="M2037">SUMPRODUCT(("CT_CWODETHCCS"=[1]OUT_SyntheticFuels!$C$4:$C$1000)*1,("Var_cap"=[1]OUT_SyntheticFuels!$B$4:$B$1000)*1,[1]OUT_SyntheticFuels!L$4:L$1000)</f>
        <v>0</v>
      </c>
      <c r="N2037" s="7" cm="1">
        <f t="array" ref="N2037">SUMPRODUCT(("CT_CWODETHCCS"=[1]OUT_SyntheticFuels!$C$4:$C$1000)*1,("Var_cap"=[1]OUT_SyntheticFuels!$B$4:$B$1000)*1,[1]OUT_SyntheticFuels!M$4:M$1000)</f>
        <v>0</v>
      </c>
      <c r="O2037" s="7" cm="1">
        <f t="array" ref="O2037">SUMPRODUCT(("CT_CWODETHCCS"=[1]OUT_SyntheticFuels!$C$4:$C$1000)*1,("Var_cap"=[1]OUT_SyntheticFuels!$B$4:$B$1000)*1,[1]OUT_SyntheticFuels!N$4:N$1000)</f>
        <v>0</v>
      </c>
      <c r="P2037" s="7" cm="1">
        <f t="array" ref="P2037">SUMPRODUCT(("CT_CWODETHCCS"=[1]OUT_SyntheticFuels!$C$4:$C$1000)*1,("Var_cap"=[1]OUT_SyntheticFuels!$B$4:$B$1000)*1,[1]OUT_SyntheticFuels!O$4:O$1000)</f>
        <v>0</v>
      </c>
      <c r="Q2037" s="7" cm="1">
        <f t="array" ref="Q2037">SUMPRODUCT(("CT_CWODETHCCS"=[1]OUT_SyntheticFuels!$C$4:$C$1000)*1,("Var_cap"=[1]OUT_SyntheticFuels!$B$4:$B$1000)*1,[1]OUT_SyntheticFuels!P$4:P$1000)</f>
        <v>0</v>
      </c>
      <c r="S2037" s="3"/>
    </row>
    <row r="2038" spans="2:19" x14ac:dyDescent="0.5">
      <c r="B2038" s="5" t="str">
        <f t="shared" si="2209"/>
        <v>SPS1</v>
      </c>
      <c r="C2038" s="5" t="str">
        <f t="shared" si="2210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4.98347557088889E-2</v>
      </c>
      <c r="G2038" s="7" cm="1">
        <f t="array" ref="G2038">SUMPRODUCT(("SUP_MNRBIO"=[1]OUT_SyntheticFuels!$C$4:$C$1000)*1,("Var_cap"=[1]OUT_SyntheticFuels!$B$4:$B$1000)*1,[1]OUT_SyntheticFuels!F$4:F$1000)</f>
        <v>0.16172049135557853</v>
      </c>
      <c r="H2038" s="7" cm="1">
        <f t="array" ref="H2038">SUMPRODUCT(("SUP_MNRBIO"=[1]OUT_SyntheticFuels!$C$4:$C$1000)*1,("Var_cap"=[1]OUT_SyntheticFuels!$B$4:$B$1000)*1,[1]OUT_SyntheticFuels!G$4:G$1000)</f>
        <v>0.16239830506479438</v>
      </c>
      <c r="I2038" s="7" cm="1">
        <f t="array" ref="I2038">SUMPRODUCT(("SUP_MNRBIO"=[1]OUT_SyntheticFuels!$C$4:$C$1000)*1,("Var_cap"=[1]OUT_SyntheticFuels!$B$4:$B$1000)*1,[1]OUT_SyntheticFuels!H$4:H$1000)</f>
        <v>0.16240006524956874</v>
      </c>
      <c r="J2038" s="7" cm="1">
        <f t="array" ref="J2038">SUMPRODUCT(("SUP_MNRBIO"=[1]OUT_SyntheticFuels!$C$4:$C$1000)*1,("Var_cap"=[1]OUT_SyntheticFuels!$B$4:$B$1000)*1,[1]OUT_SyntheticFuels!I$4:I$1000)</f>
        <v>0.16240660319395275</v>
      </c>
      <c r="K2038" s="7" cm="1">
        <f t="array" ref="K2038">SUMPRODUCT(("SUP_MNRBIO"=[1]OUT_SyntheticFuels!$C$4:$C$1000)*1,("Var_cap"=[1]OUT_SyntheticFuels!$B$4:$B$1000)*1,[1]OUT_SyntheticFuels!J$4:J$1000)</f>
        <v>0.16241648542792092</v>
      </c>
      <c r="L2038" s="7" cm="1">
        <f t="array" ref="L2038">SUMPRODUCT(("SUP_MNRBIO"=[1]OUT_SyntheticFuels!$C$4:$C$1000)*1,("Var_cap"=[1]OUT_SyntheticFuels!$B$4:$B$1000)*1,[1]OUT_SyntheticFuels!K$4:K$1000)</f>
        <v>0.16241626619772986</v>
      </c>
      <c r="M2038" s="7" cm="1">
        <f t="array" ref="M2038">SUMPRODUCT(("SUP_MNRBIO"=[1]OUT_SyntheticFuels!$C$4:$C$1000)*1,("Var_cap"=[1]OUT_SyntheticFuels!$B$4:$B$1000)*1,[1]OUT_SyntheticFuels!L$4:L$1000)</f>
        <v>0.16242123291894947</v>
      </c>
      <c r="N2038" s="7" cm="1">
        <f t="array" ref="N2038">SUMPRODUCT(("SUP_MNRBIO"=[1]OUT_SyntheticFuels!$C$4:$C$1000)*1,("Var_cap"=[1]OUT_SyntheticFuels!$B$4:$B$1000)*1,[1]OUT_SyntheticFuels!M$4:M$1000)</f>
        <v>0.16241758137298565</v>
      </c>
      <c r="O2038" s="7" cm="1">
        <f t="array" ref="O2038">SUMPRODUCT(("SUP_MNRBIO"=[1]OUT_SyntheticFuels!$C$4:$C$1000)*1,("Var_cap"=[1]OUT_SyntheticFuels!$B$4:$B$1000)*1,[1]OUT_SyntheticFuels!N$4:N$1000)</f>
        <v>0.16242195345790825</v>
      </c>
      <c r="P2038" s="7" cm="1">
        <f t="array" ref="P2038">SUMPRODUCT(("SUP_MNRBIO"=[1]OUT_SyntheticFuels!$C$4:$C$1000)*1,("Var_cap"=[1]OUT_SyntheticFuels!$B$4:$B$1000)*1,[1]OUT_SyntheticFuels!O$4:O$1000)</f>
        <v>0.1624215364400115</v>
      </c>
      <c r="Q2038" s="7" cm="1">
        <f t="array" ref="Q2038">SUMPRODUCT(("SUP_MNRBIO"=[1]OUT_SyntheticFuels!$C$4:$C$1000)*1,("Var_cap"=[1]OUT_SyntheticFuels!$B$4:$B$1000)*1,[1]OUT_SyntheticFuels!P$4:P$1000)</f>
        <v>0.16243262206689507</v>
      </c>
      <c r="S2038" s="3"/>
    </row>
    <row r="2039" spans="2:19" x14ac:dyDescent="0.5">
      <c r="B2039" s="5" t="str">
        <f t="shared" si="2209"/>
        <v>SPS1</v>
      </c>
      <c r="C2039" s="5" t="str">
        <f t="shared" si="2210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0.21266855635489149</v>
      </c>
      <c r="G2039" s="7" cm="1">
        <f t="array" ref="G2039">SUMPRODUCT(("SUP_WSTBIO"=[1]OUT_SyntheticFuels!$C$4:$C$1000)*1,("Var_cap"=[1]OUT_SyntheticFuels!$B$4:$B$1000)*1,[1]OUT_SyntheticFuels!F$4:F$1000)</f>
        <v>0.21822700662646866</v>
      </c>
      <c r="H2039" s="7" cm="1">
        <f t="array" ref="H2039">SUMPRODUCT(("SUP_WSTBIO"=[1]OUT_SyntheticFuels!$C$4:$C$1000)*1,("Var_cap"=[1]OUT_SyntheticFuels!$B$4:$B$1000)*1,[1]OUT_SyntheticFuels!G$4:G$1000)</f>
        <v>0.21822530539747093</v>
      </c>
      <c r="I2039" s="7" cm="1">
        <f t="array" ref="I2039">SUMPRODUCT(("SUP_WSTBIO"=[1]OUT_SyntheticFuels!$C$4:$C$1000)*1,("Var_cap"=[1]OUT_SyntheticFuels!$B$4:$B$1000)*1,[1]OUT_SyntheticFuels!H$4:H$1000)</f>
        <v>0.21749105654027476</v>
      </c>
      <c r="J2039" s="7" cm="1">
        <f t="array" ref="J2039">SUMPRODUCT(("SUP_WSTBIO"=[1]OUT_SyntheticFuels!$C$4:$C$1000)*1,("Var_cap"=[1]OUT_SyntheticFuels!$B$4:$B$1000)*1,[1]OUT_SyntheticFuels!I$4:I$1000)</f>
        <v>0.21703158171059761</v>
      </c>
      <c r="K2039" s="7" cm="1">
        <f t="array" ref="K2039">SUMPRODUCT(("SUP_WSTBIO"=[1]OUT_SyntheticFuels!$C$4:$C$1000)*1,("Var_cap"=[1]OUT_SyntheticFuels!$B$4:$B$1000)*1,[1]OUT_SyntheticFuels!J$4:J$1000)</f>
        <v>0.21093811355704423</v>
      </c>
      <c r="L2039" s="7" cm="1">
        <f t="array" ref="L2039">SUMPRODUCT(("SUP_WSTBIO"=[1]OUT_SyntheticFuels!$C$4:$C$1000)*1,("Var_cap"=[1]OUT_SyntheticFuels!$B$4:$B$1000)*1,[1]OUT_SyntheticFuels!K$4:K$1000)</f>
        <v>0.20486600817361103</v>
      </c>
      <c r="M2039" s="7" cm="1">
        <f t="array" ref="M2039">SUMPRODUCT(("SUP_WSTBIO"=[1]OUT_SyntheticFuels!$C$4:$C$1000)*1,("Var_cap"=[1]OUT_SyntheticFuels!$B$4:$B$1000)*1,[1]OUT_SyntheticFuels!L$4:L$1000)</f>
        <v>0.19879616537336264</v>
      </c>
      <c r="N2039" s="7" cm="1">
        <f t="array" ref="N2039">SUMPRODUCT(("SUP_WSTBIO"=[1]OUT_SyntheticFuels!$C$4:$C$1000)*1,("Var_cap"=[1]OUT_SyntheticFuels!$B$4:$B$1000)*1,[1]OUT_SyntheticFuels!M$4:M$1000)</f>
        <v>0.19879209139921425</v>
      </c>
      <c r="O2039" s="7" cm="1">
        <f t="array" ref="O2039">SUMPRODUCT(("SUP_WSTBIO"=[1]OUT_SyntheticFuels!$C$4:$C$1000)*1,("Var_cap"=[1]OUT_SyntheticFuels!$B$4:$B$1000)*1,[1]OUT_SyntheticFuels!N$4:N$1000)</f>
        <v>0.19878926114192447</v>
      </c>
      <c r="P2039" s="7" cm="1">
        <f t="array" ref="P2039">SUMPRODUCT(("SUP_WSTBIO"=[1]OUT_SyntheticFuels!$C$4:$C$1000)*1,("Var_cap"=[1]OUT_SyntheticFuels!$B$4:$B$1000)*1,[1]OUT_SyntheticFuels!O$4:O$1000)</f>
        <v>0.19878771566203424</v>
      </c>
      <c r="Q2039" s="7" cm="1">
        <f t="array" ref="Q2039">SUMPRODUCT(("SUP_WSTBIO"=[1]OUT_SyntheticFuels!$C$4:$C$1000)*1,("Var_cap"=[1]OUT_SyntheticFuels!$B$4:$B$1000)*1,[1]OUT_SyntheticFuels!P$4:P$1000)</f>
        <v>0.1987656744316432</v>
      </c>
      <c r="S2039" s="3"/>
    </row>
    <row r="2040" spans="2:19" x14ac:dyDescent="0.5">
      <c r="B2040" s="5" t="str">
        <f t="shared" si="2209"/>
        <v>SPS1</v>
      </c>
      <c r="C2040" s="5" t="str">
        <f t="shared" si="2210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SUMPRODUCT(("SUP_WSTBIOCCS"=[1]OUT_SyntheticFuels!$C$4:$C$1000)*1,("Var_cap"=[1]OUT_SyntheticFuels!$B$4:$B$1000)*1,[1]OUT_SyntheticFuels!I$4:I$1000)</f>
        <v>0</v>
      </c>
      <c r="K2040" s="7" cm="1">
        <f t="array" ref="K2040">SUMPRODUCT(("SUP_WSTBIOCCS"=[1]OUT_SyntheticFuels!$C$4:$C$1000)*1,("Var_cap"=[1]OUT_SyntheticFuels!$B$4:$B$1000)*1,[1]OUT_SyntheticFuels!J$4:J$1000)</f>
        <v>0</v>
      </c>
      <c r="L2040" s="7" cm="1">
        <f t="array" ref="L2040">SUMPRODUCT(("SUP_WSTBIOCCS"=[1]OUT_SyntheticFuels!$C$4:$C$1000)*1,("Var_cap"=[1]OUT_SyntheticFuels!$B$4:$B$1000)*1,[1]OUT_SyntheticFuels!K$4:K$1000)</f>
        <v>0</v>
      </c>
      <c r="M2040" s="7" cm="1">
        <f t="array" ref="M2040">SUMPRODUCT(("SUP_WSTBIOCCS"=[1]OUT_SyntheticFuels!$C$4:$C$1000)*1,("Var_cap"=[1]OUT_SyntheticFuels!$B$4:$B$1000)*1,[1]OUT_SyntheticFuels!L$4:L$1000)</f>
        <v>0</v>
      </c>
      <c r="N2040" s="7" cm="1">
        <f t="array" ref="N2040">SUMPRODUCT(("SUP_WSTBIOCCS"=[1]OUT_SyntheticFuels!$C$4:$C$1000)*1,("Var_cap"=[1]OUT_SyntheticFuels!$B$4:$B$1000)*1,[1]OUT_SyntheticFuels!M$4:M$1000)</f>
        <v>0</v>
      </c>
      <c r="O2040" s="7" cm="1">
        <f t="array" ref="O2040">SUMPRODUCT(("SUP_WSTBIOCCS"=[1]OUT_SyntheticFuels!$C$4:$C$1000)*1,("Var_cap"=[1]OUT_SyntheticFuels!$B$4:$B$1000)*1,[1]OUT_SyntheticFuels!N$4:N$1000)</f>
        <v>0</v>
      </c>
      <c r="P2040" s="7" cm="1">
        <f t="array" ref="P2040">SUMPRODUCT(("SUP_WSTBIOCCS"=[1]OUT_SyntheticFuels!$C$4:$C$1000)*1,("Var_cap"=[1]OUT_SyntheticFuels!$B$4:$B$1000)*1,[1]OUT_SyntheticFuels!O$4:O$1000)</f>
        <v>0</v>
      </c>
      <c r="Q2040" s="7" cm="1">
        <f t="array" ref="Q2040">SUMPRODUCT(("SUP_WSTBIOCCS"=[1]OUT_SyntheticFuels!$C$4:$C$1000)*1,("Var_cap"=[1]OUT_SyntheticFuels!$B$4:$B$1000)*1,[1]OUT_SyntheticFuels!P$4:P$1000)</f>
        <v>0</v>
      </c>
      <c r="S2040" s="3"/>
    </row>
    <row r="2041" spans="2:19" x14ac:dyDescent="0.5">
      <c r="B2041" s="5" t="str">
        <f t="shared" si="2209"/>
        <v>SPS1</v>
      </c>
      <c r="C2041" s="5" t="str">
        <f t="shared" si="2210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SUMPRODUCT(("SUP_WSTHTGBIO"=[1]OUT_SyntheticFuels!$C$4:$C$1000)*1,("Var_cap"=[1]OUT_SyntheticFuels!$B$4:$B$1000)*1,[1]OUT_SyntheticFuels!I$4:I$1000)</f>
        <v>0</v>
      </c>
      <c r="K2041" s="7" cm="1">
        <f t="array" ref="K2041">SUMPRODUCT(("SUP_WSTHTGBIO"=[1]OUT_SyntheticFuels!$C$4:$C$1000)*1,("Var_cap"=[1]OUT_SyntheticFuels!$B$4:$B$1000)*1,[1]OUT_SyntheticFuels!J$4:J$1000)</f>
        <v>3.0690025101413399E-5</v>
      </c>
      <c r="L2041" s="7" cm="1">
        <f t="array" ref="L2041">SUMPRODUCT(("SUP_WSTHTGBIO"=[1]OUT_SyntheticFuels!$C$4:$C$1000)*1,("Var_cap"=[1]OUT_SyntheticFuels!$B$4:$B$1000)*1,[1]OUT_SyntheticFuels!K$4:K$1000)</f>
        <v>3.2238767591484988E-5</v>
      </c>
      <c r="M2041" s="7" cm="1">
        <f t="array" ref="M2041">SUMPRODUCT(("SUP_WSTHTGBIO"=[1]OUT_SyntheticFuels!$C$4:$C$1000)*1,("Var_cap"=[1]OUT_SyntheticFuels!$B$4:$B$1000)*1,[1]OUT_SyntheticFuels!L$4:L$1000)</f>
        <v>3.8862934035257323E-5</v>
      </c>
      <c r="N2041" s="7" cm="1">
        <f t="array" ref="N2041">SUMPRODUCT(("SUP_WSTHTGBIO"=[1]OUT_SyntheticFuels!$C$4:$C$1000)*1,("Var_cap"=[1]OUT_SyntheticFuels!$B$4:$B$1000)*1,[1]OUT_SyntheticFuels!M$4:M$1000)</f>
        <v>3.5642063665153663E-5</v>
      </c>
      <c r="O2041" s="7" cm="1">
        <f t="array" ref="O2041">SUMPRODUCT(("SUP_WSTHTGBIO"=[1]OUT_SyntheticFuels!$C$4:$C$1000)*1,("Var_cap"=[1]OUT_SyntheticFuels!$B$4:$B$1000)*1,[1]OUT_SyntheticFuels!N$4:N$1000)</f>
        <v>4.6489722592868314E-5</v>
      </c>
      <c r="P2041" s="7" cm="1">
        <f t="array" ref="P2041">SUMPRODUCT(("SUP_WSTHTGBIO"=[1]OUT_SyntheticFuels!$C$4:$C$1000)*1,("Var_cap"=[1]OUT_SyntheticFuels!$B$4:$B$1000)*1,[1]OUT_SyntheticFuels!O$4:O$1000)</f>
        <v>4.5581451303351538E-5</v>
      </c>
      <c r="Q2041" s="7" cm="1">
        <f t="array" ref="Q2041">SUMPRODUCT(("SUP_WSTHTGBIO"=[1]OUT_SyntheticFuels!$C$4:$C$1000)*1,("Var_cap"=[1]OUT_SyntheticFuels!$B$4:$B$1000)*1,[1]OUT_SyntheticFuels!P$4:P$1000)</f>
        <v>8.7356364492578123E-5</v>
      </c>
      <c r="S2041" s="3"/>
    </row>
    <row r="2042" spans="2:19" x14ac:dyDescent="0.5">
      <c r="B2042" s="5" t="str">
        <f t="shared" si="2209"/>
        <v>SPS1</v>
      </c>
      <c r="C2042" s="5" t="str">
        <f t="shared" si="2210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SUMPRODUCT(("SUP_WSTHTGBIOCCS"=[1]OUT_SyntheticFuels!$C$4:$C$1000)*1,("Var_cap"=[1]OUT_SyntheticFuels!$B$4:$B$1000)*1,[1]OUT_SyntheticFuels!I$4:I$1000)</f>
        <v>0</v>
      </c>
      <c r="K2042" s="7" cm="1">
        <f t="array" ref="K2042">SUMPRODUCT(("SUP_WSTHTGBIOCCS"=[1]OUT_SyntheticFuels!$C$4:$C$1000)*1,("Var_cap"=[1]OUT_SyntheticFuels!$B$4:$B$1000)*1,[1]OUT_SyntheticFuels!J$4:J$1000)</f>
        <v>0</v>
      </c>
      <c r="L2042" s="7" cm="1">
        <f t="array" ref="L2042">SUMPRODUCT(("SUP_WSTHTGBIOCCS"=[1]OUT_SyntheticFuels!$C$4:$C$1000)*1,("Var_cap"=[1]OUT_SyntheticFuels!$B$4:$B$1000)*1,[1]OUT_SyntheticFuels!K$4:K$1000)</f>
        <v>0</v>
      </c>
      <c r="M2042" s="7" cm="1">
        <f t="array" ref="M2042">SUMPRODUCT(("SUP_WSTHTGBIOCCS"=[1]OUT_SyntheticFuels!$C$4:$C$1000)*1,("Var_cap"=[1]OUT_SyntheticFuels!$B$4:$B$1000)*1,[1]OUT_SyntheticFuels!L$4:L$1000)</f>
        <v>0</v>
      </c>
      <c r="N2042" s="7" cm="1">
        <f t="array" ref="N2042">SUMPRODUCT(("SUP_WSTHTGBIOCCS"=[1]OUT_SyntheticFuels!$C$4:$C$1000)*1,("Var_cap"=[1]OUT_SyntheticFuels!$B$4:$B$1000)*1,[1]OUT_SyntheticFuels!M$4:M$1000)</f>
        <v>0</v>
      </c>
      <c r="O2042" s="7" cm="1">
        <f t="array" ref="O2042">SUMPRODUCT(("SUP_WSTHTGBIOCCS"=[1]OUT_SyntheticFuels!$C$4:$C$1000)*1,("Var_cap"=[1]OUT_SyntheticFuels!$B$4:$B$1000)*1,[1]OUT_SyntheticFuels!N$4:N$1000)</f>
        <v>0</v>
      </c>
      <c r="P2042" s="7" cm="1">
        <f t="array" ref="P2042">SUMPRODUCT(("SUP_WSTHTGBIOCCS"=[1]OUT_SyntheticFuels!$C$4:$C$1000)*1,("Var_cap"=[1]OUT_SyntheticFuels!$B$4:$B$1000)*1,[1]OUT_SyntheticFuels!O$4:O$1000)</f>
        <v>0</v>
      </c>
      <c r="Q2042" s="7" cm="1">
        <f t="array" ref="Q2042">SUMPRODUCT(("SUP_WSTHTGBIOCCS"=[1]OUT_SyntheticFuels!$C$4:$C$1000)*1,("Var_cap"=[1]OUT_SyntheticFuels!$B$4:$B$1000)*1,[1]OUT_SyntheticFuels!P$4:P$1000)</f>
        <v>0</v>
      </c>
      <c r="S2042" s="3"/>
    </row>
    <row r="2043" spans="2:19" x14ac:dyDescent="0.5">
      <c r="B2043" s="5" t="str">
        <f t="shared" si="2209"/>
        <v>SPS1</v>
      </c>
      <c r="C2043" s="5" t="str">
        <f t="shared" si="2210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6.4660260969566299E-7</v>
      </c>
      <c r="G2043" s="7" cm="1">
        <f t="array" ref="G2043">SUMPRODUCT(("SUP_WODBIO"=[1]OUT_SyntheticFuels!$C$4:$C$1000)*1,("Var_cap"=[1]OUT_SyntheticFuels!$B$4:$B$1000)*1,[1]OUT_SyntheticFuels!F$4:F$1000)</f>
        <v>2.5103863222768687E-5</v>
      </c>
      <c r="H2043" s="7" cm="1">
        <f t="array" ref="H2043">SUMPRODUCT(("SUP_WODBIO"=[1]OUT_SyntheticFuels!$C$4:$C$1000)*1,("Var_cap"=[1]OUT_SyntheticFuels!$B$4:$B$1000)*1,[1]OUT_SyntheticFuels!G$4:G$1000)</f>
        <v>2.6800248318394541E-5</v>
      </c>
      <c r="I2043" s="7" cm="1">
        <f t="array" ref="I2043">SUMPRODUCT(("SUP_WODBIO"=[1]OUT_SyntheticFuels!$C$4:$C$1000)*1,("Var_cap"=[1]OUT_SyntheticFuels!$B$4:$B$1000)*1,[1]OUT_SyntheticFuels!H$4:H$1000)</f>
        <v>2.7021536370293006E-5</v>
      </c>
      <c r="J2043" s="7" cm="1">
        <f t="array" ref="J2043">SUMPRODUCT(("SUP_WODBIO"=[1]OUT_SyntheticFuels!$C$4:$C$1000)*1,("Var_cap"=[1]OUT_SyntheticFuels!$B$4:$B$1000)*1,[1]OUT_SyntheticFuels!I$4:I$1000)</f>
        <v>4.5659073318161402E-5</v>
      </c>
      <c r="K2043" s="7" cm="1">
        <f t="array" ref="K2043">SUMPRODUCT(("SUP_WODBIO"=[1]OUT_SyntheticFuels!$C$4:$C$1000)*1,("Var_cap"=[1]OUT_SyntheticFuels!$B$4:$B$1000)*1,[1]OUT_SyntheticFuels!J$4:J$1000)</f>
        <v>4.1826952573027641E-5</v>
      </c>
      <c r="L2043" s="7" cm="1">
        <f t="array" ref="L2043">SUMPRODUCT(("SUP_WODBIO"=[1]OUT_SyntheticFuels!$C$4:$C$1000)*1,("Var_cap"=[1]OUT_SyntheticFuels!$B$4:$B$1000)*1,[1]OUT_SyntheticFuels!K$4:K$1000)</f>
        <v>4.0895983127246436E-5</v>
      </c>
      <c r="M2043" s="7" cm="1">
        <f t="array" ref="M2043">SUMPRODUCT(("SUP_WODBIO"=[1]OUT_SyntheticFuels!$C$4:$C$1000)*1,("Var_cap"=[1]OUT_SyntheticFuels!$B$4:$B$1000)*1,[1]OUT_SyntheticFuels!L$4:L$1000)</f>
        <v>6.423321673298687E-5</v>
      </c>
      <c r="N2043" s="7" cm="1">
        <f t="array" ref="N2043">SUMPRODUCT(("SUP_WODBIO"=[1]OUT_SyntheticFuels!$C$4:$C$1000)*1,("Var_cap"=[1]OUT_SyntheticFuels!$B$4:$B$1000)*1,[1]OUT_SyntheticFuels!M$4:M$1000)</f>
        <v>5.1154846937819259E-5</v>
      </c>
      <c r="O2043" s="7" cm="1">
        <f t="array" ref="O2043">SUMPRODUCT(("SUP_WODBIO"=[1]OUT_SyntheticFuels!$C$4:$C$1000)*1,("Var_cap"=[1]OUT_SyntheticFuels!$B$4:$B$1000)*1,[1]OUT_SyntheticFuels!N$4:N$1000)</f>
        <v>7.7409969330567721E-5</v>
      </c>
      <c r="P2043" s="7" cm="1">
        <f t="array" ref="P2043">SUMPRODUCT(("SUP_WODBIO"=[1]OUT_SyntheticFuels!$C$4:$C$1000)*1,("Var_cap"=[1]OUT_SyntheticFuels!$B$4:$B$1000)*1,[1]OUT_SyntheticFuels!O$4:O$1000)</f>
        <v>6.7285662817719158E-5</v>
      </c>
      <c r="Q2043" s="7" cm="1">
        <f t="array" ref="Q2043">SUMPRODUCT(("SUP_WODBIO"=[1]OUT_SyntheticFuels!$C$4:$C$1000)*1,("Var_cap"=[1]OUT_SyntheticFuels!$B$4:$B$1000)*1,[1]OUT_SyntheticFuels!P$4:P$1000)</f>
        <v>1.3827181192551744E-4</v>
      </c>
      <c r="S2043" s="3"/>
    </row>
    <row r="2044" spans="2:19" x14ac:dyDescent="0.5">
      <c r="B2044" s="5" t="str">
        <f t="shared" si="2209"/>
        <v>SPS1</v>
      </c>
      <c r="C2044" s="5" t="str">
        <f t="shared" si="2210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SUMPRODUCT(("SUP_WODBIOCCS"=[1]OUT_SyntheticFuels!$C$4:$C$1000)*1,("Var_cap"=[1]OUT_SyntheticFuels!$B$4:$B$1000)*1,[1]OUT_SyntheticFuels!I$4:I$1000)</f>
        <v>0</v>
      </c>
      <c r="K2044" s="7" cm="1">
        <f t="array" ref="K2044">SUMPRODUCT(("SUP_WODBIOCCS"=[1]OUT_SyntheticFuels!$C$4:$C$1000)*1,("Var_cap"=[1]OUT_SyntheticFuels!$B$4:$B$1000)*1,[1]OUT_SyntheticFuels!J$4:J$1000)</f>
        <v>0</v>
      </c>
      <c r="L2044" s="7" cm="1">
        <f t="array" ref="L2044">SUMPRODUCT(("SUP_WODBIOCCS"=[1]OUT_SyntheticFuels!$C$4:$C$1000)*1,("Var_cap"=[1]OUT_SyntheticFuels!$B$4:$B$1000)*1,[1]OUT_SyntheticFuels!K$4:K$1000)</f>
        <v>0</v>
      </c>
      <c r="M2044" s="7" cm="1">
        <f t="array" ref="M2044">SUMPRODUCT(("SUP_WODBIOCCS"=[1]OUT_SyntheticFuels!$C$4:$C$1000)*1,("Var_cap"=[1]OUT_SyntheticFuels!$B$4:$B$1000)*1,[1]OUT_SyntheticFuels!L$4:L$1000)</f>
        <v>0</v>
      </c>
      <c r="N2044" s="7" cm="1">
        <f t="array" ref="N2044">SUMPRODUCT(("SUP_WODBIOCCS"=[1]OUT_SyntheticFuels!$C$4:$C$1000)*1,("Var_cap"=[1]OUT_SyntheticFuels!$B$4:$B$1000)*1,[1]OUT_SyntheticFuels!M$4:M$1000)</f>
        <v>0</v>
      </c>
      <c r="O2044" s="7" cm="1">
        <f t="array" ref="O2044">SUMPRODUCT(("SUP_WODBIOCCS"=[1]OUT_SyntheticFuels!$C$4:$C$1000)*1,("Var_cap"=[1]OUT_SyntheticFuels!$B$4:$B$1000)*1,[1]OUT_SyntheticFuels!N$4:N$1000)</f>
        <v>0</v>
      </c>
      <c r="P2044" s="7" cm="1">
        <f t="array" ref="P2044">SUMPRODUCT(("SUP_WODBIOCCS"=[1]OUT_SyntheticFuels!$C$4:$C$1000)*1,("Var_cap"=[1]OUT_SyntheticFuels!$B$4:$B$1000)*1,[1]OUT_SyntheticFuels!O$4:O$1000)</f>
        <v>0</v>
      </c>
      <c r="Q2044" s="7" cm="1">
        <f t="array" ref="Q2044">SUMPRODUCT(("SUP_WODBIOCCS"=[1]OUT_SyntheticFuels!$C$4:$C$1000)*1,("Var_cap"=[1]OUT_SyntheticFuels!$B$4:$B$1000)*1,[1]OUT_SyntheticFuels!P$4:P$1000)</f>
        <v>0</v>
      </c>
      <c r="S2044" s="3"/>
    </row>
    <row r="2045" spans="2:19" x14ac:dyDescent="0.5">
      <c r="B2045" s="5" t="str">
        <f t="shared" si="2209"/>
        <v>SPS1</v>
      </c>
      <c r="C2045" s="5" t="str">
        <f t="shared" si="2210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4.2409271671588339E-2</v>
      </c>
      <c r="G2045" s="7" cm="1">
        <f t="array" ref="G2045">SUMPRODUCT(("SUP_BIONGA"=[1]OUT_SyntheticFuels!$C$4:$C$1000)*1,("Var_cap"=[1]OUT_SyntheticFuels!$B$4:$B$1000)*1,[1]OUT_SyntheticFuels!F$4:F$1000)</f>
        <v>0.11285283071173799</v>
      </c>
      <c r="H2045" s="7" cm="1">
        <f t="array" ref="H2045">SUMPRODUCT(("SUP_BIONGA"=[1]OUT_SyntheticFuels!$C$4:$C$1000)*1,("Var_cap"=[1]OUT_SyntheticFuels!$B$4:$B$1000)*1,[1]OUT_SyntheticFuels!G$4:G$1000)</f>
        <v>0.10938947908405662</v>
      </c>
      <c r="I2045" s="7" cm="1">
        <f t="array" ref="I2045">SUMPRODUCT(("SUP_BIONGA"=[1]OUT_SyntheticFuels!$C$4:$C$1000)*1,("Var_cap"=[1]OUT_SyntheticFuels!$B$4:$B$1000)*1,[1]OUT_SyntheticFuels!H$4:H$1000)</f>
        <v>0.10397247603890807</v>
      </c>
      <c r="J2045" s="7" cm="1">
        <f t="array" ref="J2045">SUMPRODUCT(("SUP_BIONGA"=[1]OUT_SyntheticFuels!$C$4:$C$1000)*1,("Var_cap"=[1]OUT_SyntheticFuels!$B$4:$B$1000)*1,[1]OUT_SyntheticFuels!I$4:I$1000)</f>
        <v>0.10376433770855213</v>
      </c>
      <c r="K2045" s="7" cm="1">
        <f t="array" ref="K2045">SUMPRODUCT(("SUP_BIONGA"=[1]OUT_SyntheticFuels!$C$4:$C$1000)*1,("Var_cap"=[1]OUT_SyntheticFuels!$B$4:$B$1000)*1,[1]OUT_SyntheticFuels!J$4:J$1000)</f>
        <v>0.10372881743088351</v>
      </c>
      <c r="L2045" s="7" cm="1">
        <f t="array" ref="L2045">SUMPRODUCT(("SUP_BIONGA"=[1]OUT_SyntheticFuels!$C$4:$C$1000)*1,("Var_cap"=[1]OUT_SyntheticFuels!$B$4:$B$1000)*1,[1]OUT_SyntheticFuels!K$4:K$1000)</f>
        <v>0.10372956399573177</v>
      </c>
      <c r="M2045" s="7" cm="1">
        <f t="array" ref="M2045">SUMPRODUCT(("SUP_BIONGA"=[1]OUT_SyntheticFuels!$C$4:$C$1000)*1,("Var_cap"=[1]OUT_SyntheticFuels!$B$4:$B$1000)*1,[1]OUT_SyntheticFuels!L$4:L$1000)</f>
        <v>0.10377924851366635</v>
      </c>
      <c r="N2045" s="7" cm="1">
        <f t="array" ref="N2045">SUMPRODUCT(("SUP_BIONGA"=[1]OUT_SyntheticFuels!$C$4:$C$1000)*1,("Var_cap"=[1]OUT_SyntheticFuels!$B$4:$B$1000)*1,[1]OUT_SyntheticFuels!M$4:M$1000)</f>
        <v>0.10377421199013855</v>
      </c>
      <c r="O2045" s="7" cm="1">
        <f t="array" ref="O2045">SUMPRODUCT(("SUP_BIONGA"=[1]OUT_SyntheticFuels!$C$4:$C$1000)*1,("Var_cap"=[1]OUT_SyntheticFuels!$B$4:$B$1000)*1,[1]OUT_SyntheticFuels!N$4:N$1000)</f>
        <v>0.10380562636355573</v>
      </c>
      <c r="P2045" s="7" cm="1">
        <f t="array" ref="P2045">SUMPRODUCT(("SUP_BIONGA"=[1]OUT_SyntheticFuels!$C$4:$C$1000)*1,("Var_cap"=[1]OUT_SyntheticFuels!$B$4:$B$1000)*1,[1]OUT_SyntheticFuels!O$4:O$1000)</f>
        <v>0.10380509665234332</v>
      </c>
      <c r="Q2045" s="7" cm="1">
        <f t="array" ref="Q2045">SUMPRODUCT(("SUP_BIONGA"=[1]OUT_SyntheticFuels!$C$4:$C$1000)*1,("Var_cap"=[1]OUT_SyntheticFuels!$B$4:$B$1000)*1,[1]OUT_SyntheticFuels!P$4:P$1000)</f>
        <v>0.10391254537551556</v>
      </c>
      <c r="S2045" s="3"/>
    </row>
    <row r="2046" spans="2:19" x14ac:dyDescent="0.5">
      <c r="B2046" s="5" t="str">
        <f t="shared" si="2209"/>
        <v>SPS1</v>
      </c>
      <c r="C2046" s="5" t="str">
        <f t="shared" si="2210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0.3636284825363168</v>
      </c>
      <c r="G2046" s="7" cm="1">
        <f t="array" ref="G2046">SUMPRODUCT(("CT_CWODPLT"=[1]OUT_SyntheticFuels!$C$4:$C$1000)*1,("Var_cap"=[1]OUT_SyntheticFuels!$B$4:$B$1000)*1,[1]OUT_SyntheticFuels!F$4:F$1000)</f>
        <v>0.41483438589703547</v>
      </c>
      <c r="H2046" s="7" cm="1">
        <f t="array" ref="H2046">SUMPRODUCT(("CT_CWODPLT"=[1]OUT_SyntheticFuels!$C$4:$C$1000)*1,("Var_cap"=[1]OUT_SyntheticFuels!$B$4:$B$1000)*1,[1]OUT_SyntheticFuels!G$4:G$1000)</f>
        <v>0.41483606023684449</v>
      </c>
      <c r="I2046" s="7" cm="1">
        <f t="array" ref="I2046">SUMPRODUCT(("CT_CWODPLT"=[1]OUT_SyntheticFuels!$C$4:$C$1000)*1,("Var_cap"=[1]OUT_SyntheticFuels!$B$4:$B$1000)*1,[1]OUT_SyntheticFuels!H$4:H$1000)</f>
        <v>0.41548108058956618</v>
      </c>
      <c r="J2046" s="7" cm="1">
        <f t="array" ref="J2046">SUMPRODUCT(("CT_CWODPLT"=[1]OUT_SyntheticFuels!$C$4:$C$1000)*1,("Var_cap"=[1]OUT_SyntheticFuels!$B$4:$B$1000)*1,[1]OUT_SyntheticFuels!I$4:I$1000)</f>
        <v>0.43522896069225947</v>
      </c>
      <c r="K2046" s="7" cm="1">
        <f t="array" ref="K2046">SUMPRODUCT(("CT_CWODPLT"=[1]OUT_SyntheticFuels!$C$4:$C$1000)*1,("Var_cap"=[1]OUT_SyntheticFuels!$B$4:$B$1000)*1,[1]OUT_SyntheticFuels!J$4:J$1000)</f>
        <v>0.46648301890774446</v>
      </c>
      <c r="L2046" s="7" cm="1">
        <f t="array" ref="L2046">SUMPRODUCT(("CT_CWODPLT"=[1]OUT_SyntheticFuels!$C$4:$C$1000)*1,("Var_cap"=[1]OUT_SyntheticFuels!$B$4:$B$1000)*1,[1]OUT_SyntheticFuels!K$4:K$1000)</f>
        <v>0.46329462130072679</v>
      </c>
      <c r="M2046" s="7" cm="1">
        <f t="array" ref="M2046">SUMPRODUCT(("CT_CWODPLT"=[1]OUT_SyntheticFuels!$C$4:$C$1000)*1,("Var_cap"=[1]OUT_SyntheticFuels!$B$4:$B$1000)*1,[1]OUT_SyntheticFuels!L$4:L$1000)</f>
        <v>0.46993668599564259</v>
      </c>
      <c r="N2046" s="7" cm="1">
        <f t="array" ref="N2046">SUMPRODUCT(("CT_CWODPLT"=[1]OUT_SyntheticFuels!$C$4:$C$1000)*1,("Var_cap"=[1]OUT_SyntheticFuels!$B$4:$B$1000)*1,[1]OUT_SyntheticFuels!M$4:M$1000)</f>
        <v>0.46987415600970744</v>
      </c>
      <c r="O2046" s="7" cm="1">
        <f t="array" ref="O2046">SUMPRODUCT(("CT_CWODPLT"=[1]OUT_SyntheticFuels!$C$4:$C$1000)*1,("Var_cap"=[1]OUT_SyntheticFuels!$B$4:$B$1000)*1,[1]OUT_SyntheticFuels!N$4:N$1000)</f>
        <v>0.46942808460200469</v>
      </c>
      <c r="P2046" s="7" cm="1">
        <f t="array" ref="P2046">SUMPRODUCT(("CT_CWODPLT"=[1]OUT_SyntheticFuels!$C$4:$C$1000)*1,("Var_cap"=[1]OUT_SyntheticFuels!$B$4:$B$1000)*1,[1]OUT_SyntheticFuels!O$4:O$1000)</f>
        <v>0.46413766140057466</v>
      </c>
      <c r="Q2046" s="7" cm="1">
        <f t="array" ref="Q2046">SUMPRODUCT(("CT_CWODPLT"=[1]OUT_SyntheticFuels!$C$4:$C$1000)*1,("Var_cap"=[1]OUT_SyntheticFuels!$B$4:$B$1000)*1,[1]OUT_SyntheticFuels!P$4:P$1000)</f>
        <v>0.45726087824206085</v>
      </c>
      <c r="S2046" s="3"/>
    </row>
    <row r="2047" spans="2:19" x14ac:dyDescent="0.5">
      <c r="B2047" s="5" t="str">
        <f t="shared" si="2209"/>
        <v>SPS1</v>
      </c>
      <c r="C2047" s="5" t="str">
        <f t="shared" si="2210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3.7777977759913401E-7</v>
      </c>
      <c r="J2047" s="7" cm="1">
        <f t="array" ref="J2047">SUMPRODUCT(("SUP_H2NGA"=[1]OUT_SyntheticFuels!$C$4:$C$1000)*1,("Var_cap"=[1]OUT_SyntheticFuels!$B$4:$B$1000)*1,[1]OUT_SyntheticFuels!I$4:I$1000)</f>
        <v>8.6644576527101091E-7</v>
      </c>
      <c r="K2047" s="7" cm="1">
        <f t="array" ref="K2047">SUMPRODUCT(("SUP_H2NGA"=[1]OUT_SyntheticFuels!$C$4:$C$1000)*1,("Var_cap"=[1]OUT_SyntheticFuels!$B$4:$B$1000)*1,[1]OUT_SyntheticFuels!J$4:J$1000)</f>
        <v>7.4804717850695992E-7</v>
      </c>
      <c r="L2047" s="7" cm="1">
        <f t="array" ref="L2047">SUMPRODUCT(("SUP_H2NGA"=[1]OUT_SyntheticFuels!$C$4:$C$1000)*1,("Var_cap"=[1]OUT_SyntheticFuels!$B$4:$B$1000)*1,[1]OUT_SyntheticFuels!K$4:K$1000)</f>
        <v>7.382086327082601E-7</v>
      </c>
      <c r="M2047" s="7" cm="1">
        <f t="array" ref="M2047">SUMPRODUCT(("SUP_H2NGA"=[1]OUT_SyntheticFuels!$C$4:$C$1000)*1,("Var_cap"=[1]OUT_SyntheticFuels!$B$4:$B$1000)*1,[1]OUT_SyntheticFuels!L$4:L$1000)</f>
        <v>1.7407339430528999E-6</v>
      </c>
      <c r="N2047" s="7" cm="1">
        <f t="array" ref="N2047">SUMPRODUCT(("SUP_H2NGA"=[1]OUT_SyntheticFuels!$C$4:$C$1000)*1,("Var_cap"=[1]OUT_SyntheticFuels!$B$4:$B$1000)*1,[1]OUT_SyntheticFuels!M$4:M$1000)</f>
        <v>1.8833042779126005E-6</v>
      </c>
      <c r="O2047" s="7" cm="1">
        <f t="array" ref="O2047">SUMPRODUCT(("SUP_H2NGA"=[1]OUT_SyntheticFuels!$C$4:$C$1000)*1,("Var_cap"=[1]OUT_SyntheticFuels!$B$4:$B$1000)*1,[1]OUT_SyntheticFuels!N$4:N$1000)</f>
        <v>1.0637841744916072E-7</v>
      </c>
      <c r="P2047" s="7" cm="1">
        <f t="array" ref="P2047">SUMPRODUCT(("SUP_H2NGA"=[1]OUT_SyntheticFuels!$C$4:$C$1000)*1,("Var_cap"=[1]OUT_SyntheticFuels!$B$4:$B$1000)*1,[1]OUT_SyntheticFuels!O$4:O$1000)</f>
        <v>3.6403827839504597E-6</v>
      </c>
      <c r="Q2047" s="7" cm="1">
        <f t="array" ref="Q2047">SUMPRODUCT(("SUP_H2NGA"=[1]OUT_SyntheticFuels!$C$4:$C$1000)*1,("Var_cap"=[1]OUT_SyntheticFuels!$B$4:$B$1000)*1,[1]OUT_SyntheticFuels!P$4:P$1000)</f>
        <v>9.7038417767953886E-6</v>
      </c>
      <c r="S2047" s="3"/>
    </row>
    <row r="2048" spans="2:19" x14ac:dyDescent="0.5">
      <c r="B2048" s="5" t="str">
        <f t="shared" si="2209"/>
        <v>SPS1</v>
      </c>
      <c r="C2048" s="5" t="str">
        <f t="shared" si="2210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5.6138738368835203E-7</v>
      </c>
      <c r="J2048" s="7" cm="1">
        <f t="array" ref="J2048">SUMPRODUCT(("SUP_H2DSL"=[1]OUT_SyntheticFuels!$C$4:$C$1000)*1,("Var_cap"=[1]OUT_SyntheticFuels!$B$4:$B$1000)*1,[1]OUT_SyntheticFuels!I$4:I$1000)</f>
        <v>8.2264042190800995E-7</v>
      </c>
      <c r="K2048" s="7" cm="1">
        <f t="array" ref="K2048">SUMPRODUCT(("SUP_H2DSL"=[1]OUT_SyntheticFuels!$C$4:$C$1000)*1,("Var_cap"=[1]OUT_SyntheticFuels!$B$4:$B$1000)*1,[1]OUT_SyntheticFuels!J$4:J$1000)</f>
        <v>1.0504255678001597E-6</v>
      </c>
      <c r="L2048" s="7" cm="1">
        <f t="array" ref="L2048">SUMPRODUCT(("SUP_H2DSL"=[1]OUT_SyntheticFuels!$C$4:$C$1000)*1,("Var_cap"=[1]OUT_SyntheticFuels!$B$4:$B$1000)*1,[1]OUT_SyntheticFuels!K$4:K$1000)</f>
        <v>1.04855994689334E-6</v>
      </c>
      <c r="M2048" s="7" cm="1">
        <f t="array" ref="M2048">SUMPRODUCT(("SUP_H2DSL"=[1]OUT_SyntheticFuels!$C$4:$C$1000)*1,("Var_cap"=[1]OUT_SyntheticFuels!$B$4:$B$1000)*1,[1]OUT_SyntheticFuels!L$4:L$1000)</f>
        <v>-2.9842439582779494E-6</v>
      </c>
      <c r="N2048" s="7" cm="1">
        <f t="array" ref="N2048">SUMPRODUCT(("SUP_H2DSL"=[1]OUT_SyntheticFuels!$C$4:$C$1000)*1,("Var_cap"=[1]OUT_SyntheticFuels!$B$4:$B$1000)*1,[1]OUT_SyntheticFuels!M$4:M$1000)</f>
        <v>1.7763180830624E-6</v>
      </c>
      <c r="O2048" s="7" cm="1">
        <f t="array" ref="O2048">SUMPRODUCT(("SUP_H2DSL"=[1]OUT_SyntheticFuels!$C$4:$C$1000)*1,("Var_cap"=[1]OUT_SyntheticFuels!$B$4:$B$1000)*1,[1]OUT_SyntheticFuels!N$4:N$1000)</f>
        <v>1.710701121032491E-6</v>
      </c>
      <c r="P2048" s="7" cm="1">
        <f t="array" ref="P2048">SUMPRODUCT(("SUP_H2DSL"=[1]OUT_SyntheticFuels!$C$4:$C$1000)*1,("Var_cap"=[1]OUT_SyntheticFuels!$B$4:$B$1000)*1,[1]OUT_SyntheticFuels!O$4:O$1000)</f>
        <v>1.8645141314117404E-6</v>
      </c>
      <c r="Q2048" s="7" cm="1">
        <f t="array" ref="Q2048">SUMPRODUCT(("SUP_H2DSL"=[1]OUT_SyntheticFuels!$C$4:$C$1000)*1,("Var_cap"=[1]OUT_SyntheticFuels!$B$4:$B$1000)*1,[1]OUT_SyntheticFuels!P$4:P$1000)</f>
        <v>9.5826258181690803E-6</v>
      </c>
      <c r="S2048" s="3"/>
    </row>
    <row r="2049" spans="2:19" x14ac:dyDescent="0.5">
      <c r="B2049" s="5" t="str">
        <f t="shared" si="2209"/>
        <v>SPS1</v>
      </c>
      <c r="C2049" s="5" t="str">
        <f t="shared" si="2210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4.8995717028042204E-7</v>
      </c>
      <c r="J2049" s="7" cm="1">
        <f t="array" ref="J2049">SUMPRODUCT(("SUP_H2GSL"=[1]OUT_SyntheticFuels!$C$4:$C$1000)*1,("Var_cap"=[1]OUT_SyntheticFuels!$B$4:$B$1000)*1,[1]OUT_SyntheticFuels!I$4:I$1000)</f>
        <v>7.19580175171407E-7</v>
      </c>
      <c r="K2049" s="7" cm="1">
        <f t="array" ref="K2049">SUMPRODUCT(("SUP_H2GSL"=[1]OUT_SyntheticFuels!$C$4:$C$1000)*1,("Var_cap"=[1]OUT_SyntheticFuels!$B$4:$B$1000)*1,[1]OUT_SyntheticFuels!J$4:J$1000)</f>
        <v>4.6395743077848985E-7</v>
      </c>
      <c r="L2049" s="7" cm="1">
        <f t="array" ref="L2049">SUMPRODUCT(("SUP_H2GSL"=[1]OUT_SyntheticFuels!$C$4:$C$1000)*1,("Var_cap"=[1]OUT_SyntheticFuels!$B$4:$B$1000)*1,[1]OUT_SyntheticFuels!K$4:K$1000)</f>
        <v>8.2100990180694974E-7</v>
      </c>
      <c r="M2049" s="7" cm="1">
        <f t="array" ref="M2049">SUMPRODUCT(("SUP_H2GSL"=[1]OUT_SyntheticFuels!$C$4:$C$1000)*1,("Var_cap"=[1]OUT_SyntheticFuels!$B$4:$B$1000)*1,[1]OUT_SyntheticFuels!L$4:L$1000)</f>
        <v>-1.1060936353514596E-6</v>
      </c>
      <c r="N2049" s="7" cm="1">
        <f t="array" ref="N2049">SUMPRODUCT(("SUP_H2GSL"=[1]OUT_SyntheticFuels!$C$4:$C$1000)*1,("Var_cap"=[1]OUT_SyntheticFuels!$B$4:$B$1000)*1,[1]OUT_SyntheticFuels!M$4:M$1000)</f>
        <v>1.76029250734537E-6</v>
      </c>
      <c r="O2049" s="7" cm="1">
        <f t="array" ref="O2049">SUMPRODUCT(("SUP_H2GSL"=[1]OUT_SyntheticFuels!$C$4:$C$1000)*1,("Var_cap"=[1]OUT_SyntheticFuels!$B$4:$B$1000)*1,[1]OUT_SyntheticFuels!N$4:N$1000)</f>
        <v>1.3537654205489502E-6</v>
      </c>
      <c r="P2049" s="7" cm="1">
        <f t="array" ref="P2049">SUMPRODUCT(("SUP_H2GSL"=[1]OUT_SyntheticFuels!$C$4:$C$1000)*1,("Var_cap"=[1]OUT_SyntheticFuels!$B$4:$B$1000)*1,[1]OUT_SyntheticFuels!O$4:O$1000)</f>
        <v>1.3682309871137893E-6</v>
      </c>
      <c r="Q2049" s="7" cm="1">
        <f t="array" ref="Q2049">SUMPRODUCT(("SUP_H2GSL"=[1]OUT_SyntheticFuels!$C$4:$C$1000)*1,("Var_cap"=[1]OUT_SyntheticFuels!$B$4:$B$1000)*1,[1]OUT_SyntheticFuels!P$4:P$1000)</f>
        <v>8.6804816352044006E-6</v>
      </c>
      <c r="S2049" s="3"/>
    </row>
    <row r="2050" spans="2:19" x14ac:dyDescent="0.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211">SUM(F2051,F2053,F2057,F2061,F2077,F2084,F2092,F2094,F2102,F2106,F2100)</f>
        <v>3.5089567107601358E-3</v>
      </c>
      <c r="G2050" s="3">
        <f t="shared" si="2211"/>
        <v>1.3192671995509697</v>
      </c>
      <c r="H2050" s="3">
        <f t="shared" si="2211"/>
        <v>4.7467957440462518</v>
      </c>
      <c r="I2050" s="3">
        <f t="shared" si="2211"/>
        <v>4.9102929081692297</v>
      </c>
      <c r="J2050" s="3">
        <f t="shared" si="2211"/>
        <v>2.6463903808446299</v>
      </c>
      <c r="K2050" s="3">
        <f t="shared" si="2211"/>
        <v>3.1383442519830118</v>
      </c>
      <c r="L2050" s="3">
        <f t="shared" ref="L2050:O2050" si="2212">SUM(L2051,L2053,L2057,L2061,L2077,L2084,L2092,L2094,L2102,L2106,L2100)</f>
        <v>7.6221347453367398</v>
      </c>
      <c r="M2050" s="3">
        <f t="shared" si="2212"/>
        <v>4.8720667604904246</v>
      </c>
      <c r="N2050" s="3">
        <f t="shared" si="2212"/>
        <v>3.1890658284249089</v>
      </c>
      <c r="O2050" s="3">
        <f t="shared" si="2212"/>
        <v>3.9318199456538561</v>
      </c>
      <c r="P2050" s="3">
        <f>SUM(P2051,P2053,P2057,P2061,P2077,P2084,P2092,P2094,P2102,P2106,P2100)</f>
        <v>8.5084997823856696</v>
      </c>
      <c r="Q2050" s="3">
        <f>SUM(Q2051,Q2053,Q2057,Q2061,Q2077,Q2084,Q2092,Q2094,Q2102,Q2106,Q2100)</f>
        <v>5.8882824620281653</v>
      </c>
      <c r="S2050" s="3"/>
    </row>
    <row r="2051" spans="2:19" x14ac:dyDescent="0.5">
      <c r="B2051" s="5" t="str">
        <f>B2050</f>
        <v>SPS1</v>
      </c>
      <c r="C2051" s="5" t="str">
        <f t="shared" ref="C2051:C2113" si="2213">C2050</f>
        <v>CH</v>
      </c>
      <c r="D2051" t="s">
        <v>2180</v>
      </c>
      <c r="E2051" t="str">
        <f t="shared" ref="E2051:E2082" si="2214">E2050</f>
        <v>GWe/yr.</v>
      </c>
      <c r="F2051" s="1">
        <f t="shared" ref="F2051:O2051" si="2215">+F2052</f>
        <v>0</v>
      </c>
      <c r="G2051" s="1">
        <f t="shared" si="2215"/>
        <v>1.23282841825194</v>
      </c>
      <c r="H2051" s="1">
        <f t="shared" si="2215"/>
        <v>0.822642557586034</v>
      </c>
      <c r="I2051" s="1">
        <f t="shared" si="2215"/>
        <v>0</v>
      </c>
      <c r="J2051" s="1">
        <f t="shared" si="2215"/>
        <v>0</v>
      </c>
      <c r="K2051" s="1">
        <f t="shared" si="2215"/>
        <v>0.24839139222217274</v>
      </c>
      <c r="L2051" s="1">
        <f t="shared" si="2215"/>
        <v>2.1051169528109718E-6</v>
      </c>
      <c r="M2051" s="1">
        <f t="shared" si="2215"/>
        <v>6.4847745150658064E-3</v>
      </c>
      <c r="N2051" s="1">
        <f t="shared" si="2215"/>
        <v>8.1519581316262193E-5</v>
      </c>
      <c r="O2051" s="1">
        <f t="shared" si="2215"/>
        <v>2.8307264307982629E-3</v>
      </c>
      <c r="P2051" s="1">
        <f>+P2052</f>
        <v>0</v>
      </c>
      <c r="Q2051" s="1">
        <f>+Q2052</f>
        <v>0</v>
      </c>
      <c r="S2051" s="3"/>
    </row>
    <row r="2052" spans="2:19" x14ac:dyDescent="0.5">
      <c r="B2052" s="5" t="str">
        <f t="shared" ref="B2052:B2113" si="2216">B2051</f>
        <v>SPS1</v>
      </c>
      <c r="C2052" s="5" t="str">
        <f t="shared" si="2213"/>
        <v>CH</v>
      </c>
      <c r="D2052" t="s">
        <v>2181</v>
      </c>
      <c r="E2052" t="str">
        <f t="shared" si="2214"/>
        <v>GWe/yr.</v>
      </c>
      <c r="F2052" s="1">
        <f>'[1]Electricity and CHPs_NCAP'!B$14</f>
        <v>0</v>
      </c>
      <c r="G2052" s="1">
        <f>'[1]Electricity and CHPs_NCAP'!C$14</f>
        <v>1.23282841825194</v>
      </c>
      <c r="H2052" s="1">
        <f>'[1]Electricity and CHPs_NCAP'!D$14</f>
        <v>0.822642557586034</v>
      </c>
      <c r="I2052" s="1">
        <f>'[1]Electricity and CHPs_NCAP'!E$14</f>
        <v>0</v>
      </c>
      <c r="J2052" s="1">
        <f>'[1]Electricity and CHPs_NCAP'!F$14</f>
        <v>0</v>
      </c>
      <c r="K2052" s="1">
        <f>'[1]Electricity and CHPs_NCAP'!G$14</f>
        <v>0.24839139222217274</v>
      </c>
      <c r="L2052" s="1">
        <f>'[1]Electricity and CHPs_NCAP'!H$14</f>
        <v>2.1051169528109718E-6</v>
      </c>
      <c r="M2052" s="1">
        <f>'[1]Electricity and CHPs_NCAP'!I$14</f>
        <v>6.4847745150658064E-3</v>
      </c>
      <c r="N2052" s="1">
        <f>'[1]Electricity and CHPs_NCAP'!J$14</f>
        <v>8.1519581316262193E-5</v>
      </c>
      <c r="O2052" s="1">
        <f>'[1]Electricity and CHPs_NCAP'!K$14</f>
        <v>2.8307264307982629E-3</v>
      </c>
      <c r="P2052" s="1">
        <f>'[1]Electricity and CHPs_NCAP'!L$14</f>
        <v>0</v>
      </c>
      <c r="Q2052" s="1">
        <f>'[1]Electricity and CHPs_NCAP'!M$14</f>
        <v>0</v>
      </c>
      <c r="S2052" s="3"/>
    </row>
    <row r="2053" spans="2:19" x14ac:dyDescent="0.5">
      <c r="B2053" s="5" t="str">
        <f t="shared" si="2216"/>
        <v>SPS1</v>
      </c>
      <c r="C2053" s="5" t="str">
        <f t="shared" si="2213"/>
        <v>CH</v>
      </c>
      <c r="D2053" t="s">
        <v>2182</v>
      </c>
      <c r="E2053" t="str">
        <f t="shared" si="2214"/>
        <v>GWe/yr.</v>
      </c>
      <c r="F2053" s="1">
        <f t="shared" ref="F2053:K2053" si="2217">SUM(F2054:F2056)</f>
        <v>0</v>
      </c>
      <c r="G2053" s="1">
        <f t="shared" si="2217"/>
        <v>2.6504281624747262E-3</v>
      </c>
      <c r="H2053" s="1">
        <f t="shared" si="2217"/>
        <v>5.111231969095794E-3</v>
      </c>
      <c r="I2053" s="1">
        <f t="shared" si="2217"/>
        <v>6.9518306393219376E-2</v>
      </c>
      <c r="J2053" s="1">
        <f t="shared" si="2217"/>
        <v>6.7241893349013496E-2</v>
      </c>
      <c r="K2053" s="1">
        <f t="shared" si="2217"/>
        <v>0.12629196284135094</v>
      </c>
      <c r="L2053" s="1">
        <f t="shared" ref="L2053:O2053" si="2218">SUM(L2054:L2056)</f>
        <v>4.4425961451826528E-6</v>
      </c>
      <c r="M2053" s="1">
        <f t="shared" si="2218"/>
        <v>9.0354145274629629E-5</v>
      </c>
      <c r="N2053" s="1">
        <f t="shared" si="2218"/>
        <v>5.9324479865454701E-6</v>
      </c>
      <c r="O2053" s="1">
        <f t="shared" si="2218"/>
        <v>3.6875787689988766E-4</v>
      </c>
      <c r="P2053" s="1">
        <f>SUM(P2054:P2056)</f>
        <v>4.084957494521721E-5</v>
      </c>
      <c r="Q2053" s="1">
        <f>SUM(Q2054:Q2056)</f>
        <v>4.3282843041655489E-4</v>
      </c>
      <c r="S2053" s="3"/>
    </row>
    <row r="2054" spans="2:19" x14ac:dyDescent="0.5">
      <c r="B2054" s="5" t="str">
        <f t="shared" si="2216"/>
        <v>SPS1</v>
      </c>
      <c r="C2054" s="5" t="str">
        <f t="shared" si="2213"/>
        <v>CH</v>
      </c>
      <c r="D2054" t="s">
        <v>2183</v>
      </c>
      <c r="E2054" t="str">
        <f t="shared" si="2214"/>
        <v>GWe/yr.</v>
      </c>
      <c r="F2054" s="1">
        <f>'[1]Electricity and CHPs_NCAP'!B$15</f>
        <v>0</v>
      </c>
      <c r="G2054" s="1">
        <f>'[1]Electricity and CHPs_NCAP'!C$15</f>
        <v>2.0087771323354809E-3</v>
      </c>
      <c r="H2054" s="1">
        <f>'[1]Electricity and CHPs_NCAP'!D$15</f>
        <v>4.4243966959955552E-3</v>
      </c>
      <c r="I2054" s="1">
        <f>'[1]Electricity and CHPs_NCAP'!E$15</f>
        <v>6.9510344854988956E-2</v>
      </c>
      <c r="J2054" s="1">
        <f>'[1]Electricity and CHPs_NCAP'!F$15</f>
        <v>6.7238509864308238E-2</v>
      </c>
      <c r="K2054" s="1">
        <f>'[1]Electricity and CHPs_NCAP'!G$15</f>
        <v>0.12620456093585555</v>
      </c>
      <c r="L2054" s="1">
        <f>'[1]Electricity and CHPs_NCAP'!H$15</f>
        <v>1.7389176764524129E-6</v>
      </c>
      <c r="M2054" s="1">
        <f>'[1]Electricity and CHPs_NCAP'!I$15</f>
        <v>5.5587971089308953E-6</v>
      </c>
      <c r="N2054" s="1">
        <f>'[1]Electricity and CHPs_NCAP'!J$15</f>
        <v>2.8130508947134116E-6</v>
      </c>
      <c r="O2054" s="1">
        <f>'[1]Electricity and CHPs_NCAP'!K$15</f>
        <v>4.7187221172474775E-6</v>
      </c>
      <c r="P2054" s="1">
        <f>'[1]Electricity and CHPs_NCAP'!L$15</f>
        <v>2.8578928915643901E-8</v>
      </c>
      <c r="Q2054" s="1">
        <f>'[1]Electricity and CHPs_NCAP'!M$15</f>
        <v>1.99452284768719E-8</v>
      </c>
      <c r="S2054" s="3"/>
    </row>
    <row r="2055" spans="2:19" x14ac:dyDescent="0.5">
      <c r="B2055" s="5" t="str">
        <f t="shared" si="2216"/>
        <v>SPS1</v>
      </c>
      <c r="C2055" s="5" t="str">
        <f t="shared" si="2213"/>
        <v>CH</v>
      </c>
      <c r="D2055" t="s">
        <v>2184</v>
      </c>
      <c r="E2055" t="str">
        <f t="shared" si="2214"/>
        <v>GWe/yr.</v>
      </c>
      <c r="F2055" s="1">
        <f>'[1]Electricity and CHPs_NCAP'!B$16</f>
        <v>0</v>
      </c>
      <c r="G2055" s="1">
        <f>'[1]Electricity and CHPs_NCAP'!C$16</f>
        <v>4.1739417947756938E-4</v>
      </c>
      <c r="H2055" s="1">
        <f>'[1]Electricity and CHPs_NCAP'!D$16</f>
        <v>6.8024840905030388E-4</v>
      </c>
      <c r="I2055" s="1">
        <f>'[1]Electricity and CHPs_NCAP'!E$16</f>
        <v>4.6741554897751248E-6</v>
      </c>
      <c r="J2055" s="1">
        <f>'[1]Electricity and CHPs_NCAP'!F$16</f>
        <v>1.6345461365935918E-6</v>
      </c>
      <c r="K2055" s="1">
        <f>'[1]Electricity and CHPs_NCAP'!G$16</f>
        <v>1.4503588530750531E-6</v>
      </c>
      <c r="L2055" s="1">
        <f>'[1]Electricity and CHPs_NCAP'!H$16</f>
        <v>2.2133992278251351E-6</v>
      </c>
      <c r="M2055" s="1">
        <f>'[1]Electricity and CHPs_NCAP'!I$16</f>
        <v>3.9721935967685392E-6</v>
      </c>
      <c r="N2055" s="1">
        <f>'[1]Electricity and CHPs_NCAP'!J$16</f>
        <v>1.6224033829252786E-6</v>
      </c>
      <c r="O2055" s="1">
        <f>'[1]Electricity and CHPs_NCAP'!K$16</f>
        <v>4.7994705868382164E-6</v>
      </c>
      <c r="P2055" s="1">
        <f>'[1]Electricity and CHPs_NCAP'!L$16</f>
        <v>4.0820996016301566E-5</v>
      </c>
      <c r="Q2055" s="1">
        <f>'[1]Electricity and CHPs_NCAP'!M$16</f>
        <v>4.3280848518807799E-4</v>
      </c>
      <c r="S2055" s="3"/>
    </row>
    <row r="2056" spans="2:19" x14ac:dyDescent="0.5">
      <c r="B2056" s="5" t="str">
        <f t="shared" si="2216"/>
        <v>SPS1</v>
      </c>
      <c r="C2056" s="5" t="str">
        <f t="shared" si="2213"/>
        <v>CH</v>
      </c>
      <c r="D2056" t="s">
        <v>2185</v>
      </c>
      <c r="E2056" t="str">
        <f t="shared" si="2214"/>
        <v>GWe/yr.</v>
      </c>
      <c r="F2056" s="1">
        <f>'[1]Electricity and CHPs_NCAP'!B$17</f>
        <v>0</v>
      </c>
      <c r="G2056" s="1">
        <f>'[1]Electricity and CHPs_NCAP'!C$17</f>
        <v>2.2425685066167599E-4</v>
      </c>
      <c r="H2056" s="1">
        <f>'[1]Electricity and CHPs_NCAP'!D$17</f>
        <v>6.5868640499351904E-6</v>
      </c>
      <c r="I2056" s="1">
        <f>'[1]Electricity and CHPs_NCAP'!E$17</f>
        <v>3.2873827406431002E-6</v>
      </c>
      <c r="J2056" s="1">
        <f>'[1]Electricity and CHPs_NCAP'!F$17</f>
        <v>1.74893856866976E-6</v>
      </c>
      <c r="K2056" s="1">
        <f>'[1]Electricity and CHPs_NCAP'!G$17</f>
        <v>8.5951546642316703E-5</v>
      </c>
      <c r="L2056" s="1">
        <f>'[1]Electricity and CHPs_NCAP'!H$17</f>
        <v>4.9027924090510496E-7</v>
      </c>
      <c r="M2056" s="1">
        <f>'[1]Electricity and CHPs_NCAP'!I$17</f>
        <v>8.0823154568930201E-5</v>
      </c>
      <c r="N2056" s="1">
        <f>'[1]Electricity and CHPs_NCAP'!J$17</f>
        <v>1.49699370890678E-6</v>
      </c>
      <c r="O2056" s="1">
        <f>'[1]Electricity and CHPs_NCAP'!K$17</f>
        <v>3.5923968419580198E-4</v>
      </c>
      <c r="P2056" s="1">
        <f>'[1]Electricity and CHPs_NCAP'!L$17</f>
        <v>0</v>
      </c>
      <c r="Q2056" s="1">
        <f>'[1]Electricity and CHPs_NCAP'!M$17</f>
        <v>0</v>
      </c>
      <c r="S2056" s="3"/>
    </row>
    <row r="2057" spans="2:19" x14ac:dyDescent="0.5">
      <c r="B2057" s="5" t="str">
        <f t="shared" si="2216"/>
        <v>SPS1</v>
      </c>
      <c r="C2057" s="5" t="str">
        <f t="shared" si="2213"/>
        <v>CH</v>
      </c>
      <c r="D2057" t="s">
        <v>2186</v>
      </c>
      <c r="E2057" t="str">
        <f t="shared" si="2214"/>
        <v>GWe/yr.</v>
      </c>
      <c r="F2057" s="1">
        <f t="shared" ref="F2057:K2057" si="2219">SUM(F2058:F2060)</f>
        <v>0</v>
      </c>
      <c r="G2057" s="1">
        <f t="shared" si="2219"/>
        <v>5.4741251886833561E-3</v>
      </c>
      <c r="H2057" s="1">
        <f t="shared" si="2219"/>
        <v>1.18728325753528E-4</v>
      </c>
      <c r="I2057" s="1">
        <f t="shared" si="2219"/>
        <v>4.6540995444994314E-2</v>
      </c>
      <c r="J2057" s="1">
        <f t="shared" si="2219"/>
        <v>4.1132482618286212E-2</v>
      </c>
      <c r="K2057" s="1">
        <f t="shared" si="2219"/>
        <v>1.614574041635752E-2</v>
      </c>
      <c r="L2057" s="1">
        <f t="shared" ref="L2057:O2057" si="2220">SUM(L2058:L2060)</f>
        <v>2.1563284431050458E-2</v>
      </c>
      <c r="M2057" s="1">
        <f t="shared" si="2220"/>
        <v>2.8117543244326689E-2</v>
      </c>
      <c r="N2057" s="1">
        <f t="shared" si="2220"/>
        <v>3.9050449731144146E-2</v>
      </c>
      <c r="O2057" s="1">
        <f t="shared" si="2220"/>
        <v>2.2786841973158625E-2</v>
      </c>
      <c r="P2057" s="1">
        <f>SUM(P2058:P2060)</f>
        <v>2.963598252184493E-2</v>
      </c>
      <c r="Q2057" s="1">
        <f>SUM(Q2058:Q2060)</f>
        <v>2.2536486532767862E-2</v>
      </c>
      <c r="S2057" s="3"/>
    </row>
    <row r="2058" spans="2:19" x14ac:dyDescent="0.5">
      <c r="B2058" s="5" t="str">
        <f t="shared" si="2216"/>
        <v>SPS1</v>
      </c>
      <c r="C2058" s="5" t="str">
        <f t="shared" si="2213"/>
        <v>CH</v>
      </c>
      <c r="D2058" t="s">
        <v>2187</v>
      </c>
      <c r="E2058" t="str">
        <f t="shared" si="2214"/>
        <v>GWe/yr.</v>
      </c>
      <c r="F2058" s="1">
        <f>'[1]Electricity and CHPs_NCAP'!B$18</f>
        <v>0</v>
      </c>
      <c r="G2058" s="1">
        <f>'[1]Electricity and CHPs_NCAP'!C$18</f>
        <v>3.2993230405652001E-6</v>
      </c>
      <c r="H2058" s="1">
        <f>'[1]Electricity and CHPs_NCAP'!D$18</f>
        <v>1.11938786555511E-4</v>
      </c>
      <c r="I2058" s="1">
        <f>'[1]Electricity and CHPs_NCAP'!E$18</f>
        <v>2.69770309011222E-2</v>
      </c>
      <c r="J2058" s="1">
        <f>'[1]Electricity and CHPs_NCAP'!F$18</f>
        <v>2.4313533439514999E-2</v>
      </c>
      <c r="K2058" s="1">
        <f>'[1]Electricity and CHPs_NCAP'!G$18</f>
        <v>1.7954620678670499E-3</v>
      </c>
      <c r="L2058" s="1">
        <f>'[1]Electricity and CHPs_NCAP'!H$18</f>
        <v>5.37159000285449E-5</v>
      </c>
      <c r="M2058" s="1">
        <f>'[1]Electricity and CHPs_NCAP'!I$18</f>
        <v>5.1555145087703797E-5</v>
      </c>
      <c r="N2058" s="1">
        <f>'[1]Electricity and CHPs_NCAP'!J$18</f>
        <v>1.8690693526009099E-2</v>
      </c>
      <c r="O2058" s="1">
        <f>'[1]Electricity and CHPs_NCAP'!K$18</f>
        <v>2.0347003626735799E-3</v>
      </c>
      <c r="P2058" s="1">
        <f>'[1]Electricity and CHPs_NCAP'!L$18</f>
        <v>4.27789647618786E-4</v>
      </c>
      <c r="Q2058" s="1">
        <f>'[1]Electricity and CHPs_NCAP'!M$18</f>
        <v>3.2703348477109099E-3</v>
      </c>
      <c r="S2058" s="3"/>
    </row>
    <row r="2059" spans="2:19" x14ac:dyDescent="0.5">
      <c r="B2059" s="5" t="str">
        <f t="shared" si="2216"/>
        <v>SPS1</v>
      </c>
      <c r="C2059" s="5" t="str">
        <f t="shared" si="2213"/>
        <v>CH</v>
      </c>
      <c r="D2059" t="s">
        <v>2188</v>
      </c>
      <c r="E2059" t="str">
        <f t="shared" si="2214"/>
        <v>GWe/yr.</v>
      </c>
      <c r="F2059" s="1">
        <f>'[1]Electricity and CHPs_NCAP'!B$28</f>
        <v>0</v>
      </c>
      <c r="G2059" s="1">
        <f>'[1]Electricity and CHPs_NCAP'!C$28</f>
        <v>2.51914209249118E-6</v>
      </c>
      <c r="H2059" s="1">
        <f>'[1]Electricity and CHPs_NCAP'!D$28</f>
        <v>2.1046220302496302E-6</v>
      </c>
      <c r="I2059" s="1">
        <f>'[1]Electricity and CHPs_NCAP'!E$28</f>
        <v>2.39637914331165E-6</v>
      </c>
      <c r="J2059" s="1">
        <f>'[1]Electricity and CHPs_NCAP'!F$28</f>
        <v>1.5993397606910999E-5</v>
      </c>
      <c r="K2059" s="1">
        <f>'[1]Electricity and CHPs_NCAP'!G$28</f>
        <v>8.4236730992470505E-5</v>
      </c>
      <c r="L2059" s="1">
        <f>'[1]Electricity and CHPs_NCAP'!H$28</f>
        <v>1.8908185864681401E-4</v>
      </c>
      <c r="M2059" s="1">
        <f>'[1]Electricity and CHPs_NCAP'!I$28</f>
        <v>1.6159116474668501E-4</v>
      </c>
      <c r="N2059" s="1">
        <f>'[1]Electricity and CHPs_NCAP'!J$28</f>
        <v>1.1196346609444801E-5</v>
      </c>
      <c r="O2059" s="1">
        <f>'[1]Electricity and CHPs_NCAP'!K$28</f>
        <v>2.04125421658345E-4</v>
      </c>
      <c r="P2059" s="1">
        <f>'[1]Electricity and CHPs_NCAP'!L$28</f>
        <v>8.7552345633245906E-5</v>
      </c>
      <c r="Q2059" s="1">
        <f>'[1]Electricity and CHPs_NCAP'!M$28</f>
        <v>4.8744997620715199E-4</v>
      </c>
      <c r="S2059" s="3"/>
    </row>
    <row r="2060" spans="2:19" x14ac:dyDescent="0.5">
      <c r="B2060" s="5" t="str">
        <f t="shared" si="2216"/>
        <v>SPS1</v>
      </c>
      <c r="C2060" s="5" t="str">
        <f t="shared" si="2213"/>
        <v>CH</v>
      </c>
      <c r="D2060" t="s">
        <v>2189</v>
      </c>
      <c r="E2060" t="str">
        <f t="shared" si="2214"/>
        <v>GWe/yr.</v>
      </c>
      <c r="F2060" s="1">
        <f>'[1]Electricity and CHPs_NCAP'!B$41</f>
        <v>0</v>
      </c>
      <c r="G2060" s="1">
        <f>'[1]Electricity and CHPs_NCAP'!C$41</f>
        <v>5.4683067235502996E-3</v>
      </c>
      <c r="H2060" s="1">
        <f>'[1]Electricity and CHPs_NCAP'!D$41</f>
        <v>4.6849171677673601E-6</v>
      </c>
      <c r="I2060" s="1">
        <f>'[1]Electricity and CHPs_NCAP'!E$41</f>
        <v>1.9561568164728801E-2</v>
      </c>
      <c r="J2060" s="1">
        <f>'[1]Electricity and CHPs_NCAP'!F$41</f>
        <v>1.6802955781164301E-2</v>
      </c>
      <c r="K2060" s="1">
        <f>'[1]Electricity and CHPs_NCAP'!G$41</f>
        <v>1.4266041617498001E-2</v>
      </c>
      <c r="L2060" s="1">
        <f>'[1]Electricity and CHPs_NCAP'!H$41</f>
        <v>2.13204866723751E-2</v>
      </c>
      <c r="M2060" s="1">
        <f>'[1]Electricity and CHPs_NCAP'!I$41</f>
        <v>2.7904396934492301E-2</v>
      </c>
      <c r="N2060" s="1">
        <f>'[1]Electricity and CHPs_NCAP'!J$41</f>
        <v>2.03485598585256E-2</v>
      </c>
      <c r="O2060" s="1">
        <f>'[1]Electricity and CHPs_NCAP'!K$41</f>
        <v>2.05480161888267E-2</v>
      </c>
      <c r="P2060" s="1">
        <f>'[1]Electricity and CHPs_NCAP'!L$41</f>
        <v>2.9120640528592898E-2</v>
      </c>
      <c r="Q2060" s="1">
        <f>'[1]Electricity and CHPs_NCAP'!M$41</f>
        <v>1.87787017088498E-2</v>
      </c>
      <c r="S2060" s="3"/>
    </row>
    <row r="2061" spans="2:19" x14ac:dyDescent="0.5">
      <c r="B2061" s="5" t="str">
        <f t="shared" si="2216"/>
        <v>SPS1</v>
      </c>
      <c r="C2061" s="5" t="str">
        <f t="shared" si="2213"/>
        <v>CH</v>
      </c>
      <c r="D2061" t="s">
        <v>2190</v>
      </c>
      <c r="E2061" t="str">
        <f t="shared" si="2214"/>
        <v>GWe/yr.</v>
      </c>
      <c r="F2061" s="1">
        <f t="shared" ref="F2061:K2061" si="2221">SUM(F2062:F2076)</f>
        <v>0</v>
      </c>
      <c r="G2061" s="1">
        <f t="shared" si="2221"/>
        <v>5.3544681464809257E-2</v>
      </c>
      <c r="H2061" s="1">
        <f t="shared" si="2221"/>
        <v>8.5736844107568728E-3</v>
      </c>
      <c r="I2061" s="1">
        <f t="shared" si="2221"/>
        <v>0.23726858671005815</v>
      </c>
      <c r="J2061" s="1">
        <f t="shared" si="2221"/>
        <v>0.25050639461972346</v>
      </c>
      <c r="K2061" s="1">
        <f t="shared" si="2221"/>
        <v>9.9219274507472768E-2</v>
      </c>
      <c r="L2061" s="1">
        <f t="shared" ref="L2061:O2061" si="2222">SUM(L2062:L2076)</f>
        <v>0.46412614056843726</v>
      </c>
      <c r="M2061" s="1">
        <f t="shared" si="2222"/>
        <v>0.16938056726755668</v>
      </c>
      <c r="N2061" s="1">
        <f t="shared" si="2222"/>
        <v>0.3443179970559101</v>
      </c>
      <c r="O2061" s="1">
        <f t="shared" si="2222"/>
        <v>7.8491100604007172E-2</v>
      </c>
      <c r="P2061" s="1">
        <f>SUM(P2062:P2076)</f>
        <v>0.28159656808657213</v>
      </c>
      <c r="Q2061" s="1">
        <f>SUM(Q2062:Q2076)</f>
        <v>8.5851461389008094E-2</v>
      </c>
      <c r="S2061" s="3"/>
    </row>
    <row r="2062" spans="2:19" x14ac:dyDescent="0.5">
      <c r="B2062" s="5" t="str">
        <f t="shared" si="2216"/>
        <v>SPS1</v>
      </c>
      <c r="C2062" s="5" t="str">
        <f t="shared" si="2213"/>
        <v>CH</v>
      </c>
      <c r="D2062" t="s">
        <v>2191</v>
      </c>
      <c r="E2062" t="str">
        <f t="shared" si="2214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'[1]Electricity and CHPs_NCAP'!F$21</f>
        <v>0</v>
      </c>
      <c r="K2062" s="1">
        <f>'[1]Electricity and CHPs_NCAP'!G$21</f>
        <v>5.3927411334386199E-3</v>
      </c>
      <c r="L2062" s="1">
        <f>'[1]Electricity and CHPs_NCAP'!H$21</f>
        <v>0.36430480033791901</v>
      </c>
      <c r="M2062" s="1">
        <f>'[1]Electricity and CHPs_NCAP'!I$21</f>
        <v>8.5872194597758605E-2</v>
      </c>
      <c r="N2062" s="1">
        <f>'[1]Electricity and CHPs_NCAP'!J$21</f>
        <v>0.223775106038126</v>
      </c>
      <c r="O2062" s="1">
        <f>'[1]Electricity and CHPs_NCAP'!K$21</f>
        <v>4.2051915827638797E-5</v>
      </c>
      <c r="P2062" s="1">
        <f>'[1]Electricity and CHPs_NCAP'!L$21</f>
        <v>0.128388841958299</v>
      </c>
      <c r="Q2062" s="1">
        <f>'[1]Electricity and CHPs_NCAP'!M$21</f>
        <v>0</v>
      </c>
      <c r="S2062" s="3"/>
    </row>
    <row r="2063" spans="2:19" x14ac:dyDescent="0.5">
      <c r="B2063" s="5" t="str">
        <f t="shared" si="2216"/>
        <v>SPS1</v>
      </c>
      <c r="C2063" s="5" t="str">
        <f t="shared" si="2213"/>
        <v>CH</v>
      </c>
      <c r="D2063" t="s">
        <v>2192</v>
      </c>
      <c r="E2063" t="str">
        <f t="shared" si="2214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'[1]Electricity and CHPs_NCAP'!F$22</f>
        <v>6.9372126487240005E-2</v>
      </c>
      <c r="K2063" s="1">
        <f>'[1]Electricity and CHPs_NCAP'!G$22</f>
        <v>7.4489845888375002E-6</v>
      </c>
      <c r="L2063" s="1">
        <f>'[1]Electricity and CHPs_NCAP'!H$22</f>
        <v>8.9239085806953696E-6</v>
      </c>
      <c r="M2063" s="1">
        <f>'[1]Electricity and CHPs_NCAP'!I$22</f>
        <v>4.7159453885598497E-6</v>
      </c>
      <c r="N2063" s="1">
        <f>'[1]Electricity and CHPs_NCAP'!J$22</f>
        <v>1.28384902413164E-5</v>
      </c>
      <c r="O2063" s="1">
        <f>'[1]Electricity and CHPs_NCAP'!K$22</f>
        <v>2.43335719061232E-5</v>
      </c>
      <c r="P2063" s="1">
        <f>'[1]Electricity and CHPs_NCAP'!L$22</f>
        <v>2.1690120734176602E-2</v>
      </c>
      <c r="Q2063" s="1">
        <f>'[1]Electricity and CHPs_NCAP'!M$22</f>
        <v>0</v>
      </c>
      <c r="S2063" s="3"/>
    </row>
    <row r="2064" spans="2:19" x14ac:dyDescent="0.5">
      <c r="B2064" s="5" t="str">
        <f t="shared" si="2216"/>
        <v>SPS1</v>
      </c>
      <c r="C2064" s="5" t="str">
        <f t="shared" si="2213"/>
        <v>CH</v>
      </c>
      <c r="D2064" t="s">
        <v>2193</v>
      </c>
      <c r="E2064" t="str">
        <f t="shared" si="2214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'[1]Electricity and CHPs_NCAP'!F$23</f>
        <v>0</v>
      </c>
      <c r="K2064" s="1">
        <f>'[1]Electricity and CHPs_NCAP'!G$23</f>
        <v>0</v>
      </c>
      <c r="L2064" s="1">
        <f>'[1]Electricity and CHPs_NCAP'!H$23</f>
        <v>0</v>
      </c>
      <c r="M2064" s="1">
        <f>'[1]Electricity and CHPs_NCAP'!I$23</f>
        <v>0</v>
      </c>
      <c r="N2064" s="1">
        <f>'[1]Electricity and CHPs_NCAP'!J$23</f>
        <v>0</v>
      </c>
      <c r="O2064" s="1">
        <f>'[1]Electricity and CHPs_NCAP'!K$23</f>
        <v>0</v>
      </c>
      <c r="P2064" s="1">
        <f>'[1]Electricity and CHPs_NCAP'!L$23</f>
        <v>0</v>
      </c>
      <c r="Q2064" s="1">
        <f>'[1]Electricity and CHPs_NCAP'!M$23</f>
        <v>0</v>
      </c>
      <c r="S2064" s="3"/>
    </row>
    <row r="2065" spans="2:19" x14ac:dyDescent="0.5">
      <c r="B2065" s="5" t="str">
        <f t="shared" si="2216"/>
        <v>SPS1</v>
      </c>
      <c r="C2065" s="5" t="str">
        <f t="shared" si="2213"/>
        <v>CH</v>
      </c>
      <c r="D2065" t="s">
        <v>2194</v>
      </c>
      <c r="E2065" t="str">
        <f t="shared" si="2214"/>
        <v>GWe/yr.</v>
      </c>
      <c r="F2065" s="1">
        <f>'[1]Electricity and CHPs_NCAP'!B$24</f>
        <v>0</v>
      </c>
      <c r="G2065" s="1">
        <f>'[1]Electricity and CHPs_NCAP'!C$24</f>
        <v>4.2084101575249801E-7</v>
      </c>
      <c r="H2065" s="1">
        <f>'[1]Electricity and CHPs_NCAP'!D$24</f>
        <v>1.07132135328946E-3</v>
      </c>
      <c r="I2065" s="1">
        <f>'[1]Electricity and CHPs_NCAP'!E$24</f>
        <v>4.75496715096013E-2</v>
      </c>
      <c r="J2065" s="1">
        <f>'[1]Electricity and CHPs_NCAP'!F$24</f>
        <v>1.9140209626227201E-5</v>
      </c>
      <c r="K2065" s="1">
        <f>'[1]Electricity and CHPs_NCAP'!G$24</f>
        <v>2.71416733830445E-2</v>
      </c>
      <c r="L2065" s="1">
        <f>'[1]Electricity and CHPs_NCAP'!H$24</f>
        <v>3.1546156647107597E-5</v>
      </c>
      <c r="M2065" s="1">
        <f>'[1]Electricity and CHPs_NCAP'!I$24</f>
        <v>5.2457891530642802E-6</v>
      </c>
      <c r="N2065" s="1">
        <f>'[1]Electricity and CHPs_NCAP'!J$24</f>
        <v>7.0015910503200704E-6</v>
      </c>
      <c r="O2065" s="1">
        <f>'[1]Electricity and CHPs_NCAP'!K$24</f>
        <v>1.36272079081812E-3</v>
      </c>
      <c r="P2065" s="1">
        <f>'[1]Electricity and CHPs_NCAP'!L$24</f>
        <v>8.7655687867685304E-6</v>
      </c>
      <c r="Q2065" s="1">
        <f>'[1]Electricity and CHPs_NCAP'!M$24</f>
        <v>8.2604019700809205E-5</v>
      </c>
      <c r="S2065" s="3"/>
    </row>
    <row r="2066" spans="2:19" x14ac:dyDescent="0.5">
      <c r="B2066" s="5" t="str">
        <f t="shared" si="2216"/>
        <v>SPS1</v>
      </c>
      <c r="C2066" s="5" t="str">
        <f t="shared" si="2213"/>
        <v>CH</v>
      </c>
      <c r="D2066" t="s">
        <v>2195</v>
      </c>
      <c r="E2066" t="str">
        <f t="shared" si="2214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'[1]Electricity and CHPs_NCAP'!F$29</f>
        <v>0</v>
      </c>
      <c r="K2066" s="1">
        <f>'[1]Electricity and CHPs_NCAP'!G$29</f>
        <v>1.7196328124947001E-2</v>
      </c>
      <c r="L2066" s="1">
        <f>'[1]Electricity and CHPs_NCAP'!H$29</f>
        <v>2.06543674499431E-2</v>
      </c>
      <c r="M2066" s="1">
        <f>'[1]Electricity and CHPs_NCAP'!I$29</f>
        <v>5.3417063034305999E-6</v>
      </c>
      <c r="N2066" s="1">
        <f>'[1]Electricity and CHPs_NCAP'!J$29</f>
        <v>4.83852654750534E-6</v>
      </c>
      <c r="O2066" s="1">
        <f>'[1]Electricity and CHPs_NCAP'!K$29</f>
        <v>1.30797432907235E-3</v>
      </c>
      <c r="P2066" s="1">
        <f>'[1]Electricity and CHPs_NCAP'!L$29</f>
        <v>8.1795007870041206E-6</v>
      </c>
      <c r="Q2066" s="1">
        <f>'[1]Electricity and CHPs_NCAP'!M$29</f>
        <v>9.3019692537691298E-6</v>
      </c>
      <c r="S2066" s="3"/>
    </row>
    <row r="2067" spans="2:19" x14ac:dyDescent="0.5">
      <c r="B2067" s="5" t="str">
        <f t="shared" si="2216"/>
        <v>SPS1</v>
      </c>
      <c r="C2067" s="5" t="str">
        <f t="shared" si="2213"/>
        <v>CH</v>
      </c>
      <c r="D2067" t="s">
        <v>2196</v>
      </c>
      <c r="E2067" t="str">
        <f t="shared" si="2214"/>
        <v>GWe/yr.</v>
      </c>
      <c r="F2067" s="1">
        <f>'[1]Electricity and CHPs_NCAP'!B$39</f>
        <v>0</v>
      </c>
      <c r="G2067" s="1">
        <f>'[1]Electricity and CHPs_NCAP'!C$39</f>
        <v>6.0245124236824705E-7</v>
      </c>
      <c r="H2067" s="1">
        <f>'[1]Electricity and CHPs_NCAP'!D$39</f>
        <v>2.6852075610577299E-6</v>
      </c>
      <c r="I2067" s="1">
        <f>'[1]Electricity and CHPs_NCAP'!E$39</f>
        <v>2.29190828138509E-2</v>
      </c>
      <c r="J2067" s="1">
        <f>'[1]Electricity and CHPs_NCAP'!F$39</f>
        <v>3.1988403819836102E-3</v>
      </c>
      <c r="K2067" s="1">
        <f>'[1]Electricity and CHPs_NCAP'!G$39</f>
        <v>7.6636651060944004E-6</v>
      </c>
      <c r="L2067" s="1">
        <f>'[1]Electricity and CHPs_NCAP'!H$39</f>
        <v>1.3035374721294201E-5</v>
      </c>
      <c r="M2067" s="1">
        <f>'[1]Electricity and CHPs_NCAP'!I$39</f>
        <v>6.1813813953287399E-3</v>
      </c>
      <c r="N2067" s="1">
        <f>'[1]Electricity and CHPs_NCAP'!J$39</f>
        <v>4.4934512725504296E-6</v>
      </c>
      <c r="O2067" s="1">
        <f>'[1]Electricity and CHPs_NCAP'!K$39</f>
        <v>6.1554616068978303E-5</v>
      </c>
      <c r="P2067" s="1">
        <f>'[1]Electricity and CHPs_NCAP'!L$39</f>
        <v>7.6116907439719599E-4</v>
      </c>
      <c r="Q2067" s="1">
        <f>'[1]Electricity and CHPs_NCAP'!M$39</f>
        <v>1.20276639920528E-2</v>
      </c>
      <c r="S2067" s="3"/>
    </row>
    <row r="2068" spans="2:19" x14ac:dyDescent="0.5">
      <c r="B2068" s="5" t="str">
        <f t="shared" si="2216"/>
        <v>SPS1</v>
      </c>
      <c r="C2068" s="5" t="str">
        <f t="shared" si="2213"/>
        <v>CH</v>
      </c>
      <c r="D2068" t="s">
        <v>2197</v>
      </c>
      <c r="E2068" t="str">
        <f t="shared" si="2214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'[1]Electricity and CHPs_NCAP'!F$40</f>
        <v>0</v>
      </c>
      <c r="K2068" s="1">
        <f>'[1]Electricity and CHPs_NCAP'!G$40</f>
        <v>0</v>
      </c>
      <c r="L2068" s="1">
        <f>'[1]Electricity and CHPs_NCAP'!H$40</f>
        <v>0</v>
      </c>
      <c r="M2068" s="1">
        <f>'[1]Electricity and CHPs_NCAP'!I$40</f>
        <v>0</v>
      </c>
      <c r="N2068" s="1">
        <f>'[1]Electricity and CHPs_NCAP'!J$40</f>
        <v>0</v>
      </c>
      <c r="O2068" s="1">
        <f>'[1]Electricity and CHPs_NCAP'!K$40</f>
        <v>0</v>
      </c>
      <c r="P2068" s="1">
        <f>'[1]Electricity and CHPs_NCAP'!L$40</f>
        <v>0</v>
      </c>
      <c r="Q2068" s="1">
        <f>'[1]Electricity and CHPs_NCAP'!M$40</f>
        <v>0</v>
      </c>
      <c r="S2068" s="3"/>
    </row>
    <row r="2069" spans="2:19" x14ac:dyDescent="0.5">
      <c r="B2069" s="5" t="str">
        <f t="shared" si="2216"/>
        <v>SPS1</v>
      </c>
      <c r="C2069" s="5" t="str">
        <f t="shared" si="2213"/>
        <v>CH</v>
      </c>
      <c r="D2069" t="s">
        <v>2198</v>
      </c>
      <c r="E2069" t="str">
        <f t="shared" si="2214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1.05742662686646E-4</v>
      </c>
      <c r="J2069" s="1">
        <f>'[1]Electricity and CHPs_NCAP'!F$47</f>
        <v>7.8936479800793095E-5</v>
      </c>
      <c r="K2069" s="1">
        <f>'[1]Electricity and CHPs_NCAP'!G$47</f>
        <v>7.2771067924143603E-5</v>
      </c>
      <c r="L2069" s="1">
        <f>'[1]Electricity and CHPs_NCAP'!H$47</f>
        <v>1.02727080617513E-4</v>
      </c>
      <c r="M2069" s="1">
        <f>'[1]Electricity and CHPs_NCAP'!I$47</f>
        <v>3.0457931921268902E-4</v>
      </c>
      <c r="N2069" s="1">
        <f>'[1]Electricity and CHPs_NCAP'!J$47</f>
        <v>2.3662113635884801E-6</v>
      </c>
      <c r="O2069" s="1">
        <f>'[1]Electricity and CHPs_NCAP'!K$47</f>
        <v>3.4381695382691902E-4</v>
      </c>
      <c r="P2069" s="1">
        <f>'[1]Electricity and CHPs_NCAP'!L$47</f>
        <v>2.1841179461505101E-4</v>
      </c>
      <c r="Q2069" s="1">
        <f>'[1]Electricity and CHPs_NCAP'!M$47</f>
        <v>6.5242639638683796E-4</v>
      </c>
      <c r="S2069" s="3"/>
    </row>
    <row r="2070" spans="2:19" x14ac:dyDescent="0.5">
      <c r="B2070" s="5" t="str">
        <f t="shared" si="2216"/>
        <v>SPS1</v>
      </c>
      <c r="C2070" s="5" t="str">
        <f t="shared" si="2213"/>
        <v>CH</v>
      </c>
      <c r="D2070" t="s">
        <v>2199</v>
      </c>
      <c r="E2070" t="str">
        <f t="shared" si="2214"/>
        <v>GWe/yr.</v>
      </c>
      <c r="F2070" s="1">
        <f>'[1]Electricity and CHPs_NCAP'!B$48</f>
        <v>0</v>
      </c>
      <c r="G2070" s="1">
        <f>'[1]Electricity and CHPs_NCAP'!C$48</f>
        <v>4.5510616077910329E-5</v>
      </c>
      <c r="H2070" s="1">
        <f>'[1]Electricity and CHPs_NCAP'!D$48</f>
        <v>1.156513144092008E-4</v>
      </c>
      <c r="I2070" s="1">
        <f>'[1]Electricity and CHPs_NCAP'!E$48</f>
        <v>8.0077278715492401E-7</v>
      </c>
      <c r="J2070" s="1">
        <f>'[1]Electricity and CHPs_NCAP'!F$48</f>
        <v>6.3446185868311204E-4</v>
      </c>
      <c r="K2070" s="1">
        <f>'[1]Electricity and CHPs_NCAP'!G$48</f>
        <v>3.7427012588688225E-4</v>
      </c>
      <c r="L2070" s="1">
        <f>'[1]Electricity and CHPs_NCAP'!H$48</f>
        <v>6.3415187535890202E-4</v>
      </c>
      <c r="M2070" s="1">
        <f>'[1]Electricity and CHPs_NCAP'!I$48</f>
        <v>4.4120056596743448E-4</v>
      </c>
      <c r="N2070" s="1">
        <f>'[1]Electricity and CHPs_NCAP'!J$48</f>
        <v>2.1867224650412879E-4</v>
      </c>
      <c r="O2070" s="1">
        <f>'[1]Electricity and CHPs_NCAP'!K$48</f>
        <v>6.0833994637184206E-4</v>
      </c>
      <c r="P2070" s="1">
        <f>'[1]Electricity and CHPs_NCAP'!L$48</f>
        <v>7.6370799235938982E-3</v>
      </c>
      <c r="Q2070" s="1">
        <f>'[1]Electricity and CHPs_NCAP'!M$48</f>
        <v>1.4886805914278709E-3</v>
      </c>
      <c r="S2070" s="3"/>
    </row>
    <row r="2071" spans="2:19" x14ac:dyDescent="0.5">
      <c r="B2071" s="5" t="str">
        <f t="shared" si="2216"/>
        <v>SPS1</v>
      </c>
      <c r="C2071" s="5" t="str">
        <f t="shared" si="2213"/>
        <v>CH</v>
      </c>
      <c r="D2071" t="s">
        <v>2200</v>
      </c>
      <c r="E2071" t="str">
        <f t="shared" si="2214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2.3233822450438502E-5</v>
      </c>
      <c r="J2071" s="1">
        <f>'[1]Electricity and CHPs_NCAP'!F$49</f>
        <v>6.0277147416999403E-5</v>
      </c>
      <c r="K2071" s="1">
        <f>'[1]Electricity and CHPs_NCAP'!G$49</f>
        <v>1.3489686090679969E-6</v>
      </c>
      <c r="L2071" s="1">
        <f>'[1]Electricity and CHPs_NCAP'!H$49</f>
        <v>1.2161039646273001E-5</v>
      </c>
      <c r="M2071" s="1">
        <f>'[1]Electricity and CHPs_NCAP'!I$49</f>
        <v>1.4078424977556002E-4</v>
      </c>
      <c r="N2071" s="1">
        <f>'[1]Electricity and CHPs_NCAP'!J$49</f>
        <v>1.3880898726175611E-6</v>
      </c>
      <c r="O2071" s="1">
        <f>'[1]Electricity and CHPs_NCAP'!K$49</f>
        <v>1.2482743689589689E-4</v>
      </c>
      <c r="P2071" s="1">
        <f>'[1]Electricity and CHPs_NCAP'!L$49</f>
        <v>1.7964036266461259E-6</v>
      </c>
      <c r="Q2071" s="1">
        <f>'[1]Electricity and CHPs_NCAP'!M$49</f>
        <v>3.7061015154428998E-4</v>
      </c>
      <c r="S2071" s="3"/>
    </row>
    <row r="2072" spans="2:19" x14ac:dyDescent="0.5">
      <c r="B2072" s="5" t="str">
        <f t="shared" si="2216"/>
        <v>SPS1</v>
      </c>
      <c r="C2072" s="5" t="str">
        <f t="shared" si="2213"/>
        <v>CH</v>
      </c>
      <c r="D2072" t="s">
        <v>2201</v>
      </c>
      <c r="E2072" t="str">
        <f t="shared" si="2214"/>
        <v>GWe/yr.</v>
      </c>
      <c r="F2072" s="1">
        <f>'[1]Electricity and CHPs_NCAP'!B$51</f>
        <v>0</v>
      </c>
      <c r="G2072" s="1">
        <f>'[1]Electricity and CHPs_NCAP'!C$51</f>
        <v>1.3395385646132953E-4</v>
      </c>
      <c r="H2072" s="1">
        <f>'[1]Electricity and CHPs_NCAP'!D$51</f>
        <v>8.1200214133229432E-4</v>
      </c>
      <c r="I2072" s="1">
        <f>'[1]Electricity and CHPs_NCAP'!E$51</f>
        <v>3.8906990568040298E-2</v>
      </c>
      <c r="J2072" s="1">
        <f>'[1]Electricity and CHPs_NCAP'!F$51</f>
        <v>2.2087659829035221E-3</v>
      </c>
      <c r="K2072" s="1">
        <f>'[1]Electricity and CHPs_NCAP'!G$51</f>
        <v>1.01491705996669E-2</v>
      </c>
      <c r="L2072" s="1">
        <f>'[1]Electricity and CHPs_NCAP'!H$51</f>
        <v>1.08325054090374E-2</v>
      </c>
      <c r="M2072" s="1">
        <f>'[1]Electricity and CHPs_NCAP'!I$51</f>
        <v>3.0841751292342998E-2</v>
      </c>
      <c r="N2072" s="1">
        <f>'[1]Electricity and CHPs_NCAP'!J$51</f>
        <v>1.679203988953471E-3</v>
      </c>
      <c r="O2072" s="1">
        <f>'[1]Electricity and CHPs_NCAP'!K$51</f>
        <v>6.7401712086313358E-3</v>
      </c>
      <c r="P2072" s="1">
        <f>'[1]Electricity and CHPs_NCAP'!L$51</f>
        <v>6.4036205807425925E-3</v>
      </c>
      <c r="Q2072" s="1">
        <f>'[1]Electricity and CHPs_NCAP'!M$51</f>
        <v>2.5468875191532989E-2</v>
      </c>
      <c r="S2072" s="3"/>
    </row>
    <row r="2073" spans="2:19" x14ac:dyDescent="0.5">
      <c r="B2073" s="5" t="str">
        <f t="shared" si="2216"/>
        <v>SPS1</v>
      </c>
      <c r="C2073" s="5" t="str">
        <f t="shared" si="2213"/>
        <v>CH</v>
      </c>
      <c r="D2073" t="s">
        <v>2202</v>
      </c>
      <c r="E2073" t="str">
        <f t="shared" si="2214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1.026293916758895E-4</v>
      </c>
      <c r="J2073" s="1">
        <f>'[1]Electricity and CHPs_NCAP'!F$52</f>
        <v>3.0770444738285397E-4</v>
      </c>
      <c r="K2073" s="1">
        <f>'[1]Electricity and CHPs_NCAP'!G$52</f>
        <v>1.008734986064099E-5</v>
      </c>
      <c r="L2073" s="1">
        <f>'[1]Electricity and CHPs_NCAP'!H$52</f>
        <v>8.6696555087357791E-5</v>
      </c>
      <c r="M2073" s="1">
        <f>'[1]Electricity and CHPs_NCAP'!I$52</f>
        <v>9.0034521511941099E-4</v>
      </c>
      <c r="N2073" s="1">
        <f>'[1]Electricity and CHPs_NCAP'!J$52</f>
        <v>3.5404034839423801E-5</v>
      </c>
      <c r="O2073" s="1">
        <f>'[1]Electricity and CHPs_NCAP'!K$52</f>
        <v>1.274638596109823E-3</v>
      </c>
      <c r="P2073" s="1">
        <f>'[1]Electricity and CHPs_NCAP'!L$52</f>
        <v>2.1275538869466148E-5</v>
      </c>
      <c r="Q2073" s="1">
        <f>'[1]Electricity and CHPs_NCAP'!M$52</f>
        <v>2.5981562833995902E-3</v>
      </c>
      <c r="S2073" s="3"/>
    </row>
    <row r="2074" spans="2:19" x14ac:dyDescent="0.5">
      <c r="B2074" s="5" t="str">
        <f t="shared" si="2216"/>
        <v>SPS1</v>
      </c>
      <c r="C2074" s="5" t="str">
        <f t="shared" si="2213"/>
        <v>CH</v>
      </c>
      <c r="D2074" t="s">
        <v>2203</v>
      </c>
      <c r="E2074" t="str">
        <f t="shared" si="2214"/>
        <v>GWe/yr.</v>
      </c>
      <c r="F2074" s="1">
        <f>'[1]Electricity and CHPs_NCAP'!B$54</f>
        <v>0</v>
      </c>
      <c r="G2074" s="1">
        <f>'[1]Electricity and CHPs_NCAP'!C$54</f>
        <v>2.6192110687933898E-2</v>
      </c>
      <c r="H2074" s="1">
        <f>'[1]Electricity and CHPs_NCAP'!D$54</f>
        <v>6.5684122546795396E-3</v>
      </c>
      <c r="I2074" s="1">
        <f>'[1]Electricity and CHPs_NCAP'!E$54</f>
        <v>1.2222193442826801E-2</v>
      </c>
      <c r="J2074" s="1">
        <f>'[1]Electricity and CHPs_NCAP'!F$54</f>
        <v>4.4083437756244799E-2</v>
      </c>
      <c r="K2074" s="1">
        <f>'[1]Electricity and CHPs_NCAP'!G$54</f>
        <v>2.9390029914188699E-2</v>
      </c>
      <c r="L2074" s="1">
        <f>'[1]Electricity and CHPs_NCAP'!H$54</f>
        <v>1.12761586284898E-2</v>
      </c>
      <c r="M2074" s="1">
        <f>'[1]Electricity and CHPs_NCAP'!I$54</f>
        <v>4.4084497160707697E-2</v>
      </c>
      <c r="N2074" s="1">
        <f>'[1]Electricity and CHPs_NCAP'!J$54</f>
        <v>2.6367940473126301E-2</v>
      </c>
      <c r="O2074" s="1">
        <f>'[1]Electricity and CHPs_NCAP'!K$54</f>
        <v>1.4298964307201499E-2</v>
      </c>
      <c r="P2074" s="1">
        <f>'[1]Electricity and CHPs_NCAP'!L$54</f>
        <v>4.4635879576643597E-2</v>
      </c>
      <c r="Q2074" s="1">
        <f>'[1]Electricity and CHPs_NCAP'!M$54</f>
        <v>2.9634715585103701E-2</v>
      </c>
      <c r="S2074" s="3"/>
    </row>
    <row r="2075" spans="2:19" x14ac:dyDescent="0.5">
      <c r="B2075" s="5" t="str">
        <f t="shared" si="2216"/>
        <v>SPS1</v>
      </c>
      <c r="C2075" s="5" t="str">
        <f t="shared" si="2213"/>
        <v>CH</v>
      </c>
      <c r="D2075" t="s">
        <v>2204</v>
      </c>
      <c r="E2075" t="str">
        <f t="shared" si="2214"/>
        <v>GWe/yr.</v>
      </c>
      <c r="F2075" s="1">
        <f>'[1]Electricity and CHPs_NCAP'!B$55</f>
        <v>0</v>
      </c>
      <c r="G2075" s="1">
        <f>'[1]Electricity and CHPs_NCAP'!C$55</f>
        <v>2.7172083012078001E-2</v>
      </c>
      <c r="H2075" s="1">
        <f>'[1]Electricity and CHPs_NCAP'!D$55</f>
        <v>3.6121394853214499E-6</v>
      </c>
      <c r="I2075" s="1">
        <f>'[1]Electricity and CHPs_NCAP'!E$55</f>
        <v>0.115347053326747</v>
      </c>
      <c r="J2075" s="1">
        <f>'[1]Electricity and CHPs_NCAP'!F$55</f>
        <v>0.130338980490148</v>
      </c>
      <c r="K2075" s="1">
        <f>'[1]Electricity and CHPs_NCAP'!G$55</f>
        <v>9.4674264553426292E-3</v>
      </c>
      <c r="L2075" s="1">
        <f>'[1]Electricity and CHPs_NCAP'!H$55</f>
        <v>5.6164036220486498E-2</v>
      </c>
      <c r="M2075" s="1">
        <f>'[1]Electricity and CHPs_NCAP'!I$55</f>
        <v>1.3859222598451099E-4</v>
      </c>
      <c r="N2075" s="1">
        <f>'[1]Electricity and CHPs_NCAP'!J$55</f>
        <v>9.2200640047039206E-2</v>
      </c>
      <c r="O2075" s="1">
        <f>'[1]Electricity and CHPs_NCAP'!K$55</f>
        <v>5.1764627032371703E-2</v>
      </c>
      <c r="P2075" s="1">
        <f>'[1]Electricity and CHPs_NCAP'!L$55</f>
        <v>7.1669465067389401E-2</v>
      </c>
      <c r="Q2075" s="1">
        <f>'[1]Electricity and CHPs_NCAP'!M$55</f>
        <v>1.24252738737286E-2</v>
      </c>
      <c r="S2075" s="3"/>
    </row>
    <row r="2076" spans="2:19" x14ac:dyDescent="0.5">
      <c r="B2076" s="5" t="str">
        <f t="shared" si="2216"/>
        <v>SPS1</v>
      </c>
      <c r="C2076" s="5" t="str">
        <f t="shared" si="2213"/>
        <v>CH</v>
      </c>
      <c r="D2076" t="s">
        <v>2205</v>
      </c>
      <c r="E2076" t="str">
        <f t="shared" si="2214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9.1188399391736001E-5</v>
      </c>
      <c r="J2076" s="1">
        <f>'[1]Electricity and CHPs_NCAP'!F$58</f>
        <v>2.0372337829352999E-4</v>
      </c>
      <c r="K2076" s="1">
        <f>'[1]Electricity and CHPs_NCAP'!G$58</f>
        <v>8.3147348687594201E-6</v>
      </c>
      <c r="L2076" s="1">
        <f>'[1]Electricity and CHPs_NCAP'!H$58</f>
        <v>5.0305319022138896E-6</v>
      </c>
      <c r="M2076" s="1">
        <f>'[1]Electricity and CHPs_NCAP'!I$58</f>
        <v>4.59937804514014E-4</v>
      </c>
      <c r="N2076" s="1">
        <f>'[1]Electricity and CHPs_NCAP'!J$58</f>
        <v>8.1038669736511294E-6</v>
      </c>
      <c r="O2076" s="1">
        <f>'[1]Electricity and CHPs_NCAP'!K$58</f>
        <v>5.3707989890494699E-4</v>
      </c>
      <c r="P2076" s="1">
        <f>'[1]Electricity and CHPs_NCAP'!L$58</f>
        <v>1.5196236464490599E-4</v>
      </c>
      <c r="Q2076" s="1">
        <f>'[1]Electricity and CHPs_NCAP'!M$58</f>
        <v>1.09315333487683E-3</v>
      </c>
      <c r="S2076" s="3"/>
    </row>
    <row r="2077" spans="2:19" x14ac:dyDescent="0.5">
      <c r="B2077" s="5" t="str">
        <f t="shared" si="2216"/>
        <v>SPS1</v>
      </c>
      <c r="C2077" s="5" t="str">
        <f t="shared" si="2213"/>
        <v>CH</v>
      </c>
      <c r="D2077" t="s">
        <v>2206</v>
      </c>
      <c r="E2077" t="str">
        <f t="shared" si="2214"/>
        <v>GWe/yr.</v>
      </c>
      <c r="F2077" s="1">
        <f t="shared" ref="F2077:K2077" si="2223">SUM(F2078:F2083)</f>
        <v>0</v>
      </c>
      <c r="G2077" s="1">
        <f t="shared" si="2223"/>
        <v>4.8750433519510297E-7</v>
      </c>
      <c r="H2077" s="1">
        <f t="shared" si="2223"/>
        <v>7.7781427031034195E-7</v>
      </c>
      <c r="I2077" s="1">
        <f t="shared" si="2223"/>
        <v>6.3246773940170684E-2</v>
      </c>
      <c r="J2077" s="1">
        <f t="shared" si="2223"/>
        <v>0.10755587857739873</v>
      </c>
      <c r="K2077" s="1">
        <f t="shared" si="2223"/>
        <v>5.0681971789732647E-2</v>
      </c>
      <c r="L2077" s="1">
        <f t="shared" ref="L2077:O2077" si="2224">SUM(L2078:L2083)</f>
        <v>8.41129572157501E-2</v>
      </c>
      <c r="M2077" s="1">
        <f t="shared" si="2224"/>
        <v>7.2762820070965198E-2</v>
      </c>
      <c r="N2077" s="1">
        <f t="shared" si="2224"/>
        <v>2.1783040244461597E-2</v>
      </c>
      <c r="O2077" s="1">
        <f t="shared" si="2224"/>
        <v>4.6286675006099995E-2</v>
      </c>
      <c r="P2077" s="1">
        <f>SUM(P2078:P2083)</f>
        <v>0.10504781792625968</v>
      </c>
      <c r="Q2077" s="1">
        <f>SUM(Q2078:Q2083)</f>
        <v>6.6808374811203539E-2</v>
      </c>
      <c r="S2077" s="3"/>
    </row>
    <row r="2078" spans="2:19" x14ac:dyDescent="0.5">
      <c r="B2078" s="5" t="str">
        <f t="shared" si="2216"/>
        <v>SPS1</v>
      </c>
      <c r="C2078" s="5" t="str">
        <f t="shared" si="2213"/>
        <v>CH</v>
      </c>
      <c r="D2078" t="s">
        <v>2207</v>
      </c>
      <c r="E2078" t="str">
        <f t="shared" si="2214"/>
        <v>GWe/yr.</v>
      </c>
      <c r="F2078" s="1">
        <f>'[1]Electricity and CHPs_NCAP'!B$19</f>
        <v>0</v>
      </c>
      <c r="G2078" s="1">
        <f>'[1]Electricity and CHPs_NCAP'!C$19</f>
        <v>1.9874017917066301E-7</v>
      </c>
      <c r="H2078" s="1">
        <f>'[1]Electricity and CHPs_NCAP'!D$19</f>
        <v>4.5523063355781201E-7</v>
      </c>
      <c r="I2078" s="1">
        <f>'[1]Electricity and CHPs_NCAP'!E$19</f>
        <v>6.2421247226905903E-2</v>
      </c>
      <c r="J2078" s="1">
        <f>'[1]Electricity and CHPs_NCAP'!F$19</f>
        <v>9.6168696317859903E-2</v>
      </c>
      <c r="K2078" s="1">
        <f>'[1]Electricity and CHPs_NCAP'!G$19</f>
        <v>3.0523081489506099E-2</v>
      </c>
      <c r="L2078" s="1">
        <f>'[1]Electricity and CHPs_NCAP'!H$19</f>
        <v>7.8070308023030097E-2</v>
      </c>
      <c r="M2078" s="1">
        <f>'[1]Electricity and CHPs_NCAP'!I$19</f>
        <v>2.77575104989084E-2</v>
      </c>
      <c r="N2078" s="1">
        <f>'[1]Electricity and CHPs_NCAP'!J$19</f>
        <v>2.1495028537352301E-2</v>
      </c>
      <c r="O2078" s="1">
        <f>'[1]Electricity and CHPs_NCAP'!K$19</f>
        <v>4.5679342959401903E-2</v>
      </c>
      <c r="P2078" s="1">
        <f>'[1]Electricity and CHPs_NCAP'!L$19</f>
        <v>9.2523379601669398E-2</v>
      </c>
      <c r="Q2078" s="1">
        <f>'[1]Electricity and CHPs_NCAP'!M$19</f>
        <v>4.7784930093472802E-2</v>
      </c>
      <c r="S2078" s="3"/>
    </row>
    <row r="2079" spans="2:19" x14ac:dyDescent="0.5">
      <c r="B2079" s="5" t="str">
        <f t="shared" si="2216"/>
        <v>SPS1</v>
      </c>
      <c r="C2079" s="5" t="str">
        <f t="shared" si="2213"/>
        <v>CH</v>
      </c>
      <c r="D2079" t="s">
        <v>2208</v>
      </c>
      <c r="E2079" t="str">
        <f t="shared" si="2214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'[1]Electricity and CHPs_NCAP'!F$20</f>
        <v>0</v>
      </c>
      <c r="K2079" s="1">
        <f>'[1]Electricity and CHPs_NCAP'!G$20</f>
        <v>0</v>
      </c>
      <c r="L2079" s="1">
        <f>'[1]Electricity and CHPs_NCAP'!H$20</f>
        <v>0</v>
      </c>
      <c r="M2079" s="1">
        <f>'[1]Electricity and CHPs_NCAP'!I$20</f>
        <v>0</v>
      </c>
      <c r="N2079" s="1">
        <f>'[1]Electricity and CHPs_NCAP'!J$20</f>
        <v>0</v>
      </c>
      <c r="O2079" s="1">
        <f>'[1]Electricity and CHPs_NCAP'!K$20</f>
        <v>0</v>
      </c>
      <c r="P2079" s="1">
        <f>'[1]Electricity and CHPs_NCAP'!L$20</f>
        <v>0</v>
      </c>
      <c r="Q2079" s="1">
        <f>'[1]Electricity and CHPs_NCAP'!M$20</f>
        <v>0</v>
      </c>
      <c r="S2079" s="3"/>
    </row>
    <row r="2080" spans="2:19" x14ac:dyDescent="0.5">
      <c r="B2080" s="5" t="str">
        <f t="shared" si="2216"/>
        <v>SPS1</v>
      </c>
      <c r="C2080" s="5" t="str">
        <f t="shared" si="2213"/>
        <v>CH</v>
      </c>
      <c r="D2080" t="s">
        <v>2209</v>
      </c>
      <c r="E2080" t="str">
        <f t="shared" si="2214"/>
        <v>GWe/yr.</v>
      </c>
      <c r="F2080" s="1">
        <f>'[1]Electricity and CHPs_NCAP'!B$26</f>
        <v>0</v>
      </c>
      <c r="G2080" s="1">
        <f>'[1]Electricity and CHPs_NCAP'!C$26</f>
        <v>1.2068275025070999E-7</v>
      </c>
      <c r="H2080" s="1">
        <f>'[1]Electricity and CHPs_NCAP'!D$26</f>
        <v>1.5620222183165299E-7</v>
      </c>
      <c r="I2080" s="1">
        <f>'[1]Electricity and CHPs_NCAP'!E$26</f>
        <v>5.3223858198113398E-7</v>
      </c>
      <c r="J2080" s="1">
        <f>'[1]Electricity and CHPs_NCAP'!F$26</f>
        <v>5.66071823793746E-3</v>
      </c>
      <c r="K2080" s="1">
        <f>'[1]Electricity and CHPs_NCAP'!G$26</f>
        <v>1.8956362620595801E-2</v>
      </c>
      <c r="L2080" s="1">
        <f>'[1]Electricity and CHPs_NCAP'!H$26</f>
        <v>6.0405620990263602E-3</v>
      </c>
      <c r="M2080" s="1">
        <f>'[1]Electricity and CHPs_NCAP'!I$26</f>
        <v>3.9635580250825399E-2</v>
      </c>
      <c r="N2080" s="1">
        <f>'[1]Electricity and CHPs_NCAP'!J$26</f>
        <v>8.8764062342728996E-7</v>
      </c>
      <c r="O2080" s="1">
        <f>'[1]Electricity and CHPs_NCAP'!K$26</f>
        <v>2.2344358946342999E-6</v>
      </c>
      <c r="P2080" s="1">
        <f>'[1]Electricity and CHPs_NCAP'!L$26</f>
        <v>7.6243642586577096E-3</v>
      </c>
      <c r="Q2080" s="1">
        <f>'[1]Electricity and CHPs_NCAP'!M$26</f>
        <v>1.6991590427918299E-2</v>
      </c>
      <c r="S2080" s="3"/>
    </row>
    <row r="2081" spans="2:19" x14ac:dyDescent="0.5">
      <c r="B2081" s="5" t="str">
        <f t="shared" si="2216"/>
        <v>SPS1</v>
      </c>
      <c r="C2081" s="5" t="str">
        <f t="shared" si="2213"/>
        <v>CH</v>
      </c>
      <c r="D2081" t="s">
        <v>2210</v>
      </c>
      <c r="E2081" t="str">
        <f t="shared" si="2214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'[1]Electricity and CHPs_NCAP'!F$27</f>
        <v>0</v>
      </c>
      <c r="K2081" s="1">
        <f>'[1]Electricity and CHPs_NCAP'!G$27</f>
        <v>0</v>
      </c>
      <c r="L2081" s="1">
        <f>'[1]Electricity and CHPs_NCAP'!H$27</f>
        <v>0</v>
      </c>
      <c r="M2081" s="1">
        <f>'[1]Electricity and CHPs_NCAP'!I$27</f>
        <v>0</v>
      </c>
      <c r="N2081" s="1">
        <f>'[1]Electricity and CHPs_NCAP'!J$27</f>
        <v>0</v>
      </c>
      <c r="O2081" s="1">
        <f>'[1]Electricity and CHPs_NCAP'!K$27</f>
        <v>0</v>
      </c>
      <c r="P2081" s="1">
        <f>'[1]Electricity and CHPs_NCAP'!L$27</f>
        <v>0</v>
      </c>
      <c r="Q2081" s="1">
        <f>'[1]Electricity and CHPs_NCAP'!M$27</f>
        <v>0</v>
      </c>
      <c r="S2081" s="3"/>
    </row>
    <row r="2082" spans="2:19" x14ac:dyDescent="0.5">
      <c r="B2082" s="5" t="str">
        <f t="shared" si="2216"/>
        <v>SPS1</v>
      </c>
      <c r="C2082" s="5" t="str">
        <f t="shared" si="2213"/>
        <v>CH</v>
      </c>
      <c r="D2082" t="s">
        <v>2211</v>
      </c>
      <c r="E2082" t="str">
        <f t="shared" si="2214"/>
        <v>GWe/yr.</v>
      </c>
      <c r="F2082" s="1">
        <f>'[1]Electricity and CHPs_NCAP'!B$44</f>
        <v>0</v>
      </c>
      <c r="G2082" s="1">
        <f>'[1]Electricity and CHPs_NCAP'!C$44</f>
        <v>1.6808140577373E-7</v>
      </c>
      <c r="H2082" s="1">
        <f>'[1]Electricity and CHPs_NCAP'!D$44</f>
        <v>1.6638141492087699E-7</v>
      </c>
      <c r="I2082" s="1">
        <f>'[1]Electricity and CHPs_NCAP'!E$44</f>
        <v>8.2499447468280598E-4</v>
      </c>
      <c r="J2082" s="1">
        <f>'[1]Electricity and CHPs_NCAP'!F$44</f>
        <v>5.7264640216013697E-3</v>
      </c>
      <c r="K2082" s="1">
        <f>'[1]Electricity and CHPs_NCAP'!G$44</f>
        <v>1.20252767963075E-3</v>
      </c>
      <c r="L2082" s="1">
        <f>'[1]Electricity and CHPs_NCAP'!H$44</f>
        <v>2.08709369364865E-6</v>
      </c>
      <c r="M2082" s="1">
        <f>'[1]Electricity and CHPs_NCAP'!I$44</f>
        <v>5.3697293212314097E-3</v>
      </c>
      <c r="N2082" s="1">
        <f>'[1]Electricity and CHPs_NCAP'!J$44</f>
        <v>2.8712406648586801E-4</v>
      </c>
      <c r="O2082" s="1">
        <f>'[1]Electricity and CHPs_NCAP'!K$44</f>
        <v>6.0509761080345704E-4</v>
      </c>
      <c r="P2082" s="1">
        <f>'[1]Electricity and CHPs_NCAP'!L$44</f>
        <v>4.9000740659325701E-3</v>
      </c>
      <c r="Q2082" s="1">
        <f>'[1]Electricity and CHPs_NCAP'!M$44</f>
        <v>2.0318542898124401E-3</v>
      </c>
      <c r="S2082" s="3"/>
    </row>
    <row r="2083" spans="2:19" x14ac:dyDescent="0.5">
      <c r="B2083" s="5" t="str">
        <f t="shared" si="2216"/>
        <v>SPS1</v>
      </c>
      <c r="C2083" s="5" t="str">
        <f t="shared" si="2213"/>
        <v>CH</v>
      </c>
      <c r="D2083" t="s">
        <v>2212</v>
      </c>
      <c r="E2083" t="str">
        <f t="shared" ref="E2083:E2113" si="2225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'[1]Electricity and CHPs_NCAP'!F$45</f>
        <v>0</v>
      </c>
      <c r="K2083" s="1">
        <f>'[1]Electricity and CHPs_NCAP'!G$45</f>
        <v>0</v>
      </c>
      <c r="L2083" s="1">
        <f>'[1]Electricity and CHPs_NCAP'!H$45</f>
        <v>0</v>
      </c>
      <c r="M2083" s="1">
        <f>'[1]Electricity and CHPs_NCAP'!I$45</f>
        <v>0</v>
      </c>
      <c r="N2083" s="1">
        <f>'[1]Electricity and CHPs_NCAP'!J$45</f>
        <v>0</v>
      </c>
      <c r="O2083" s="1">
        <f>'[1]Electricity and CHPs_NCAP'!K$45</f>
        <v>0</v>
      </c>
      <c r="P2083" s="1">
        <f>'[1]Electricity and CHPs_NCAP'!L$45</f>
        <v>0</v>
      </c>
      <c r="Q2083" s="1">
        <f>'[1]Electricity and CHPs_NCAP'!M$45</f>
        <v>0</v>
      </c>
      <c r="S2083" s="3"/>
    </row>
    <row r="2084" spans="2:19" x14ac:dyDescent="0.5">
      <c r="B2084" s="5" t="str">
        <f t="shared" si="2216"/>
        <v>SPS1</v>
      </c>
      <c r="C2084" s="5" t="str">
        <f t="shared" si="2213"/>
        <v>CH</v>
      </c>
      <c r="D2084" t="s">
        <v>2213</v>
      </c>
      <c r="E2084" t="str">
        <f t="shared" si="2225"/>
        <v>GWe/yr.</v>
      </c>
      <c r="F2084" s="1">
        <f t="shared" ref="F2084:K2084" si="2226">SUM(F2085:F2091)</f>
        <v>0</v>
      </c>
      <c r="G2084" s="1">
        <f t="shared" si="2226"/>
        <v>1.7607687811335947E-2</v>
      </c>
      <c r="H2084" s="1">
        <f t="shared" si="2226"/>
        <v>2.3743369399415966E-2</v>
      </c>
      <c r="I2084" s="1">
        <f t="shared" si="2226"/>
        <v>6.4017454178737665E-2</v>
      </c>
      <c r="J2084" s="1">
        <f t="shared" si="2226"/>
        <v>3.960215325262445E-2</v>
      </c>
      <c r="K2084" s="1">
        <f t="shared" si="2226"/>
        <v>6.7166649084205943E-2</v>
      </c>
      <c r="L2084" s="1">
        <f t="shared" ref="L2084:O2084" si="2227">SUM(L2085:L2091)</f>
        <v>7.6210878306304339E-2</v>
      </c>
      <c r="M2084" s="1">
        <f t="shared" si="2227"/>
        <v>7.9289493417794857E-2</v>
      </c>
      <c r="N2084" s="1">
        <f t="shared" si="2227"/>
        <v>7.5342917912363166E-2</v>
      </c>
      <c r="O2084" s="1">
        <f t="shared" si="2227"/>
        <v>8.9216617199132486E-2</v>
      </c>
      <c r="P2084" s="1">
        <f>SUM(P2085:P2091)</f>
        <v>8.8834675786515077E-2</v>
      </c>
      <c r="Q2084" s="1">
        <f>SUM(Q2085:Q2091)</f>
        <v>6.6508187041500744E-2</v>
      </c>
      <c r="S2084" s="3"/>
    </row>
    <row r="2085" spans="2:19" x14ac:dyDescent="0.5">
      <c r="B2085" s="5" t="str">
        <f t="shared" si="2216"/>
        <v>SPS1</v>
      </c>
      <c r="C2085" s="5" t="str">
        <f t="shared" si="2213"/>
        <v>CH</v>
      </c>
      <c r="D2085" t="s">
        <v>2214</v>
      </c>
      <c r="E2085" t="str">
        <f t="shared" si="2225"/>
        <v>GWe/yr.</v>
      </c>
      <c r="F2085" s="1">
        <f>'[1]Electricity and CHPs_NCAP'!B$25</f>
        <v>0</v>
      </c>
      <c r="G2085" s="1">
        <f>'[1]Electricity and CHPs_NCAP'!C$25</f>
        <v>1.4116145544802901E-7</v>
      </c>
      <c r="H2085" s="1">
        <f>'[1]Electricity and CHPs_NCAP'!D$25</f>
        <v>2.84700873989867E-4</v>
      </c>
      <c r="I2085" s="1">
        <f>'[1]Electricity and CHPs_NCAP'!E$25</f>
        <v>3.0370711787452501E-2</v>
      </c>
      <c r="J2085" s="1">
        <f>'[1]Electricity and CHPs_NCAP'!F$25</f>
        <v>1.1118455877983701E-2</v>
      </c>
      <c r="K2085" s="1">
        <f>'[1]Electricity and CHPs_NCAP'!G$25</f>
        <v>1.44026415049278E-2</v>
      </c>
      <c r="L2085" s="1">
        <f>'[1]Electricity and CHPs_NCAP'!H$25</f>
        <v>5.5677453876885896E-4</v>
      </c>
      <c r="M2085" s="1">
        <f>'[1]Electricity and CHPs_NCAP'!I$25</f>
        <v>3.6435066480567998E-6</v>
      </c>
      <c r="N2085" s="1">
        <f>'[1]Electricity and CHPs_NCAP'!J$25</f>
        <v>4.8593524548091004E-6</v>
      </c>
      <c r="O2085" s="1">
        <f>'[1]Electricity and CHPs_NCAP'!K$25</f>
        <v>1.5120078128650599E-2</v>
      </c>
      <c r="P2085" s="1">
        <f>'[1]Electricity and CHPs_NCAP'!L$25</f>
        <v>1.52226605810872E-5</v>
      </c>
      <c r="Q2085" s="1">
        <f>'[1]Electricity and CHPs_NCAP'!M$25</f>
        <v>8.1341323183094604E-6</v>
      </c>
      <c r="S2085" s="3"/>
    </row>
    <row r="2086" spans="2:19" x14ac:dyDescent="0.5">
      <c r="B2086" s="5" t="str">
        <f t="shared" si="2216"/>
        <v>SPS1</v>
      </c>
      <c r="C2086" s="5" t="str">
        <f t="shared" si="2213"/>
        <v>CH</v>
      </c>
      <c r="D2086" t="s">
        <v>2215</v>
      </c>
      <c r="E2086" t="str">
        <f t="shared" si="2225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'[1]Electricity and CHPs_NCAP'!F$31</f>
        <v>0</v>
      </c>
      <c r="K2086" s="1">
        <f>'[1]Electricity and CHPs_NCAP'!G$31</f>
        <v>0</v>
      </c>
      <c r="L2086" s="1">
        <f>'[1]Electricity and CHPs_NCAP'!H$31</f>
        <v>0</v>
      </c>
      <c r="M2086" s="1">
        <f>'[1]Electricity and CHPs_NCAP'!I$31</f>
        <v>0</v>
      </c>
      <c r="N2086" s="1">
        <f>'[1]Electricity and CHPs_NCAP'!J$31</f>
        <v>0</v>
      </c>
      <c r="O2086" s="1">
        <f>'[1]Electricity and CHPs_NCAP'!K$31</f>
        <v>0</v>
      </c>
      <c r="P2086" s="1">
        <f>'[1]Electricity and CHPs_NCAP'!L$31</f>
        <v>0</v>
      </c>
      <c r="Q2086" s="1">
        <f>'[1]Electricity and CHPs_NCAP'!M$31</f>
        <v>0</v>
      </c>
      <c r="S2086" s="3"/>
    </row>
    <row r="2087" spans="2:19" x14ac:dyDescent="0.5">
      <c r="B2087" s="5" t="str">
        <f t="shared" si="2216"/>
        <v>SPS1</v>
      </c>
      <c r="C2087" s="5" t="str">
        <f t="shared" si="2213"/>
        <v>CH</v>
      </c>
      <c r="D2087" t="s">
        <v>2216</v>
      </c>
      <c r="E2087" t="str">
        <f t="shared" si="2225"/>
        <v>GWe/yr.</v>
      </c>
      <c r="F2087" s="1">
        <f>'[1]Electricity and CHPs_NCAP'!B$42</f>
        <v>0</v>
      </c>
      <c r="G2087" s="1">
        <f>'[1]Electricity and CHPs_NCAP'!C$42</f>
        <v>1.7607546649880498E-2</v>
      </c>
      <c r="H2087" s="1">
        <f>'[1]Electricity and CHPs_NCAP'!D$42</f>
        <v>2.34586685254261E-2</v>
      </c>
      <c r="I2087" s="1">
        <f>'[1]Electricity and CHPs_NCAP'!E$42</f>
        <v>3.3009901602845303E-2</v>
      </c>
      <c r="J2087" s="1">
        <f>'[1]Electricity and CHPs_NCAP'!F$42</f>
        <v>2.8272882606083401E-2</v>
      </c>
      <c r="K2087" s="1">
        <f>'[1]Electricity and CHPs_NCAP'!G$42</f>
        <v>5.2708800227085698E-2</v>
      </c>
      <c r="L2087" s="1">
        <f>'[1]Electricity and CHPs_NCAP'!H$42</f>
        <v>7.5097177428036399E-2</v>
      </c>
      <c r="M2087" s="1">
        <f>'[1]Electricity and CHPs_NCAP'!I$42</f>
        <v>7.7956758657070496E-2</v>
      </c>
      <c r="N2087" s="1">
        <f>'[1]Electricity and CHPs_NCAP'!J$42</f>
        <v>7.5331454694603006E-2</v>
      </c>
      <c r="O2087" s="1">
        <f>'[1]Electricity and CHPs_NCAP'!K$42</f>
        <v>7.3433017793488306E-2</v>
      </c>
      <c r="P2087" s="1">
        <f>'[1]Electricity and CHPs_NCAP'!L$42</f>
        <v>8.8034695641145203E-2</v>
      </c>
      <c r="Q2087" s="1">
        <f>'[1]Electricity and CHPs_NCAP'!M$42</f>
        <v>6.4600307619886305E-2</v>
      </c>
      <c r="S2087" s="3"/>
    </row>
    <row r="2088" spans="2:19" x14ac:dyDescent="0.5">
      <c r="B2088" s="5" t="str">
        <f t="shared" si="2216"/>
        <v>SPS1</v>
      </c>
      <c r="C2088" s="5" t="str">
        <f t="shared" si="2213"/>
        <v>CH</v>
      </c>
      <c r="D2088" t="s">
        <v>2217</v>
      </c>
      <c r="E2088" t="str">
        <f t="shared" si="2225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'[1]Electricity and CHPs_NCAP'!F$43</f>
        <v>0</v>
      </c>
      <c r="K2088" s="1">
        <f>'[1]Electricity and CHPs_NCAP'!G$43</f>
        <v>0</v>
      </c>
      <c r="L2088" s="1">
        <f>'[1]Electricity and CHPs_NCAP'!H$43</f>
        <v>0</v>
      </c>
      <c r="M2088" s="1">
        <f>'[1]Electricity and CHPs_NCAP'!I$43</f>
        <v>0</v>
      </c>
      <c r="N2088" s="1">
        <f>'[1]Electricity and CHPs_NCAP'!J$43</f>
        <v>0</v>
      </c>
      <c r="O2088" s="1">
        <f>'[1]Electricity and CHPs_NCAP'!K$43</f>
        <v>0</v>
      </c>
      <c r="P2088" s="1">
        <f>'[1]Electricity and CHPs_NCAP'!L$43</f>
        <v>0</v>
      </c>
      <c r="Q2088" s="1">
        <f>'[1]Electricity and CHPs_NCAP'!M$43</f>
        <v>0</v>
      </c>
      <c r="S2088" s="3"/>
    </row>
    <row r="2089" spans="2:19" x14ac:dyDescent="0.5">
      <c r="B2089" s="5" t="str">
        <f t="shared" si="2216"/>
        <v>SPS1</v>
      </c>
      <c r="C2089" s="5" t="str">
        <f t="shared" si="2213"/>
        <v>CH</v>
      </c>
      <c r="D2089" t="s">
        <v>2218</v>
      </c>
      <c r="E2089" t="str">
        <f t="shared" si="2225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1.200955133890057E-4</v>
      </c>
      <c r="J2089" s="1">
        <f>'[1]Electricity and CHPs_NCAP'!F$50</f>
        <v>1.240282081454143E-4</v>
      </c>
      <c r="K2089" s="1">
        <f>'[1]Electricity and CHPs_NCAP'!G$50</f>
        <v>2.71505896691281E-5</v>
      </c>
      <c r="L2089" s="1">
        <f>'[1]Electricity and CHPs_NCAP'!H$50</f>
        <v>9.4330378289213891E-5</v>
      </c>
      <c r="M2089" s="1">
        <f>'[1]Electricity and CHPs_NCAP'!I$50</f>
        <v>4.5262401662829802E-4</v>
      </c>
      <c r="N2089" s="1">
        <f>'[1]Electricity and CHPs_NCAP'!J$50</f>
        <v>1.7088976228415149E-6</v>
      </c>
      <c r="O2089" s="1">
        <f>'[1]Electricity and CHPs_NCAP'!K$50</f>
        <v>2.3257756946191158E-4</v>
      </c>
      <c r="P2089" s="1">
        <f>'[1]Electricity and CHPs_NCAP'!L$50</f>
        <v>1.2920519033176949E-4</v>
      </c>
      <c r="Q2089" s="1">
        <f>'[1]Electricity and CHPs_NCAP'!M$50</f>
        <v>4.6288933570274302E-4</v>
      </c>
      <c r="S2089" s="3"/>
    </row>
    <row r="2090" spans="2:19" x14ac:dyDescent="0.5">
      <c r="B2090" s="5" t="str">
        <f t="shared" si="2216"/>
        <v>SPS1</v>
      </c>
      <c r="C2090" s="5" t="str">
        <f t="shared" si="2213"/>
        <v>CH</v>
      </c>
      <c r="D2090" t="s">
        <v>2219</v>
      </c>
      <c r="E2090" t="str">
        <f t="shared" si="2225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2.7876116400435701E-4</v>
      </c>
      <c r="J2090" s="1">
        <f>'[1]Electricity and CHPs_NCAP'!F$53</f>
        <v>8.4288163924580795E-5</v>
      </c>
      <c r="K2090" s="1">
        <f>'[1]Electricity and CHPs_NCAP'!G$53</f>
        <v>1.712444679241873E-5</v>
      </c>
      <c r="L2090" s="1">
        <f>'[1]Electricity and CHPs_NCAP'!H$53</f>
        <v>2.3669547254048898E-4</v>
      </c>
      <c r="M2090" s="1">
        <f>'[1]Electricity and CHPs_NCAP'!I$53</f>
        <v>6.75489593413071E-4</v>
      </c>
      <c r="N2090" s="1">
        <f>'[1]Electricity and CHPs_NCAP'!J$53</f>
        <v>3.4480443607133998E-6</v>
      </c>
      <c r="O2090" s="1">
        <f>'[1]Electricity and CHPs_NCAP'!K$53</f>
        <v>9.3255894051534507E-5</v>
      </c>
      <c r="P2090" s="1">
        <f>'[1]Electricity and CHPs_NCAP'!L$53</f>
        <v>5.1437497629892295E-4</v>
      </c>
      <c r="Q2090" s="1">
        <f>'[1]Electricity and CHPs_NCAP'!M$53</f>
        <v>7.87713214354897E-4</v>
      </c>
      <c r="S2090" s="3"/>
    </row>
    <row r="2091" spans="2:19" x14ac:dyDescent="0.5">
      <c r="B2091" s="5" t="str">
        <f t="shared" si="2216"/>
        <v>SPS1</v>
      </c>
      <c r="C2091" s="5" t="str">
        <f t="shared" si="2213"/>
        <v>CH</v>
      </c>
      <c r="D2091" t="s">
        <v>2220</v>
      </c>
      <c r="E2091" t="str">
        <f t="shared" si="2225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2.37984111046505E-4</v>
      </c>
      <c r="J2091" s="1">
        <f>'[1]Electricity and CHPs_NCAP'!F$56</f>
        <v>2.4983964873467001E-6</v>
      </c>
      <c r="K2091" s="1">
        <f>'[1]Electricity and CHPs_NCAP'!G$56</f>
        <v>1.0932315730905601E-5</v>
      </c>
      <c r="L2091" s="1">
        <f>'[1]Electricity and CHPs_NCAP'!H$56</f>
        <v>2.2590048866937701E-4</v>
      </c>
      <c r="M2091" s="1">
        <f>'[1]Electricity and CHPs_NCAP'!I$56</f>
        <v>2.0097764403494199E-4</v>
      </c>
      <c r="N2091" s="1">
        <f>'[1]Electricity and CHPs_NCAP'!J$56</f>
        <v>1.44692332180171E-6</v>
      </c>
      <c r="O2091" s="1">
        <f>'[1]Electricity and CHPs_NCAP'!K$56</f>
        <v>3.3768781348014998E-4</v>
      </c>
      <c r="P2091" s="1">
        <f>'[1]Electricity and CHPs_NCAP'!L$56</f>
        <v>1.4117731815808601E-4</v>
      </c>
      <c r="Q2091" s="1">
        <f>'[1]Electricity and CHPs_NCAP'!M$56</f>
        <v>6.4914273923848901E-4</v>
      </c>
      <c r="S2091" s="3"/>
    </row>
    <row r="2092" spans="2:19" x14ac:dyDescent="0.5">
      <c r="B2092" s="5" t="str">
        <f t="shared" si="2216"/>
        <v>SPS1</v>
      </c>
      <c r="C2092" s="5" t="str">
        <f t="shared" si="2213"/>
        <v>CH</v>
      </c>
      <c r="D2092" t="s">
        <v>2221</v>
      </c>
      <c r="E2092" t="str">
        <f t="shared" si="2225"/>
        <v>GWe/yr.</v>
      </c>
      <c r="F2092" s="1">
        <f t="shared" ref="F2092:O2092" si="2228">F2093</f>
        <v>0</v>
      </c>
      <c r="G2092" s="1">
        <f t="shared" si="2228"/>
        <v>7.1321612502984796E-3</v>
      </c>
      <c r="H2092" s="1">
        <f t="shared" si="2228"/>
        <v>2.9903669841646E-2</v>
      </c>
      <c r="I2092" s="1">
        <f t="shared" si="2228"/>
        <v>3.4444617759498898E-2</v>
      </c>
      <c r="J2092" s="1">
        <f t="shared" si="2228"/>
        <v>2.1998175999203898E-2</v>
      </c>
      <c r="K2092" s="1">
        <f t="shared" si="2228"/>
        <v>7.9760367724484598E-7</v>
      </c>
      <c r="L2092" s="1">
        <f t="shared" si="2228"/>
        <v>3.5468239974534403E-2</v>
      </c>
      <c r="M2092" s="1">
        <f t="shared" si="2228"/>
        <v>4.50812942274905E-2</v>
      </c>
      <c r="N2092" s="1">
        <f t="shared" si="2228"/>
        <v>1.13662145685754E-2</v>
      </c>
      <c r="O2092" s="1">
        <f t="shared" si="2228"/>
        <v>4.8327501970732804E-6</v>
      </c>
      <c r="P2092" s="1">
        <f>P2093</f>
        <v>3.6079778313018701E-2</v>
      </c>
      <c r="Q2092" s="1">
        <f>Q2093</f>
        <v>0</v>
      </c>
      <c r="S2092" s="3"/>
    </row>
    <row r="2093" spans="2:19" x14ac:dyDescent="0.5">
      <c r="B2093" s="5" t="str">
        <f t="shared" si="2216"/>
        <v>SPS1</v>
      </c>
      <c r="C2093" s="5" t="str">
        <f t="shared" si="2213"/>
        <v>CH</v>
      </c>
      <c r="D2093" t="s">
        <v>2222</v>
      </c>
      <c r="E2093" t="str">
        <f t="shared" si="2225"/>
        <v>GWe/yr.</v>
      </c>
      <c r="F2093" s="1">
        <f>'[1]Electricity and CHPs_NCAP'!B$33</f>
        <v>0</v>
      </c>
      <c r="G2093" s="1">
        <f>'[1]Electricity and CHPs_NCAP'!C$33</f>
        <v>7.1321612502984796E-3</v>
      </c>
      <c r="H2093" s="1">
        <f>'[1]Electricity and CHPs_NCAP'!D$33</f>
        <v>2.9903669841646E-2</v>
      </c>
      <c r="I2093" s="1">
        <f>'[1]Electricity and CHPs_NCAP'!E$33</f>
        <v>3.4444617759498898E-2</v>
      </c>
      <c r="J2093" s="1">
        <f>'[1]Electricity and CHPs_NCAP'!F$33</f>
        <v>2.1998175999203898E-2</v>
      </c>
      <c r="K2093" s="1">
        <f>'[1]Electricity and CHPs_NCAP'!G$33</f>
        <v>7.9760367724484598E-7</v>
      </c>
      <c r="L2093" s="1">
        <f>'[1]Electricity and CHPs_NCAP'!H$33</f>
        <v>3.5468239974534403E-2</v>
      </c>
      <c r="M2093" s="1">
        <f>'[1]Electricity and CHPs_NCAP'!I$33</f>
        <v>4.50812942274905E-2</v>
      </c>
      <c r="N2093" s="1">
        <f>'[1]Electricity and CHPs_NCAP'!J$33</f>
        <v>1.13662145685754E-2</v>
      </c>
      <c r="O2093" s="1">
        <f>'[1]Electricity and CHPs_NCAP'!K$33</f>
        <v>4.8327501970732804E-6</v>
      </c>
      <c r="P2093" s="1">
        <f>'[1]Electricity and CHPs_NCAP'!L$33</f>
        <v>3.6079778313018701E-2</v>
      </c>
      <c r="Q2093" s="1">
        <f>'[1]Electricity and CHPs_NCAP'!M$33</f>
        <v>0</v>
      </c>
      <c r="S2093" s="3"/>
    </row>
    <row r="2094" spans="2:19" x14ac:dyDescent="0.5">
      <c r="B2094" s="5" t="str">
        <f t="shared" si="2216"/>
        <v>SPS1</v>
      </c>
      <c r="C2094" s="5" t="str">
        <f t="shared" si="2213"/>
        <v>CH</v>
      </c>
      <c r="D2094" t="s">
        <v>2223</v>
      </c>
      <c r="E2094" t="str">
        <f t="shared" si="2225"/>
        <v>GWe/yr.</v>
      </c>
      <c r="F2094" s="1">
        <f t="shared" ref="F2094:K2094" si="2229">SUM(F2095:F2099)</f>
        <v>0</v>
      </c>
      <c r="G2094" s="1">
        <f t="shared" si="2229"/>
        <v>2.336264161043155E-5</v>
      </c>
      <c r="H2094" s="1">
        <f t="shared" si="2229"/>
        <v>3.8566836343066058</v>
      </c>
      <c r="I2094" s="1">
        <f t="shared" si="2229"/>
        <v>4.2612604131768261</v>
      </c>
      <c r="J2094" s="1">
        <f t="shared" si="2229"/>
        <v>2.103299535807051</v>
      </c>
      <c r="K2094" s="1">
        <f t="shared" si="2229"/>
        <v>2.3582092018931293</v>
      </c>
      <c r="L2094" s="1">
        <f t="shared" ref="L2094:O2094" si="2230">SUM(L2095:L2099)</f>
        <v>6.7546406869414284</v>
      </c>
      <c r="M2094" s="1">
        <f t="shared" si="2230"/>
        <v>4.31468671293245</v>
      </c>
      <c r="N2094" s="1">
        <f t="shared" si="2230"/>
        <v>2.4422059298112884</v>
      </c>
      <c r="O2094" s="1">
        <f t="shared" si="2230"/>
        <v>3.473305842487096</v>
      </c>
      <c r="P2094" s="1">
        <f>SUM(P2095:P2099)</f>
        <v>7.6207556576266313</v>
      </c>
      <c r="Q2094" s="1">
        <f>SUM(Q2095:Q2099)</f>
        <v>5.4351494032447292</v>
      </c>
      <c r="S2094" s="3"/>
    </row>
    <row r="2095" spans="2:19" x14ac:dyDescent="0.5">
      <c r="B2095" s="5" t="str">
        <f t="shared" si="2216"/>
        <v>SPS1</v>
      </c>
      <c r="C2095" s="5" t="str">
        <f t="shared" si="2213"/>
        <v>CH</v>
      </c>
      <c r="D2095" t="s">
        <v>2224</v>
      </c>
      <c r="E2095" t="str">
        <f t="shared" si="2225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4.4925818250089497E-2</v>
      </c>
      <c r="I2095" s="1">
        <f>'[1]Electricity and CHPs_NCAP'!E$34</f>
        <v>2.3927018724182243E-2</v>
      </c>
      <c r="J2095" s="1">
        <f>'[1]Electricity and CHPs_NCAP'!F$34</f>
        <v>0.17065047432937555</v>
      </c>
      <c r="K2095" s="1">
        <f>'[1]Electricity and CHPs_NCAP'!G$34</f>
        <v>3.9607222149622297E-4</v>
      </c>
      <c r="L2095" s="1">
        <f>'[1]Electricity and CHPs_NCAP'!H$34</f>
        <v>2.8414067431387091E-4</v>
      </c>
      <c r="M2095" s="1">
        <f>'[1]Electricity and CHPs_NCAP'!I$34</f>
        <v>4.03739029624555E-5</v>
      </c>
      <c r="N2095" s="1">
        <f>'[1]Electricity and CHPs_NCAP'!J$34</f>
        <v>3.4424781903359675E-4</v>
      </c>
      <c r="O2095" s="1">
        <f>'[1]Electricity and CHPs_NCAP'!K$34</f>
        <v>1.7759392012230493E-2</v>
      </c>
      <c r="P2095" s="1">
        <f>'[1]Electricity and CHPs_NCAP'!L$34</f>
        <v>9.3354236047492496E-4</v>
      </c>
      <c r="Q2095" s="1">
        <f>'[1]Electricity and CHPs_NCAP'!M$34</f>
        <v>0.21080512987153233</v>
      </c>
      <c r="S2095" s="3"/>
    </row>
    <row r="2096" spans="2:19" x14ac:dyDescent="0.5">
      <c r="B2096" s="5" t="str">
        <f t="shared" si="2216"/>
        <v>SPS1</v>
      </c>
      <c r="C2096" s="5" t="str">
        <f t="shared" si="2213"/>
        <v>CH</v>
      </c>
      <c r="D2096" t="s">
        <v>2225</v>
      </c>
      <c r="E2096" t="str">
        <f t="shared" si="2225"/>
        <v>GWe/yr.</v>
      </c>
      <c r="F2096" s="1">
        <f>'[1]Electricity and CHPs_NCAP'!B$35</f>
        <v>0</v>
      </c>
      <c r="G2096" s="1">
        <f>'[1]Electricity and CHPs_NCAP'!C$35</f>
        <v>4.93167213532643E-8</v>
      </c>
      <c r="H2096" s="1">
        <f>'[1]Electricity and CHPs_NCAP'!D$35</f>
        <v>1.7679686917703199</v>
      </c>
      <c r="I2096" s="1">
        <f>'[1]Electricity and CHPs_NCAP'!E$35</f>
        <v>2.06862079636306E-6</v>
      </c>
      <c r="J2096" s="1">
        <f>'[1]Electricity and CHPs_NCAP'!F$35</f>
        <v>0.690526389064823</v>
      </c>
      <c r="K2096" s="1">
        <f>'[1]Electricity and CHPs_NCAP'!G$35</f>
        <v>0.80694907906412705</v>
      </c>
      <c r="L2096" s="1">
        <f>'[1]Electricity and CHPs_NCAP'!H$35</f>
        <v>2.24380038040582</v>
      </c>
      <c r="M2096" s="1">
        <f>'[1]Electricity and CHPs_NCAP'!I$35</f>
        <v>0.51996424831898702</v>
      </c>
      <c r="N2096" s="1">
        <f>'[1]Electricity and CHPs_NCAP'!J$35</f>
        <v>0.80519370497306697</v>
      </c>
      <c r="O2096" s="1">
        <f>'[1]Electricity and CHPs_NCAP'!K$35</f>
        <v>1.13810380175954</v>
      </c>
      <c r="P2096" s="1">
        <f>'[1]Electricity and CHPs_NCAP'!L$35</f>
        <v>2.4839113114795701</v>
      </c>
      <c r="Q2096" s="1">
        <f>'[1]Electricity and CHPs_NCAP'!M$35</f>
        <v>0.77233509440153902</v>
      </c>
      <c r="S2096" s="3"/>
    </row>
    <row r="2097" spans="2:19" x14ac:dyDescent="0.5">
      <c r="B2097" s="5" t="str">
        <f t="shared" si="2216"/>
        <v>SPS1</v>
      </c>
      <c r="C2097" s="5" t="str">
        <f t="shared" si="2213"/>
        <v>CH</v>
      </c>
      <c r="D2097" t="s">
        <v>2226</v>
      </c>
      <c r="E2097" t="str">
        <f t="shared" si="2225"/>
        <v>GWe/yr.</v>
      </c>
      <c r="F2097" s="1">
        <f>'[1]Electricity and CHPs_NCAP'!B$36</f>
        <v>0</v>
      </c>
      <c r="G2097" s="1">
        <f>'[1]Electricity and CHPs_NCAP'!C$36</f>
        <v>1.0868164940835136E-5</v>
      </c>
      <c r="H2097" s="1">
        <f>'[1]Electricity and CHPs_NCAP'!D$36</f>
        <v>0.79191451376474586</v>
      </c>
      <c r="I2097" s="1">
        <f>'[1]Electricity and CHPs_NCAP'!E$36</f>
        <v>2.6358079949537618</v>
      </c>
      <c r="J2097" s="1">
        <f>'[1]Electricity and CHPs_NCAP'!F$36</f>
        <v>0.46161095269527708</v>
      </c>
      <c r="K2097" s="1">
        <f>'[1]Electricity and CHPs_NCAP'!G$36</f>
        <v>0.75118267340985312</v>
      </c>
      <c r="L2097" s="1">
        <f>'[1]Electricity and CHPs_NCAP'!H$36</f>
        <v>2.28006029771747</v>
      </c>
      <c r="M2097" s="1">
        <f>'[1]Electricity and CHPs_NCAP'!I$36</f>
        <v>2.2176413173337743</v>
      </c>
      <c r="N2097" s="1">
        <f>'[1]Electricity and CHPs_NCAP'!J$36</f>
        <v>0.71230554725965989</v>
      </c>
      <c r="O2097" s="1">
        <f>'[1]Electricity and CHPs_NCAP'!K$36</f>
        <v>1.0979339156418992</v>
      </c>
      <c r="P2097" s="1">
        <f>'[1]Electricity and CHPs_NCAP'!L$36</f>
        <v>2.6018311514935872</v>
      </c>
      <c r="Q2097" s="1">
        <f>'[1]Electricity and CHPs_NCAP'!M$36</f>
        <v>2.5558701150767247</v>
      </c>
      <c r="S2097" s="3"/>
    </row>
    <row r="2098" spans="2:19" x14ac:dyDescent="0.5">
      <c r="B2098" s="5" t="str">
        <f t="shared" si="2216"/>
        <v>SPS1</v>
      </c>
      <c r="C2098" s="5" t="str">
        <f t="shared" si="2213"/>
        <v>CH</v>
      </c>
      <c r="D2098" t="s">
        <v>2227</v>
      </c>
      <c r="E2098" t="str">
        <f t="shared" si="2225"/>
        <v>GWe/yr.</v>
      </c>
      <c r="F2098" s="1">
        <f>'[1]Electricity and CHPs_NCAP'!B$37</f>
        <v>0</v>
      </c>
      <c r="G2098" s="1">
        <f>'[1]Electricity and CHPs_NCAP'!C$37</f>
        <v>1.241076521604386E-5</v>
      </c>
      <c r="H2098" s="1">
        <f>'[1]Electricity and CHPs_NCAP'!D$37</f>
        <v>1.2518275531115499</v>
      </c>
      <c r="I2098" s="1">
        <f>'[1]Electricity and CHPs_NCAP'!E$37</f>
        <v>1.6015192397815481</v>
      </c>
      <c r="J2098" s="1">
        <f>'[1]Electricity and CHPs_NCAP'!F$37</f>
        <v>0.25804598228976239</v>
      </c>
      <c r="K2098" s="1">
        <f>'[1]Electricity and CHPs_NCAP'!G$37</f>
        <v>0.3739177723782291</v>
      </c>
      <c r="L2098" s="1">
        <f>'[1]Electricity and CHPs_NCAP'!H$37</f>
        <v>1.9124587183739989</v>
      </c>
      <c r="M2098" s="1">
        <f>'[1]Electricity and CHPs_NCAP'!I$37</f>
        <v>1.512437245539201</v>
      </c>
      <c r="N2098" s="1">
        <f>'[1]Electricity and CHPs_NCAP'!J$37</f>
        <v>0.43619688180298699</v>
      </c>
      <c r="O2098" s="1">
        <f>'[1]Electricity and CHPs_NCAP'!K$37</f>
        <v>0.62020536398072801</v>
      </c>
      <c r="P2098" s="1">
        <f>'[1]Electricity and CHPs_NCAP'!L$37</f>
        <v>2.1410510200894528</v>
      </c>
      <c r="Q2098" s="1">
        <f>'[1]Electricity and CHPs_NCAP'!M$37</f>
        <v>1.7527045914769499</v>
      </c>
      <c r="S2098" s="3"/>
    </row>
    <row r="2099" spans="2:19" x14ac:dyDescent="0.5">
      <c r="B2099" s="5" t="str">
        <f t="shared" si="2216"/>
        <v>SPS1</v>
      </c>
      <c r="C2099" s="5" t="str">
        <f t="shared" si="2213"/>
        <v>CH</v>
      </c>
      <c r="D2099" t="s">
        <v>2228</v>
      </c>
      <c r="E2099" t="str">
        <f t="shared" si="2225"/>
        <v>GWe/yr.</v>
      </c>
      <c r="F2099" s="1">
        <f>'[1]Electricity and CHPs_NCAP'!B$38</f>
        <v>0</v>
      </c>
      <c r="G2099" s="1">
        <f>'[1]Electricity and CHPs_NCAP'!C$38</f>
        <v>3.4394732199287799E-8</v>
      </c>
      <c r="H2099" s="1">
        <f>'[1]Electricity and CHPs_NCAP'!D$38</f>
        <v>4.7057409900130399E-5</v>
      </c>
      <c r="I2099" s="1">
        <f>'[1]Electricity and CHPs_NCAP'!E$38</f>
        <v>4.0910965369647797E-6</v>
      </c>
      <c r="J2099" s="1">
        <f>'[1]Electricity and CHPs_NCAP'!F$38</f>
        <v>0.52246573742781299</v>
      </c>
      <c r="K2099" s="1">
        <f>'[1]Electricity and CHPs_NCAP'!G$38</f>
        <v>0.42576360481942399</v>
      </c>
      <c r="L2099" s="1">
        <f>'[1]Electricity and CHPs_NCAP'!H$38</f>
        <v>0.318037149769825</v>
      </c>
      <c r="M2099" s="1">
        <f>'[1]Electricity and CHPs_NCAP'!I$38</f>
        <v>6.4603527837525307E-2</v>
      </c>
      <c r="N2099" s="1">
        <f>'[1]Electricity and CHPs_NCAP'!J$38</f>
        <v>0.48816554795654099</v>
      </c>
      <c r="O2099" s="1">
        <f>'[1]Electricity and CHPs_NCAP'!K$38</f>
        <v>0.59930336909269799</v>
      </c>
      <c r="P2099" s="1">
        <f>'[1]Electricity and CHPs_NCAP'!L$38</f>
        <v>0.393028632203546</v>
      </c>
      <c r="Q2099" s="1">
        <f>'[1]Electricity and CHPs_NCAP'!M$38</f>
        <v>0.14343447241798299</v>
      </c>
      <c r="S2099" s="3"/>
    </row>
    <row r="2100" spans="2:19" x14ac:dyDescent="0.5">
      <c r="B2100" s="5" t="str">
        <f t="shared" si="2216"/>
        <v>SPS1</v>
      </c>
      <c r="C2100" s="5" t="str">
        <f t="shared" si="2213"/>
        <v>CH</v>
      </c>
      <c r="D2100" t="s">
        <v>2229</v>
      </c>
      <c r="E2100" t="str">
        <f t="shared" si="2225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'[1]Electricity and CHPs_NCAP'!F$32</f>
        <v>0</v>
      </c>
      <c r="K2100" s="1">
        <f>'[1]Electricity and CHPs_NCAP'!G$32</f>
        <v>1.93067839674381E-4</v>
      </c>
      <c r="L2100" s="1">
        <f>'[1]Electricity and CHPs_NCAP'!H$32</f>
        <v>1.6187941071840899E-4</v>
      </c>
      <c r="M2100" s="1">
        <f>'[1]Electricity and CHPs_NCAP'!I$32</f>
        <v>6.5253706827912996E-7</v>
      </c>
      <c r="N2100" s="1">
        <f>'[1]Electricity and CHPs_NCAP'!J$32</f>
        <v>5.5073790397034402E-5</v>
      </c>
      <c r="O2100" s="1">
        <f>'[1]Electricity and CHPs_NCAP'!K$32</f>
        <v>1.1025253766706E-6</v>
      </c>
      <c r="P2100" s="1">
        <f>'[1]Electricity and CHPs_NCAP'!L$32</f>
        <v>4.3874063861269502E-4</v>
      </c>
      <c r="Q2100" s="1">
        <f>'[1]Electricity and CHPs_NCAP'!M$32</f>
        <v>0</v>
      </c>
      <c r="S2100" s="3"/>
    </row>
    <row r="2101" spans="2:19" x14ac:dyDescent="0.5">
      <c r="B2101" s="5" t="str">
        <f t="shared" si="2216"/>
        <v>SPS1</v>
      </c>
      <c r="C2101" s="5" t="str">
        <f t="shared" si="2213"/>
        <v>CH</v>
      </c>
      <c r="D2101" t="s">
        <v>2230</v>
      </c>
      <c r="E2101" t="str">
        <f t="shared" si="2225"/>
        <v>GWe/yr.</v>
      </c>
      <c r="F2101" s="1">
        <f t="shared" ref="F2101:K2101" si="2231">F2100</f>
        <v>0</v>
      </c>
      <c r="G2101" s="1">
        <f t="shared" si="2231"/>
        <v>0</v>
      </c>
      <c r="H2101" s="1">
        <f t="shared" si="2231"/>
        <v>0</v>
      </c>
      <c r="I2101" s="1">
        <f t="shared" si="2231"/>
        <v>0</v>
      </c>
      <c r="J2101" s="1">
        <f t="shared" si="2231"/>
        <v>0</v>
      </c>
      <c r="K2101" s="1">
        <f t="shared" si="2231"/>
        <v>1.93067839674381E-4</v>
      </c>
      <c r="L2101" s="1">
        <f t="shared" ref="L2101:O2101" si="2232">L2100</f>
        <v>1.6187941071840899E-4</v>
      </c>
      <c r="M2101" s="1">
        <f t="shared" si="2232"/>
        <v>6.5253706827912996E-7</v>
      </c>
      <c r="N2101" s="1">
        <f t="shared" si="2232"/>
        <v>5.5073790397034402E-5</v>
      </c>
      <c r="O2101" s="1">
        <f t="shared" si="2232"/>
        <v>1.1025253766706E-6</v>
      </c>
      <c r="P2101" s="1">
        <f>P2100</f>
        <v>4.3874063861269502E-4</v>
      </c>
      <c r="Q2101" s="1">
        <f>Q2100</f>
        <v>0</v>
      </c>
      <c r="S2101" s="3"/>
    </row>
    <row r="2102" spans="2:19" x14ac:dyDescent="0.5">
      <c r="B2102" s="5" t="str">
        <f t="shared" si="2216"/>
        <v>SPS1</v>
      </c>
      <c r="C2102" s="5" t="str">
        <f t="shared" si="2213"/>
        <v>CH</v>
      </c>
      <c r="D2102" t="s">
        <v>2231</v>
      </c>
      <c r="E2102" t="str">
        <f t="shared" si="2225"/>
        <v>GWe/yr.</v>
      </c>
      <c r="F2102" s="1">
        <f t="shared" ref="F2102:K2102" si="2233">SUM(F2103:F2105)</f>
        <v>0</v>
      </c>
      <c r="G2102" s="1">
        <f t="shared" si="2233"/>
        <v>0</v>
      </c>
      <c r="H2102" s="1">
        <f t="shared" si="2233"/>
        <v>0</v>
      </c>
      <c r="I2102" s="1">
        <f t="shared" si="2233"/>
        <v>2.2319068760323009E-4</v>
      </c>
      <c r="J2102" s="1">
        <f t="shared" si="2233"/>
        <v>3.3742215276922699E-4</v>
      </c>
      <c r="K2102" s="1">
        <f t="shared" si="2233"/>
        <v>3.5343242923109759E-4</v>
      </c>
      <c r="L2102" s="1">
        <f t="shared" ref="L2102:O2102" si="2234">SUM(L2103:L2105)</f>
        <v>2.3057255048186611E-4</v>
      </c>
      <c r="M2102" s="1">
        <f t="shared" si="2234"/>
        <v>1.6605367422276281E-3</v>
      </c>
      <c r="N2102" s="1">
        <f t="shared" si="2234"/>
        <v>7.9611727598925297E-6</v>
      </c>
      <c r="O2102" s="1">
        <f t="shared" si="2234"/>
        <v>5.1424181090505613E-3</v>
      </c>
      <c r="P2102" s="1">
        <f>SUM(P2103:P2105)</f>
        <v>9.3281193962762405E-4</v>
      </c>
      <c r="Q2102" s="1">
        <f>SUM(Q2103:Q2105)</f>
        <v>2.9303945117775832E-3</v>
      </c>
      <c r="S2102" s="3"/>
    </row>
    <row r="2103" spans="2:19" x14ac:dyDescent="0.5">
      <c r="B2103" s="5" t="str">
        <f t="shared" si="2216"/>
        <v>SPS1</v>
      </c>
      <c r="C2103" s="5" t="str">
        <f t="shared" si="2213"/>
        <v>CH</v>
      </c>
      <c r="D2103" t="s">
        <v>2232</v>
      </c>
      <c r="E2103" t="str">
        <f t="shared" si="2225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'[1]Electricity and CHPs_NCAP'!F$30</f>
        <v>0</v>
      </c>
      <c r="K2103" s="1">
        <f>'[1]Electricity and CHPs_NCAP'!G$30</f>
        <v>1.56981165879409E-4</v>
      </c>
      <c r="L2103" s="1">
        <f>'[1]Electricity and CHPs_NCAP'!H$30</f>
        <v>2.9813582083948801E-5</v>
      </c>
      <c r="M2103" s="1">
        <f>'[1]Electricity and CHPs_NCAP'!I$30</f>
        <v>1.46620611566989E-4</v>
      </c>
      <c r="N2103" s="1">
        <f>'[1]Electricity and CHPs_NCAP'!J$30</f>
        <v>3.0650408163927901E-6</v>
      </c>
      <c r="O2103" s="1">
        <f>'[1]Electricity and CHPs_NCAP'!K$30</f>
        <v>2.0101804477078E-3</v>
      </c>
      <c r="P2103" s="1">
        <f>'[1]Electricity and CHPs_NCAP'!L$30</f>
        <v>2.3461647526956999E-5</v>
      </c>
      <c r="Q2103" s="1">
        <f>'[1]Electricity and CHPs_NCAP'!M$30</f>
        <v>4.21271396811613E-4</v>
      </c>
      <c r="S2103" s="3"/>
    </row>
    <row r="2104" spans="2:19" x14ac:dyDescent="0.5">
      <c r="B2104" s="5" t="str">
        <f t="shared" si="2216"/>
        <v>SPS1</v>
      </c>
      <c r="C2104" s="5" t="str">
        <f t="shared" si="2213"/>
        <v>CH</v>
      </c>
      <c r="D2104" t="s">
        <v>2233</v>
      </c>
      <c r="E2104" t="str">
        <f t="shared" si="2225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1.4676254139056599E-4</v>
      </c>
      <c r="J2104" s="1">
        <f>'[1]Electricity and CHPs_NCAP'!F$46</f>
        <v>2.24186176280534E-4</v>
      </c>
      <c r="K2104" s="1">
        <f>'[1]Electricity and CHPs_NCAP'!G$46</f>
        <v>1.63522918763191E-4</v>
      </c>
      <c r="L2104" s="1">
        <f>'[1]Electricity and CHPs_NCAP'!H$46</f>
        <v>1.1607375337584801E-4</v>
      </c>
      <c r="M2104" s="1">
        <f>'[1]Electricity and CHPs_NCAP'!I$46</f>
        <v>9.4427214030867604E-4</v>
      </c>
      <c r="N2104" s="1">
        <f>'[1]Electricity and CHPs_NCAP'!J$46</f>
        <v>2.4449253843777499E-6</v>
      </c>
      <c r="O2104" s="1">
        <f>'[1]Electricity and CHPs_NCAP'!K$46</f>
        <v>2.1361452901753502E-3</v>
      </c>
      <c r="P2104" s="1">
        <f>'[1]Electricity and CHPs_NCAP'!L$46</f>
        <v>8.1993531502407404E-4</v>
      </c>
      <c r="Q2104" s="1">
        <f>'[1]Electricity and CHPs_NCAP'!M$46</f>
        <v>1.3190476864017801E-3</v>
      </c>
      <c r="S2104" s="3"/>
    </row>
    <row r="2105" spans="2:19" x14ac:dyDescent="0.5">
      <c r="B2105" s="5" t="str">
        <f t="shared" si="2216"/>
        <v>SPS1</v>
      </c>
      <c r="C2105" s="5" t="str">
        <f t="shared" si="2213"/>
        <v>CH</v>
      </c>
      <c r="D2105" t="s">
        <v>2234</v>
      </c>
      <c r="E2105" t="str">
        <f t="shared" si="2225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7.6428146212664095E-5</v>
      </c>
      <c r="J2105" s="1">
        <f>'[1]Electricity and CHPs_NCAP'!F$57</f>
        <v>1.13235976488693E-4</v>
      </c>
      <c r="K2105" s="1">
        <f>'[1]Electricity and CHPs_NCAP'!G$57</f>
        <v>3.2928344588497602E-5</v>
      </c>
      <c r="L2105" s="1">
        <f>'[1]Electricity and CHPs_NCAP'!H$57</f>
        <v>8.4685215022069302E-5</v>
      </c>
      <c r="M2105" s="1">
        <f>'[1]Electricity and CHPs_NCAP'!I$57</f>
        <v>5.6964399035196297E-4</v>
      </c>
      <c r="N2105" s="1">
        <f>'[1]Electricity and CHPs_NCAP'!J$57</f>
        <v>2.4512065591219898E-6</v>
      </c>
      <c r="O2105" s="1">
        <f>'[1]Electricity and CHPs_NCAP'!K$57</f>
        <v>9.9609237116741198E-4</v>
      </c>
      <c r="P2105" s="1">
        <f>'[1]Electricity and CHPs_NCAP'!L$57</f>
        <v>8.9414977076592996E-5</v>
      </c>
      <c r="Q2105" s="1">
        <f>'[1]Electricity and CHPs_NCAP'!M$57</f>
        <v>1.1900754285641901E-3</v>
      </c>
      <c r="S2105" s="3"/>
    </row>
    <row r="2106" spans="2:19" x14ac:dyDescent="0.5">
      <c r="B2106" s="5" t="str">
        <f t="shared" si="2216"/>
        <v>SPS1</v>
      </c>
      <c r="C2106" s="5" t="str">
        <f t="shared" si="2213"/>
        <v>CH</v>
      </c>
      <c r="D2106" t="s">
        <v>2235</v>
      </c>
      <c r="E2106" t="str">
        <f t="shared" si="2225"/>
        <v>GWe/yr.</v>
      </c>
      <c r="F2106" s="1">
        <f t="shared" ref="F2106:K2106" si="2235">SUM(F2107:F2113)</f>
        <v>3.5089567107601358E-3</v>
      </c>
      <c r="G2106" s="1">
        <f t="shared" si="2235"/>
        <v>5.8472754823528152E-6</v>
      </c>
      <c r="H2106" s="1">
        <f t="shared" si="2235"/>
        <v>1.809039267369765E-5</v>
      </c>
      <c r="I2106" s="1">
        <f t="shared" si="2235"/>
        <v>0.13377256987812092</v>
      </c>
      <c r="J2106" s="1">
        <f t="shared" si="2235"/>
        <v>1.471644446855927E-2</v>
      </c>
      <c r="K2106" s="1">
        <f t="shared" si="2235"/>
        <v>0.17169076135600739</v>
      </c>
      <c r="L2106" s="1">
        <f t="shared" ref="L2106:O2106" si="2236">SUM(L2107:L2113)</f>
        <v>0.18561355822493694</v>
      </c>
      <c r="M2106" s="1">
        <f t="shared" si="2236"/>
        <v>0.15451201139020446</v>
      </c>
      <c r="N2106" s="1">
        <f t="shared" si="2236"/>
        <v>0.25484879210870648</v>
      </c>
      <c r="O2106" s="1">
        <f t="shared" si="2236"/>
        <v>0.21338503069203918</v>
      </c>
      <c r="P2106" s="1">
        <f>SUM(P2107:P2113)</f>
        <v>0.3451368999716416</v>
      </c>
      <c r="Q2106" s="1">
        <f>SUM(Q2107:Q2113)</f>
        <v>0.20806532606676151</v>
      </c>
      <c r="S2106" s="3"/>
    </row>
    <row r="2107" spans="2:19" x14ac:dyDescent="0.5">
      <c r="B2107" s="5" t="str">
        <f t="shared" si="2216"/>
        <v>SPS1</v>
      </c>
      <c r="C2107" s="5" t="str">
        <f t="shared" si="2213"/>
        <v>CH</v>
      </c>
      <c r="D2107" t="s">
        <v>2236</v>
      </c>
      <c r="E2107" t="str">
        <f t="shared" si="2225"/>
        <v>GWe/yr.</v>
      </c>
      <c r="F2107" s="1">
        <f>'[1]Electricity and CHPs_NCAP'!B$63</f>
        <v>0</v>
      </c>
      <c r="G2107" s="1">
        <f>'[1]Electricity and CHPs_NCAP'!C$63</f>
        <v>3.2348239366019398E-7</v>
      </c>
      <c r="H2107" s="1">
        <f>'[1]Electricity and CHPs_NCAP'!D$63</f>
        <v>3.5643615051820898E-7</v>
      </c>
      <c r="I2107" s="1">
        <f>'[1]Electricity and CHPs_NCAP'!E$63</f>
        <v>3.4865182805619598E-7</v>
      </c>
      <c r="J2107" s="1">
        <f>'[1]Electricity and CHPs_NCAP'!F$63</f>
        <v>1.4079916499711701E-6</v>
      </c>
      <c r="K2107" s="1">
        <f>'[1]Electricity and CHPs_NCAP'!G$63</f>
        <v>1.79207925894201E-6</v>
      </c>
      <c r="L2107" s="1">
        <f>'[1]Electricity and CHPs_NCAP'!H$63</f>
        <v>2.4417159934153601E-6</v>
      </c>
      <c r="M2107" s="1">
        <f>'[1]Electricity and CHPs_NCAP'!I$63</f>
        <v>1.7979047594363501E-6</v>
      </c>
      <c r="N2107" s="1">
        <f>'[1]Electricity and CHPs_NCAP'!J$63</f>
        <v>1.03882263680538E-6</v>
      </c>
      <c r="O2107" s="1">
        <f>'[1]Electricity and CHPs_NCAP'!K$63</f>
        <v>2.0367735091879999E-6</v>
      </c>
      <c r="P2107" s="1">
        <f>'[1]Electricity and CHPs_NCAP'!L$63</f>
        <v>1.98754559412381E-6</v>
      </c>
      <c r="Q2107" s="1">
        <f>'[1]Electricity and CHPs_NCAP'!M$63</f>
        <v>6.1978853177303596E-6</v>
      </c>
      <c r="S2107" s="3"/>
    </row>
    <row r="2108" spans="2:19" x14ac:dyDescent="0.5">
      <c r="B2108" s="5" t="str">
        <f t="shared" si="2216"/>
        <v>SPS1</v>
      </c>
      <c r="C2108" s="5" t="str">
        <f t="shared" si="2213"/>
        <v>CH</v>
      </c>
      <c r="D2108" t="s">
        <v>2237</v>
      </c>
      <c r="E2108" t="str">
        <f t="shared" si="2225"/>
        <v>GWe/yr.</v>
      </c>
      <c r="F2108" s="1">
        <f>'[1]Electricity and CHPs_NCAP'!B$64</f>
        <v>5.8957277676666305E-4</v>
      </c>
      <c r="G2108" s="1">
        <f>'[1]Electricity and CHPs_NCAP'!C$64</f>
        <v>8.6767901850963197E-7</v>
      </c>
      <c r="H2108" s="1">
        <f>'[1]Electricity and CHPs_NCAP'!D$64</f>
        <v>3.6720645264519601E-6</v>
      </c>
      <c r="I2108" s="1">
        <f>'[1]Electricity and CHPs_NCAP'!E$64</f>
        <v>1.20224896105068E-4</v>
      </c>
      <c r="J2108" s="1">
        <f>'[1]Electricity and CHPs_NCAP'!F$64</f>
        <v>1.29267087250918E-3</v>
      </c>
      <c r="K2108" s="1">
        <f>'[1]Electricity and CHPs_NCAP'!G$64</f>
        <v>4.6711298413929701E-2</v>
      </c>
      <c r="L2108" s="1">
        <f>'[1]Electricity and CHPs_NCAP'!H$64</f>
        <v>4.3934060175081302E-3</v>
      </c>
      <c r="M2108" s="1">
        <f>'[1]Electricity and CHPs_NCAP'!I$64</f>
        <v>3.1445960177763799E-2</v>
      </c>
      <c r="N2108" s="1">
        <f>'[1]Electricity and CHPs_NCAP'!J$64</f>
        <v>1.8394711112959799E-2</v>
      </c>
      <c r="O2108" s="1">
        <f>'[1]Electricity and CHPs_NCAP'!K$64</f>
        <v>1.7352023792270702E-2</v>
      </c>
      <c r="P2108" s="1">
        <f>'[1]Electricity and CHPs_NCAP'!L$64</f>
        <v>3.1318126550112901E-2</v>
      </c>
      <c r="Q2108" s="1">
        <f>'[1]Electricity and CHPs_NCAP'!M$64</f>
        <v>9.5608103548355892E-3</v>
      </c>
      <c r="S2108" s="3"/>
    </row>
    <row r="2109" spans="2:19" x14ac:dyDescent="0.5">
      <c r="B2109" s="5" t="str">
        <f t="shared" si="2216"/>
        <v>SPS1</v>
      </c>
      <c r="C2109" s="5" t="str">
        <f t="shared" si="2213"/>
        <v>CH</v>
      </c>
      <c r="D2109" t="s">
        <v>2238</v>
      </c>
      <c r="E2109" t="str">
        <f t="shared" si="2225"/>
        <v>GWe/yr.</v>
      </c>
      <c r="F2109" s="1">
        <f>'[1]Electricity and CHPs_NCAP'!B$65</f>
        <v>4.3799018965295602E-4</v>
      </c>
      <c r="G2109" s="1">
        <f>'[1]Electricity and CHPs_NCAP'!C$65</f>
        <v>6.6150926545321004E-7</v>
      </c>
      <c r="H2109" s="1">
        <f>'[1]Electricity and CHPs_NCAP'!D$65</f>
        <v>2.6834344497145099E-6</v>
      </c>
      <c r="I2109" s="1">
        <f>'[1]Electricity and CHPs_NCAP'!E$65</f>
        <v>1.02625014060707E-4</v>
      </c>
      <c r="J2109" s="1">
        <f>'[1]Electricity and CHPs_NCAP'!F$65</f>
        <v>1.0101322379962401E-3</v>
      </c>
      <c r="K2109" s="1">
        <f>'[1]Electricity and CHPs_NCAP'!G$65</f>
        <v>8.28181635799294E-3</v>
      </c>
      <c r="L2109" s="1">
        <f>'[1]Electricity and CHPs_NCAP'!H$65</f>
        <v>0.13521425166194001</v>
      </c>
      <c r="M2109" s="1">
        <f>'[1]Electricity and CHPs_NCAP'!I$65</f>
        <v>2.6378552233782999E-2</v>
      </c>
      <c r="N2109" s="1">
        <f>'[1]Electricity and CHPs_NCAP'!J$65</f>
        <v>0.162438978015187</v>
      </c>
      <c r="O2109" s="1">
        <f>'[1]Electricity and CHPs_NCAP'!K$65</f>
        <v>0.118197021371899</v>
      </c>
      <c r="P2109" s="1">
        <f>'[1]Electricity and CHPs_NCAP'!L$65</f>
        <v>0.193170714940157</v>
      </c>
      <c r="Q2109" s="1">
        <f>'[1]Electricity and CHPs_NCAP'!M$65</f>
        <v>0.14900487336013801</v>
      </c>
      <c r="S2109" s="3"/>
    </row>
    <row r="2110" spans="2:19" x14ac:dyDescent="0.5">
      <c r="B2110" s="5" t="str">
        <f t="shared" si="2216"/>
        <v>SPS1</v>
      </c>
      <c r="C2110" s="5" t="str">
        <f t="shared" si="2213"/>
        <v>CH</v>
      </c>
      <c r="D2110" t="s">
        <v>2239</v>
      </c>
      <c r="E2110" t="str">
        <f t="shared" si="2225"/>
        <v>GWe/yr.</v>
      </c>
      <c r="F2110" s="1">
        <f>'[1]Electricity and CHPs_NCAP'!B$66</f>
        <v>4.1394863785623699E-4</v>
      </c>
      <c r="G2110" s="1">
        <f>'[1]Electricity and CHPs_NCAP'!C$66</f>
        <v>6.6937921032112001E-7</v>
      </c>
      <c r="H2110" s="1">
        <f>'[1]Electricity and CHPs_NCAP'!D$66</f>
        <v>1.87665896110718E-6</v>
      </c>
      <c r="I2110" s="1">
        <f>'[1]Electricity and CHPs_NCAP'!E$66</f>
        <v>2.6667849597076802E-2</v>
      </c>
      <c r="J2110" s="1">
        <f>'[1]Electricity and CHPs_NCAP'!F$66</f>
        <v>4.5848147092144898E-4</v>
      </c>
      <c r="K2110" s="1">
        <f>'[1]Electricity and CHPs_NCAP'!G$66</f>
        <v>1.87111926104701E-2</v>
      </c>
      <c r="L2110" s="1">
        <f>'[1]Electricity and CHPs_NCAP'!H$66</f>
        <v>8.0642694690449997E-3</v>
      </c>
      <c r="M2110" s="1">
        <f>'[1]Electricity and CHPs_NCAP'!I$66</f>
        <v>1.8813246418417601E-2</v>
      </c>
      <c r="N2110" s="1">
        <f>'[1]Electricity and CHPs_NCAP'!J$66</f>
        <v>1.1098953505855399E-2</v>
      </c>
      <c r="O2110" s="1">
        <f>'[1]Electricity and CHPs_NCAP'!K$66</f>
        <v>2.4804717987929301E-2</v>
      </c>
      <c r="P2110" s="1">
        <f>'[1]Electricity and CHPs_NCAP'!L$66</f>
        <v>4.3821767508849897E-2</v>
      </c>
      <c r="Q2110" s="1">
        <f>'[1]Electricity and CHPs_NCAP'!M$66</f>
        <v>1.06254619833588E-3</v>
      </c>
      <c r="S2110" s="3"/>
    </row>
    <row r="2111" spans="2:19" x14ac:dyDescent="0.5">
      <c r="B2111" s="5" t="str">
        <f t="shared" si="2216"/>
        <v>SPS1</v>
      </c>
      <c r="C2111" s="5" t="str">
        <f t="shared" si="2213"/>
        <v>CH</v>
      </c>
      <c r="D2111" t="s">
        <v>2240</v>
      </c>
      <c r="E2111" t="str">
        <f t="shared" si="2225"/>
        <v>GWe/yr.</v>
      </c>
      <c r="F2111" s="1">
        <f>'[1]Electricity and CHPs_NCAP'!B$67</f>
        <v>8.2552876740292697E-4</v>
      </c>
      <c r="G2111" s="1">
        <f>'[1]Electricity and CHPs_NCAP'!C$67</f>
        <v>1.327137342217652E-6</v>
      </c>
      <c r="H2111" s="1">
        <f>'[1]Electricity and CHPs_NCAP'!D$67</f>
        <v>3.8278933259522696E-6</v>
      </c>
      <c r="I2111" s="1">
        <f>'[1]Electricity and CHPs_NCAP'!E$67</f>
        <v>4.1104820410732899E-2</v>
      </c>
      <c r="J2111" s="1">
        <f>'[1]Electricity and CHPs_NCAP'!F$67</f>
        <v>3.7940472641583701E-3</v>
      </c>
      <c r="K2111" s="1">
        <f>'[1]Electricity and CHPs_NCAP'!G$67</f>
        <v>3.2003281840299901E-2</v>
      </c>
      <c r="L2111" s="1">
        <f>'[1]Electricity and CHPs_NCAP'!H$67</f>
        <v>1.761392405770483E-2</v>
      </c>
      <c r="M2111" s="1">
        <f>'[1]Electricity and CHPs_NCAP'!I$67</f>
        <v>2.7635989880675602E-2</v>
      </c>
      <c r="N2111" s="1">
        <f>'[1]Electricity and CHPs_NCAP'!J$67</f>
        <v>2.39828460801986E-2</v>
      </c>
      <c r="O2111" s="1">
        <f>'[1]Electricity and CHPs_NCAP'!K$67</f>
        <v>2.0587978296131001E-2</v>
      </c>
      <c r="P2111" s="1">
        <f>'[1]Electricity and CHPs_NCAP'!L$67</f>
        <v>2.8272183948221601E-2</v>
      </c>
      <c r="Q2111" s="1">
        <f>'[1]Electricity and CHPs_NCAP'!M$67</f>
        <v>1.8293223524168949E-2</v>
      </c>
      <c r="S2111" s="3"/>
    </row>
    <row r="2112" spans="2:19" x14ac:dyDescent="0.5">
      <c r="B2112" s="5" t="str">
        <f t="shared" si="2216"/>
        <v>SPS1</v>
      </c>
      <c r="C2112" s="5" t="str">
        <f t="shared" si="2213"/>
        <v>CH</v>
      </c>
      <c r="D2112" t="s">
        <v>2241</v>
      </c>
      <c r="E2112" t="str">
        <f t="shared" si="2225"/>
        <v>GWe/yr.</v>
      </c>
      <c r="F2112" s="1">
        <f>'[1]Electricity and CHPs_NCAP'!B$68</f>
        <v>8.2679357431531008E-4</v>
      </c>
      <c r="G2112" s="1">
        <f>'[1]Electricity and CHPs_NCAP'!C$68</f>
        <v>1.328810655062908E-6</v>
      </c>
      <c r="H2112" s="1">
        <f>'[1]Electricity and CHPs_NCAP'!D$68</f>
        <v>3.79669345380121E-6</v>
      </c>
      <c r="I2112" s="1">
        <f>'[1]Electricity and CHPs_NCAP'!E$68</f>
        <v>4.14285046239556E-2</v>
      </c>
      <c r="J2112" s="1">
        <f>'[1]Electricity and CHPs_NCAP'!F$68</f>
        <v>3.9040065230447896E-3</v>
      </c>
      <c r="K2112" s="1">
        <f>'[1]Electricity and CHPs_NCAP'!G$68</f>
        <v>4.0158053735453697E-2</v>
      </c>
      <c r="L2112" s="1">
        <f>'[1]Electricity and CHPs_NCAP'!H$68</f>
        <v>1.2953782528473609E-2</v>
      </c>
      <c r="M2112" s="1">
        <f>'[1]Electricity and CHPs_NCAP'!I$68</f>
        <v>2.9508816532135003E-2</v>
      </c>
      <c r="N2112" s="1">
        <f>'[1]Electricity and CHPs_NCAP'!J$68</f>
        <v>2.4173607963530498E-2</v>
      </c>
      <c r="O2112" s="1">
        <f>'[1]Electricity and CHPs_NCAP'!K$68</f>
        <v>1.945407753578849E-2</v>
      </c>
      <c r="P2112" s="1">
        <f>'[1]Electricity and CHPs_NCAP'!L$68</f>
        <v>2.93931555461097E-2</v>
      </c>
      <c r="Q2112" s="1">
        <f>'[1]Electricity and CHPs_NCAP'!M$68</f>
        <v>1.7942899986624919E-2</v>
      </c>
      <c r="S2112" s="3"/>
    </row>
    <row r="2113" spans="2:19" x14ac:dyDescent="0.5">
      <c r="B2113" s="5" t="str">
        <f t="shared" si="2216"/>
        <v>SPS1</v>
      </c>
      <c r="C2113" s="5" t="str">
        <f t="shared" si="2213"/>
        <v>CH</v>
      </c>
      <c r="D2113" t="s">
        <v>2242</v>
      </c>
      <c r="E2113" t="str">
        <f t="shared" si="2225"/>
        <v>GWe/yr.</v>
      </c>
      <c r="F2113" s="1">
        <f>'[1]Electricity and CHPs_NCAP'!B$69</f>
        <v>4.15122764766043E-4</v>
      </c>
      <c r="G2113" s="1">
        <f>'[1]Electricity and CHPs_NCAP'!C$69</f>
        <v>6.6927759712809895E-7</v>
      </c>
      <c r="H2113" s="1">
        <f>'[1]Electricity and CHPs_NCAP'!D$69</f>
        <v>1.8772118061523099E-6</v>
      </c>
      <c r="I2113" s="1">
        <f>'[1]Electricity and CHPs_NCAP'!E$69</f>
        <v>2.4348196684361799E-2</v>
      </c>
      <c r="J2113" s="1">
        <f>'[1]Electricity and CHPs_NCAP'!F$69</f>
        <v>4.2556981082792697E-3</v>
      </c>
      <c r="K2113" s="1">
        <f>'[1]Electricity and CHPs_NCAP'!G$69</f>
        <v>2.58233263186021E-2</v>
      </c>
      <c r="L2113" s="1">
        <f>'[1]Electricity and CHPs_NCAP'!H$69</f>
        <v>7.3714827742719403E-3</v>
      </c>
      <c r="M2113" s="1">
        <f>'[1]Electricity and CHPs_NCAP'!I$69</f>
        <v>2.072764824267E-2</v>
      </c>
      <c r="N2113" s="1">
        <f>'[1]Electricity and CHPs_NCAP'!J$69</f>
        <v>1.4758656608338401E-2</v>
      </c>
      <c r="O2113" s="1">
        <f>'[1]Electricity and CHPs_NCAP'!K$69</f>
        <v>1.29871749345115E-2</v>
      </c>
      <c r="P2113" s="1">
        <f>'[1]Electricity and CHPs_NCAP'!L$69</f>
        <v>1.91589639325963E-2</v>
      </c>
      <c r="Q2113" s="1">
        <f>'[1]Electricity and CHPs_NCAP'!M$69</f>
        <v>1.2194774757340401E-2</v>
      </c>
      <c r="S2113" s="3"/>
    </row>
    <row r="2114" spans="2:19" x14ac:dyDescent="0.5">
      <c r="B2114" s="5" t="str">
        <f>'SPS1'!B1902</f>
        <v>SPS1</v>
      </c>
      <c r="C2114" s="5" t="str">
        <f>'SPS1'!C1902</f>
        <v>CH</v>
      </c>
      <c r="D2114" s="2" t="s">
        <v>2243</v>
      </c>
      <c r="E2114" s="2" t="s">
        <v>1972</v>
      </c>
      <c r="F2114" s="3">
        <f t="shared" ref="F2114:K2114" si="2237">SUM(F2115:F2164)</f>
        <v>3.2744028735256212E-4</v>
      </c>
      <c r="G2114" s="3">
        <f t="shared" si="2237"/>
        <v>0.42829921262609583</v>
      </c>
      <c r="H2114" s="3">
        <f t="shared" si="2237"/>
        <v>1.0445493978700477</v>
      </c>
      <c r="I2114" s="3">
        <f t="shared" si="2237"/>
        <v>2.3329365931411665</v>
      </c>
      <c r="J2114" s="3">
        <f t="shared" si="2237"/>
        <v>3.189849657861533</v>
      </c>
      <c r="K2114" s="3">
        <f t="shared" si="2237"/>
        <v>2.0343751678868198</v>
      </c>
      <c r="L2114" s="3">
        <f t="shared" ref="L2114:O2114" si="2238">SUM(L2115:L2164)</f>
        <v>2.4888010617254599</v>
      </c>
      <c r="M2114" s="3">
        <f t="shared" si="2238"/>
        <v>2.8782589871728814</v>
      </c>
      <c r="N2114" s="3">
        <f t="shared" si="2238"/>
        <v>2.4382189430541477</v>
      </c>
      <c r="O2114" s="3">
        <f t="shared" si="2238"/>
        <v>2.3808089461634272</v>
      </c>
      <c r="P2114" s="3">
        <f>SUM(P2115:P2164)</f>
        <v>2.522220944300527</v>
      </c>
      <c r="Q2114" s="3">
        <f>SUM(Q2115:Q2164)</f>
        <v>2.0416301382326396</v>
      </c>
      <c r="S2114" s="3"/>
    </row>
    <row r="2115" spans="2:19" x14ac:dyDescent="0.5">
      <c r="B2115" s="5" t="str">
        <f t="shared" ref="B2115:B2146" si="2239">B2114</f>
        <v>SPS1</v>
      </c>
      <c r="C2115" s="5" t="str">
        <f t="shared" ref="C2115:C2146" si="2240">C2114</f>
        <v>CH</v>
      </c>
      <c r="D2115" t="s">
        <v>2244</v>
      </c>
      <c r="E2115" t="str">
        <f t="shared" ref="E2115:E2146" si="2241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SUMPRODUCT(("var_ncap"=[1]OUT_TransportEnergyCons!$B$4:$B$10000)*1,("-"=[1]OUT_TransportEnergyCons!$C$4:$C$10000)*1,ISNUMBER(SEARCH("T_C*bat*ext",[1]OUT_TransportEnergyCons!$A$4:$A$10000))*1,[1]OUT_TransportEnergyCons!H$4:H$10000)</f>
        <v>0</v>
      </c>
      <c r="K2115" s="1" cm="1">
        <f t="array" ref="K2115">SUMPRODUCT(("var_ncap"=[1]OUT_TransportEnergyCons!$B$4:$B$10000)*1,("-"=[1]OUT_TransportEnergyCons!$C$4:$C$10000)*1,ISNUMBER(SEARCH("T_C*bat*ext",[1]OUT_TransportEnergyCons!$A$4:$A$10000))*1,[1]OUT_TransportEnergyCons!I$4:I$10000)</f>
        <v>0</v>
      </c>
      <c r="L2115" s="1" cm="1">
        <f t="array" ref="L2115">SUMPRODUCT(("var_ncap"=[1]OUT_TransportEnergyCons!$B$4:$B$10000)*1,("-"=[1]OUT_TransportEnergyCons!$C$4:$C$10000)*1,ISNUMBER(SEARCH("T_C*bat*ext",[1]OUT_TransportEnergyCons!$A$4:$A$10000))*1,[1]OUT_TransportEnergyCons!J$4:J$10000)</f>
        <v>0</v>
      </c>
      <c r="M2115" s="1" cm="1">
        <f t="array" ref="M2115">SUMPRODUCT(("var_ncap"=[1]OUT_TransportEnergyCons!$B$4:$B$10000)*1,("-"=[1]OUT_TransportEnergyCons!$C$4:$C$10000)*1,ISNUMBER(SEARCH("T_C*bat*ext",[1]OUT_TransportEnergyCons!$A$4:$A$10000))*1,[1]OUT_TransportEnergyCons!K$4:K$10000)</f>
        <v>0</v>
      </c>
      <c r="N2115" s="1" cm="1">
        <f t="array" ref="N2115">SUMPRODUCT(("var_ncap"=[1]OUT_TransportEnergyCons!$B$4:$B$10000)*1,("-"=[1]OUT_TransportEnergyCons!$C$4:$C$10000)*1,ISNUMBER(SEARCH("T_C*bat*ext",[1]OUT_TransportEnergyCons!$A$4:$A$10000))*1,[1]OUT_TransportEnergyCons!L$4:L$10000)</f>
        <v>0</v>
      </c>
      <c r="O2115" s="1" cm="1">
        <f t="array" ref="O2115">SUMPRODUCT(("var_ncap"=[1]OUT_TransportEnergyCons!$B$4:$B$10000)*1,("-"=[1]OUT_TransportEnergyCons!$C$4:$C$10000)*1,ISNUMBER(SEARCH("T_C*bat*ext",[1]OUT_TransportEnergyCons!$A$4:$A$10000))*1,[1]OUT_TransportEnergyCons!M$4:M$10000)</f>
        <v>0</v>
      </c>
      <c r="P2115" s="1" cm="1">
        <f t="array" ref="P2115">SUMPRODUCT(("var_ncap"=[1]OUT_TransportEnergyCons!$B$4:$B$10000)*1,("-"=[1]OUT_TransportEnergyCons!$C$4:$C$10000)*1,ISNUMBER(SEARCH("T_C*bat*ext",[1]OUT_TransportEnergyCons!$A$4:$A$10000))*1,[1]OUT_TransportEnergyCons!N$4:N$10000)</f>
        <v>0</v>
      </c>
      <c r="Q2115" s="1" cm="1">
        <f t="array" ref="Q2115">SUMPRODUCT(("var_ncap"=[1]OUT_TransportEnergyCons!$B$4:$B$10000)*1,("-"=[1]OUT_TransportEnergyCons!$C$4:$C$10000)*1,ISNUMBER(SEARCH("T_C*bat*ext",[1]OUT_TransportEnergyCons!$A$4:$A$10000))*1,[1]OUT_TransportEnergyCons!O$4:O$10000)</f>
        <v>0</v>
      </c>
      <c r="S2115" s="3"/>
    </row>
    <row r="2116" spans="2:19" x14ac:dyDescent="0.5">
      <c r="B2116" s="5" t="str">
        <f t="shared" si="2239"/>
        <v>SPS1</v>
      </c>
      <c r="C2116" s="5" t="str">
        <f t="shared" si="2240"/>
        <v>CH</v>
      </c>
      <c r="D2116" t="s">
        <v>2245</v>
      </c>
      <c r="E2116" t="str">
        <f t="shared" si="2241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5.9726658744359798E-5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1.2629072515688399E-3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2.8326917985245899E-4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2.8270673759801497E-4</v>
      </c>
      <c r="J2116" s="1" cm="1">
        <f t="array" ref="J2116">SUMPRODUCT(("var_ncap"=[1]OUT_TransportEnergyCons!$B$4:$B$10000)*1,("-"=[1]OUT_TransportEnergyCons!$C$4:$C$10000)*1,ISNUMBER(SEARCH("T_C*bat*s1",[1]OUT_TransportEnergyCons!$A$4:$A$10000))*1,[1]OUT_TransportEnergyCons!H$4:H$10000)</f>
        <v>3.7017240126248E-4</v>
      </c>
      <c r="K2116" s="1" cm="1">
        <f t="array" ref="K2116">SUMPRODUCT(("var_ncap"=[1]OUT_TransportEnergyCons!$B$4:$B$10000)*1,("-"=[1]OUT_TransportEnergyCons!$C$4:$C$10000)*1,ISNUMBER(SEARCH("T_C*bat*s1",[1]OUT_TransportEnergyCons!$A$4:$A$10000))*1,[1]OUT_TransportEnergyCons!I$4:I$10000)</f>
        <v>3.8646614575128899E-2</v>
      </c>
      <c r="L2116" s="1" cm="1">
        <f t="array" ref="L2116">SUMPRODUCT(("var_ncap"=[1]OUT_TransportEnergyCons!$B$4:$B$10000)*1,("-"=[1]OUT_TransportEnergyCons!$C$4:$C$10000)*1,ISNUMBER(SEARCH("T_C*bat*s1",[1]OUT_TransportEnergyCons!$A$4:$A$10000))*1,[1]OUT_TransportEnergyCons!J$4:J$10000)</f>
        <v>8.5859019450871502E-2</v>
      </c>
      <c r="M2116" s="1" cm="1">
        <f t="array" ref="M2116">SUMPRODUCT(("var_ncap"=[1]OUT_TransportEnergyCons!$B$4:$B$10000)*1,("-"=[1]OUT_TransportEnergyCons!$C$4:$C$10000)*1,ISNUMBER(SEARCH("T_C*bat*s1",[1]OUT_TransportEnergyCons!$A$4:$A$10000))*1,[1]OUT_TransportEnergyCons!K$4:K$10000)</f>
        <v>0.16425739743193801</v>
      </c>
      <c r="N2116" s="1" cm="1">
        <f t="array" ref="N2116">SUMPRODUCT(("var_ncap"=[1]OUT_TransportEnergyCons!$B$4:$B$10000)*1,("-"=[1]OUT_TransportEnergyCons!$C$4:$C$10000)*1,ISNUMBER(SEARCH("T_C*bat*s1",[1]OUT_TransportEnergyCons!$A$4:$A$10000))*1,[1]OUT_TransportEnergyCons!L$4:L$10000)</f>
        <v>8.9275177003661305E-2</v>
      </c>
      <c r="O2116" s="1" cm="1">
        <f t="array" ref="O2116">SUMPRODUCT(("var_ncap"=[1]OUT_TransportEnergyCons!$B$4:$B$10000)*1,("-"=[1]OUT_TransportEnergyCons!$C$4:$C$10000)*1,ISNUMBER(SEARCH("T_C*bat*s1",[1]OUT_TransportEnergyCons!$A$4:$A$10000))*1,[1]OUT_TransportEnergyCons!M$4:M$10000)</f>
        <v>8.8609906860021598E-2</v>
      </c>
      <c r="P2116" s="1" cm="1">
        <f t="array" ref="P2116">SUMPRODUCT(("var_ncap"=[1]OUT_TransportEnergyCons!$B$4:$B$10000)*1,("-"=[1]OUT_TransportEnergyCons!$C$4:$C$10000)*1,ISNUMBER(SEARCH("T_C*bat*s1",[1]OUT_TransportEnergyCons!$A$4:$A$10000))*1,[1]OUT_TransportEnergyCons!N$4:N$10000)</f>
        <v>0.1244731065515</v>
      </c>
      <c r="Q2116" s="1" cm="1">
        <f t="array" ref="Q2116">SUMPRODUCT(("var_ncap"=[1]OUT_TransportEnergyCons!$B$4:$B$10000)*1,("-"=[1]OUT_TransportEnergyCons!$C$4:$C$10000)*1,ISNUMBER(SEARCH("T_C*bat*s1",[1]OUT_TransportEnergyCons!$A$4:$A$10000))*1,[1]OUT_TransportEnergyCons!O$4:O$10000)</f>
        <v>4.5499771566093299E-2</v>
      </c>
      <c r="S2116" s="3"/>
    </row>
    <row r="2117" spans="2:19" x14ac:dyDescent="0.5">
      <c r="B2117" s="5" t="str">
        <f t="shared" si="2239"/>
        <v>SPS1</v>
      </c>
      <c r="C2117" s="5" t="str">
        <f t="shared" si="2240"/>
        <v>CH</v>
      </c>
      <c r="D2117" t="s">
        <v>2246</v>
      </c>
      <c r="E2117" t="str">
        <f t="shared" si="2241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7.1296523507081993E-5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1.95825082459798E-4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0.200519489259883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0.60413991751973595</v>
      </c>
      <c r="J2117" s="1" cm="1">
        <f t="array" ref="J2117">SUMPRODUCT(("var_ncap"=[1]OUT_TransportEnergyCons!$B$4:$B$10000)*1,("-"=[1]OUT_TransportEnergyCons!$C$4:$C$10000)*1,ISNUMBER(SEARCH("T_C*bat*s2",[1]OUT_TransportEnergyCons!$A$4:$A$10000))*1,[1]OUT_TransportEnergyCons!H$4:H$10000)</f>
        <v>1.1705570725805601</v>
      </c>
      <c r="K2117" s="1" cm="1">
        <f t="array" ref="K2117">SUMPRODUCT(("var_ncap"=[1]OUT_TransportEnergyCons!$B$4:$B$10000)*1,("-"=[1]OUT_TransportEnergyCons!$C$4:$C$10000)*1,ISNUMBER(SEARCH("T_C*bat*s2",[1]OUT_TransportEnergyCons!$A$4:$A$10000))*1,[1]OUT_TransportEnergyCons!I$4:I$10000)</f>
        <v>0.54629535186026001</v>
      </c>
      <c r="L2117" s="1" cm="1">
        <f t="array" ref="L2117">SUMPRODUCT(("var_ncap"=[1]OUT_TransportEnergyCons!$B$4:$B$10000)*1,("-"=[1]OUT_TransportEnergyCons!$C$4:$C$10000)*1,ISNUMBER(SEARCH("T_C*bat*s2",[1]OUT_TransportEnergyCons!$A$4:$A$10000))*1,[1]OUT_TransportEnergyCons!J$4:J$10000)</f>
        <v>0.72622039541528405</v>
      </c>
      <c r="M2117" s="1" cm="1">
        <f t="array" ref="M2117">SUMPRODUCT(("var_ncap"=[1]OUT_TransportEnergyCons!$B$4:$B$10000)*1,("-"=[1]OUT_TransportEnergyCons!$C$4:$C$10000)*1,ISNUMBER(SEARCH("T_C*bat*s2",[1]OUT_TransportEnergyCons!$A$4:$A$10000))*1,[1]OUT_TransportEnergyCons!K$4:K$10000)</f>
        <v>0.98371119942829299</v>
      </c>
      <c r="N2117" s="1" cm="1">
        <f t="array" ref="N2117">SUMPRODUCT(("var_ncap"=[1]OUT_TransportEnergyCons!$B$4:$B$10000)*1,("-"=[1]OUT_TransportEnergyCons!$C$4:$C$10000)*1,ISNUMBER(SEARCH("T_C*bat*s2",[1]OUT_TransportEnergyCons!$A$4:$A$10000))*1,[1]OUT_TransportEnergyCons!L$4:L$10000)</f>
        <v>0.61232050471421895</v>
      </c>
      <c r="O2117" s="1" cm="1">
        <f t="array" ref="O2117">SUMPRODUCT(("var_ncap"=[1]OUT_TransportEnergyCons!$B$4:$B$10000)*1,("-"=[1]OUT_TransportEnergyCons!$C$4:$C$10000)*1,ISNUMBER(SEARCH("T_C*bat*s2",[1]OUT_TransportEnergyCons!$A$4:$A$10000))*1,[1]OUT_TransportEnergyCons!M$4:M$10000)</f>
        <v>0.65361893234559698</v>
      </c>
      <c r="P2117" s="1" cm="1">
        <f t="array" ref="P2117">SUMPRODUCT(("var_ncap"=[1]OUT_TransportEnergyCons!$B$4:$B$10000)*1,("-"=[1]OUT_TransportEnergyCons!$C$4:$C$10000)*1,ISNUMBER(SEARCH("T_C*bat*s2",[1]OUT_TransportEnergyCons!$A$4:$A$10000))*1,[1]OUT_TransportEnergyCons!N$4:N$10000)</f>
        <v>0.65451929682285104</v>
      </c>
      <c r="Q2117" s="1" cm="1">
        <f t="array" ref="Q2117">SUMPRODUCT(("var_ncap"=[1]OUT_TransportEnergyCons!$B$4:$B$10000)*1,("-"=[1]OUT_TransportEnergyCons!$C$4:$C$10000)*1,ISNUMBER(SEARCH("T_C*bat*s2",[1]OUT_TransportEnergyCons!$A$4:$A$10000))*1,[1]OUT_TransportEnergyCons!O$4:O$10000)</f>
        <v>0.48623783324405501</v>
      </c>
      <c r="S2117" s="3"/>
    </row>
    <row r="2118" spans="2:19" x14ac:dyDescent="0.5">
      <c r="B2118" s="5" t="str">
        <f t="shared" si="2239"/>
        <v>SPS1</v>
      </c>
      <c r="C2118" s="5" t="str">
        <f t="shared" si="2240"/>
        <v>CH</v>
      </c>
      <c r="D2118" t="s">
        <v>2247</v>
      </c>
      <c r="E2118" t="str">
        <f t="shared" si="2241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5.4588942773716299E-5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2.5968021429794599E-3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1.25609349005639E-3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0.18235758441279101</v>
      </c>
      <c r="J2118" s="1" cm="1">
        <f t="array" ref="J2118">SUMPRODUCT(("var_ncap"=[1]OUT_TransportEnergyCons!$B$4:$B$10000)*1,("-"=[1]OUT_TransportEnergyCons!$C$4:$C$10000)*1,ISNUMBER(SEARCH("T_C*bat*s3",[1]OUT_TransportEnergyCons!$A$4:$A$10000))*1,[1]OUT_TransportEnergyCons!H$4:H$10000)</f>
        <v>0.38647099376893601</v>
      </c>
      <c r="K2118" s="1" cm="1">
        <f t="array" ref="K2118">SUMPRODUCT(("var_ncap"=[1]OUT_TransportEnergyCons!$B$4:$B$10000)*1,("-"=[1]OUT_TransportEnergyCons!$C$4:$C$10000)*1,ISNUMBER(SEARCH("T_C*bat*s3",[1]OUT_TransportEnergyCons!$A$4:$A$10000))*1,[1]OUT_TransportEnergyCons!I$4:I$10000)</f>
        <v>0.32963881337103501</v>
      </c>
      <c r="L2118" s="1" cm="1">
        <f t="array" ref="L2118">SUMPRODUCT(("var_ncap"=[1]OUT_TransportEnergyCons!$B$4:$B$10000)*1,("-"=[1]OUT_TransportEnergyCons!$C$4:$C$10000)*1,ISNUMBER(SEARCH("T_C*bat*s3",[1]OUT_TransportEnergyCons!$A$4:$A$10000))*1,[1]OUT_TransportEnergyCons!J$4:J$10000)</f>
        <v>0.279046805547562</v>
      </c>
      <c r="M2118" s="1" cm="1">
        <f t="array" ref="M2118">SUMPRODUCT(("var_ncap"=[1]OUT_TransportEnergyCons!$B$4:$B$10000)*1,("-"=[1]OUT_TransportEnergyCons!$C$4:$C$10000)*1,ISNUMBER(SEARCH("T_C*bat*s3",[1]OUT_TransportEnergyCons!$A$4:$A$10000))*1,[1]OUT_TransportEnergyCons!K$4:K$10000)</f>
        <v>0.32979271485699602</v>
      </c>
      <c r="N2118" s="1" cm="1">
        <f t="array" ref="N2118">SUMPRODUCT(("var_ncap"=[1]OUT_TransportEnergyCons!$B$4:$B$10000)*1,("-"=[1]OUT_TransportEnergyCons!$C$4:$C$10000)*1,ISNUMBER(SEARCH("T_C*bat*s3",[1]OUT_TransportEnergyCons!$A$4:$A$10000))*1,[1]OUT_TransportEnergyCons!L$4:L$10000)</f>
        <v>0.43322607559840398</v>
      </c>
      <c r="O2118" s="1" cm="1">
        <f t="array" ref="O2118">SUMPRODUCT(("var_ncap"=[1]OUT_TransportEnergyCons!$B$4:$B$10000)*1,("-"=[1]OUT_TransportEnergyCons!$C$4:$C$10000)*1,ISNUMBER(SEARCH("T_C*bat*s3",[1]OUT_TransportEnergyCons!$A$4:$A$10000))*1,[1]OUT_TransportEnergyCons!M$4:M$10000)</f>
        <v>0.424941795019665</v>
      </c>
      <c r="P2118" s="1" cm="1">
        <f t="array" ref="P2118">SUMPRODUCT(("var_ncap"=[1]OUT_TransportEnergyCons!$B$4:$B$10000)*1,("-"=[1]OUT_TransportEnergyCons!$C$4:$C$10000)*1,ISNUMBER(SEARCH("T_C*bat*s3",[1]OUT_TransportEnergyCons!$A$4:$A$10000))*1,[1]OUT_TransportEnergyCons!N$4:N$10000)</f>
        <v>0.653427594678199</v>
      </c>
      <c r="Q2118" s="1" cm="1">
        <f t="array" ref="Q2118">SUMPRODUCT(("var_ncap"=[1]OUT_TransportEnergyCons!$B$4:$B$10000)*1,("-"=[1]OUT_TransportEnergyCons!$C$4:$C$10000)*1,ISNUMBER(SEARCH("T_C*bat*s3",[1]OUT_TransportEnergyCons!$A$4:$A$10000))*1,[1]OUT_TransportEnergyCons!O$4:O$10000)</f>
        <v>0.42600248288867798</v>
      </c>
      <c r="S2118" s="3"/>
    </row>
    <row r="2119" spans="2:19" x14ac:dyDescent="0.5">
      <c r="B2119" s="5" t="str">
        <f t="shared" si="2239"/>
        <v>SPS1</v>
      </c>
      <c r="C2119" s="5" t="str">
        <f t="shared" si="2240"/>
        <v>CH</v>
      </c>
      <c r="D2119" t="s">
        <v>2248</v>
      </c>
      <c r="E2119" t="str">
        <f t="shared" si="2241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1.41828162327404E-4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7.1660121801218696E-2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7.8510764268139493E-2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0.165869707408178</v>
      </c>
      <c r="J2119" s="1" cm="1">
        <f t="array" ref="J2119">SUMPRODUCT(("var_ncap"=[1]OUT_TransportEnergyCons!$B$4:$B$10000)*1,("-"=[1]OUT_TransportEnergyCons!$C$4:$C$10000)*1,ISNUMBER(SEARCH("T_C*bat*s4",[1]OUT_TransportEnergyCons!$A$4:$A$10000))*1,[1]OUT_TransportEnergyCons!H$4:H$10000)</f>
        <v>0.12876418098454501</v>
      </c>
      <c r="K2119" s="1" cm="1">
        <f t="array" ref="K2119">SUMPRODUCT(("var_ncap"=[1]OUT_TransportEnergyCons!$B$4:$B$10000)*1,("-"=[1]OUT_TransportEnergyCons!$C$4:$C$10000)*1,ISNUMBER(SEARCH("T_C*bat*s4",[1]OUT_TransportEnergyCons!$A$4:$A$10000))*1,[1]OUT_TransportEnergyCons!I$4:I$10000)</f>
        <v>3.6010251338790301E-3</v>
      </c>
      <c r="L2119" s="1" cm="1">
        <f t="array" ref="L2119">SUMPRODUCT(("var_ncap"=[1]OUT_TransportEnergyCons!$B$4:$B$10000)*1,("-"=[1]OUT_TransportEnergyCons!$C$4:$C$10000)*1,ISNUMBER(SEARCH("T_C*bat*s4",[1]OUT_TransportEnergyCons!$A$4:$A$10000))*1,[1]OUT_TransportEnergyCons!J$4:J$10000)</f>
        <v>0.132512598515205</v>
      </c>
      <c r="M2119" s="1" cm="1">
        <f t="array" ref="M2119">SUMPRODUCT(("var_ncap"=[1]OUT_TransportEnergyCons!$B$4:$B$10000)*1,("-"=[1]OUT_TransportEnergyCons!$C$4:$C$10000)*1,ISNUMBER(SEARCH("T_C*bat*s4",[1]OUT_TransportEnergyCons!$A$4:$A$10000))*1,[1]OUT_TransportEnergyCons!K$4:K$10000)</f>
        <v>0.10795358723013999</v>
      </c>
      <c r="N2119" s="1" cm="1">
        <f t="array" ref="N2119">SUMPRODUCT(("var_ncap"=[1]OUT_TransportEnergyCons!$B$4:$B$10000)*1,("-"=[1]OUT_TransportEnergyCons!$C$4:$C$10000)*1,ISNUMBER(SEARCH("T_C*bat*s4",[1]OUT_TransportEnergyCons!$A$4:$A$10000))*1,[1]OUT_TransportEnergyCons!L$4:L$10000)</f>
        <v>0.164305205520202</v>
      </c>
      <c r="O2119" s="1" cm="1">
        <f t="array" ref="O2119">SUMPRODUCT(("var_ncap"=[1]OUT_TransportEnergyCons!$B$4:$B$10000)*1,("-"=[1]OUT_TransportEnergyCons!$C$4:$C$10000)*1,ISNUMBER(SEARCH("T_C*bat*s4",[1]OUT_TransportEnergyCons!$A$4:$A$10000))*1,[1]OUT_TransportEnergyCons!M$4:M$10000)</f>
        <v>0.113318713489619</v>
      </c>
      <c r="P2119" s="1" cm="1">
        <f t="array" ref="P2119">SUMPRODUCT(("var_ncap"=[1]OUT_TransportEnergyCons!$B$4:$B$10000)*1,("-"=[1]OUT_TransportEnergyCons!$C$4:$C$10000)*1,ISNUMBER(SEARCH("T_C*bat*s4",[1]OUT_TransportEnergyCons!$A$4:$A$10000))*1,[1]OUT_TransportEnergyCons!N$4:N$10000)</f>
        <v>2.0549429557672898E-2</v>
      </c>
      <c r="Q2119" s="1" cm="1">
        <f t="array" ref="Q2119">SUMPRODUCT(("var_ncap"=[1]OUT_TransportEnergyCons!$B$4:$B$10000)*1,("-"=[1]OUT_TransportEnergyCons!$C$4:$C$10000)*1,ISNUMBER(SEARCH("T_C*bat*s4",[1]OUT_TransportEnergyCons!$A$4:$A$10000))*1,[1]OUT_TransportEnergyCons!O$4:O$10000)</f>
        <v>0.248497512394631</v>
      </c>
      <c r="S2119" s="3"/>
    </row>
    <row r="2120" spans="2:19" x14ac:dyDescent="0.5">
      <c r="B2120" s="5" t="str">
        <f t="shared" si="2239"/>
        <v>SPS1</v>
      </c>
      <c r="C2120" s="5" t="str">
        <f t="shared" si="2240"/>
        <v>CH</v>
      </c>
      <c r="D2120" t="s">
        <v>2249</v>
      </c>
      <c r="E2120" t="str">
        <f t="shared" si="2241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4.6361939393269599E-5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4.6005377696117597E-5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3.4132439780918203E-5</v>
      </c>
      <c r="J2120" s="1" cm="1">
        <f t="array" ref="J2120">SUMPRODUCT(("var_ncap"=[1]OUT_TransportEnergyCons!$B$4:$B$10000)*1,("-"=[1]OUT_TransportEnergyCons!$C$4:$C$10000)*1,ISNUMBER(SEARCH("T_C*pev*GSL*s1",[1]OUT_TransportEnergyCons!$A$4:$A$10000))*1,[1]OUT_TransportEnergyCons!H$4:H$10000)</f>
        <v>4.4823704488092402E-5</v>
      </c>
      <c r="K2120" s="1" cm="1">
        <f t="array" ref="K2120">SUMPRODUCT(("var_ncap"=[1]OUT_TransportEnergyCons!$B$4:$B$10000)*1,("-"=[1]OUT_TransportEnergyCons!$C$4:$C$10000)*1,ISNUMBER(SEARCH("T_C*pev*GSL*s1",[1]OUT_TransportEnergyCons!$A$4:$A$10000))*1,[1]OUT_TransportEnergyCons!I$4:I$10000)</f>
        <v>5.9859817515059003E-5</v>
      </c>
      <c r="L2120" s="1" cm="1">
        <f t="array" ref="L2120">SUMPRODUCT(("var_ncap"=[1]OUT_TransportEnergyCons!$B$4:$B$10000)*1,("-"=[1]OUT_TransportEnergyCons!$C$4:$C$10000)*1,ISNUMBER(SEARCH("T_C*pev*GSL*s1",[1]OUT_TransportEnergyCons!$A$4:$A$10000))*1,[1]OUT_TransportEnergyCons!J$4:J$10000)</f>
        <v>9.5600869085137494E-5</v>
      </c>
      <c r="M2120" s="1" cm="1">
        <f t="array" ref="M2120">SUMPRODUCT(("var_ncap"=[1]OUT_TransportEnergyCons!$B$4:$B$10000)*1,("-"=[1]OUT_TransportEnergyCons!$C$4:$C$10000)*1,ISNUMBER(SEARCH("T_C*pev*GSL*s1",[1]OUT_TransportEnergyCons!$A$4:$A$10000))*1,[1]OUT_TransportEnergyCons!K$4:K$10000)</f>
        <v>4.32764213860142E-5</v>
      </c>
      <c r="N2120" s="1" cm="1">
        <f t="array" ref="N2120">SUMPRODUCT(("var_ncap"=[1]OUT_TransportEnergyCons!$B$4:$B$10000)*1,("-"=[1]OUT_TransportEnergyCons!$C$4:$C$10000)*1,ISNUMBER(SEARCH("T_C*pev*GSL*s1",[1]OUT_TransportEnergyCons!$A$4:$A$10000))*1,[1]OUT_TransportEnergyCons!L$4:L$10000)</f>
        <v>2.2925686203064701E-4</v>
      </c>
      <c r="O2120" s="1" cm="1">
        <f t="array" ref="O2120">SUMPRODUCT(("var_ncap"=[1]OUT_TransportEnergyCons!$B$4:$B$10000)*1,("-"=[1]OUT_TransportEnergyCons!$C$4:$C$10000)*1,ISNUMBER(SEARCH("T_C*pev*GSL*s1",[1]OUT_TransportEnergyCons!$A$4:$A$10000))*1,[1]OUT_TransportEnergyCons!M$4:M$10000)</f>
        <v>3.9878805531307998E-4</v>
      </c>
      <c r="P2120" s="1" cm="1">
        <f t="array" ref="P2120">SUMPRODUCT(("var_ncap"=[1]OUT_TransportEnergyCons!$B$4:$B$10000)*1,("-"=[1]OUT_TransportEnergyCons!$C$4:$C$10000)*1,ISNUMBER(SEARCH("T_C*pev*GSL*s1",[1]OUT_TransportEnergyCons!$A$4:$A$10000))*1,[1]OUT_TransportEnergyCons!N$4:N$10000)</f>
        <v>4.30402173384347E-4</v>
      </c>
      <c r="Q2120" s="1" cm="1">
        <f t="array" ref="Q2120">SUMPRODUCT(("var_ncap"=[1]OUT_TransportEnergyCons!$B$4:$B$10000)*1,("-"=[1]OUT_TransportEnergyCons!$C$4:$C$10000)*1,ISNUMBER(SEARCH("T_C*pev*GSL*s1",[1]OUT_TransportEnergyCons!$A$4:$A$10000))*1,[1]OUT_TransportEnergyCons!O$4:O$10000)</f>
        <v>7.2699911897226204E-4</v>
      </c>
      <c r="S2120" s="3"/>
    </row>
    <row r="2121" spans="2:19" x14ac:dyDescent="0.5">
      <c r="B2121" s="5" t="str">
        <f t="shared" si="2239"/>
        <v>SPS1</v>
      </c>
      <c r="C2121" s="5" t="str">
        <f t="shared" si="2240"/>
        <v>CH</v>
      </c>
      <c r="D2121" t="s">
        <v>2250</v>
      </c>
      <c r="E2121" t="str">
        <f t="shared" si="2241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2.6515983537640599E-5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1.04726366655744E-4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7.2033220210849101E-5</v>
      </c>
      <c r="J2121" s="1" cm="1">
        <f t="array" ref="J2121">SUMPRODUCT(("var_ncap"=[1]OUT_TransportEnergyCons!$B$4:$B$10000)*1,("-"=[1]OUT_TransportEnergyCons!$C$4:$C$10000)*1,ISNUMBER(SEARCH("T_C*pev*GSL*s2",[1]OUT_TransportEnergyCons!$A$4:$A$10000))*1,[1]OUT_TransportEnergyCons!H$4:H$10000)</f>
        <v>1.0979948970700501E-4</v>
      </c>
      <c r="K2121" s="1" cm="1">
        <f t="array" ref="K2121">SUMPRODUCT(("var_ncap"=[1]OUT_TransportEnergyCons!$B$4:$B$10000)*1,("-"=[1]OUT_TransportEnergyCons!$C$4:$C$10000)*1,ISNUMBER(SEARCH("T_C*pev*GSL*s2",[1]OUT_TransportEnergyCons!$A$4:$A$10000))*1,[1]OUT_TransportEnergyCons!I$4:I$10000)</f>
        <v>1.2049106145432401E-4</v>
      </c>
      <c r="L2121" s="1" cm="1">
        <f t="array" ref="L2121">SUMPRODUCT(("var_ncap"=[1]OUT_TransportEnergyCons!$B$4:$B$10000)*1,("-"=[1]OUT_TransportEnergyCons!$C$4:$C$10000)*1,ISNUMBER(SEARCH("T_C*pev*GSL*s2",[1]OUT_TransportEnergyCons!$A$4:$A$10000))*1,[1]OUT_TransportEnergyCons!J$4:J$10000)</f>
        <v>1.8501084060714701E-4</v>
      </c>
      <c r="M2121" s="1" cm="1">
        <f t="array" ref="M2121">SUMPRODUCT(("var_ncap"=[1]OUT_TransportEnergyCons!$B$4:$B$10000)*1,("-"=[1]OUT_TransportEnergyCons!$C$4:$C$10000)*1,ISNUMBER(SEARCH("T_C*pev*GSL*s2",[1]OUT_TransportEnergyCons!$A$4:$A$10000))*1,[1]OUT_TransportEnergyCons!K$4:K$10000)</f>
        <v>5.3826915690529501E-5</v>
      </c>
      <c r="N2121" s="1" cm="1">
        <f t="array" ref="N2121">SUMPRODUCT(("var_ncap"=[1]OUT_TransportEnergyCons!$B$4:$B$10000)*1,("-"=[1]OUT_TransportEnergyCons!$C$4:$C$10000)*1,ISNUMBER(SEARCH("T_C*pev*GSL*s2",[1]OUT_TransportEnergyCons!$A$4:$A$10000))*1,[1]OUT_TransportEnergyCons!L$4:L$10000)</f>
        <v>3.7406010125319301E-4</v>
      </c>
      <c r="O2121" s="1" cm="1">
        <f t="array" ref="O2121">SUMPRODUCT(("var_ncap"=[1]OUT_TransportEnergyCons!$B$4:$B$10000)*1,("-"=[1]OUT_TransportEnergyCons!$C$4:$C$10000)*1,ISNUMBER(SEARCH("T_C*pev*GSL*s2",[1]OUT_TransportEnergyCons!$A$4:$A$10000))*1,[1]OUT_TransportEnergyCons!M$4:M$10000)</f>
        <v>1.48345865817714E-2</v>
      </c>
      <c r="P2121" s="1" cm="1">
        <f t="array" ref="P2121">SUMPRODUCT(("var_ncap"=[1]OUT_TransportEnergyCons!$B$4:$B$10000)*1,("-"=[1]OUT_TransportEnergyCons!$C$4:$C$10000)*1,ISNUMBER(SEARCH("T_C*pev*GSL*s2",[1]OUT_TransportEnergyCons!$A$4:$A$10000))*1,[1]OUT_TransportEnergyCons!N$4:N$10000)</f>
        <v>1.9098356614084301E-2</v>
      </c>
      <c r="Q2121" s="1" cm="1">
        <f t="array" ref="Q2121">SUMPRODUCT(("var_ncap"=[1]OUT_TransportEnergyCons!$B$4:$B$10000)*1,("-"=[1]OUT_TransportEnergyCons!$C$4:$C$10000)*1,ISNUMBER(SEARCH("T_C*pev*GSL*s2",[1]OUT_TransportEnergyCons!$A$4:$A$10000))*1,[1]OUT_TransportEnergyCons!O$4:O$10000)</f>
        <v>6.66415800123373E-3</v>
      </c>
      <c r="S2121" s="3"/>
    </row>
    <row r="2122" spans="2:19" x14ac:dyDescent="0.5">
      <c r="B2122" s="5" t="str">
        <f t="shared" si="2239"/>
        <v>SPS1</v>
      </c>
      <c r="C2122" s="5" t="str">
        <f t="shared" si="2240"/>
        <v>CH</v>
      </c>
      <c r="D2122" t="s">
        <v>2251</v>
      </c>
      <c r="E2122" t="str">
        <f t="shared" si="2241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3.37578149975845E-4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3.1382084817096097E-2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1.2520380500973099E-2</v>
      </c>
      <c r="J2122" s="1" cm="1">
        <f t="array" ref="J2122">SUMPRODUCT(("var_ncap"=[1]OUT_TransportEnergyCons!$B$4:$B$10000)*1,("-"=[1]OUT_TransportEnergyCons!$C$4:$C$10000)*1,ISNUMBER(SEARCH("T_C*pev*GSL*s3",[1]OUT_TransportEnergyCons!$A$4:$A$10000))*1,[1]OUT_TransportEnergyCons!H$4:H$10000)</f>
        <v>3.0891815120898902E-2</v>
      </c>
      <c r="K2122" s="1" cm="1">
        <f t="array" ref="K2122">SUMPRODUCT(("var_ncap"=[1]OUT_TransportEnergyCons!$B$4:$B$10000)*1,("-"=[1]OUT_TransportEnergyCons!$C$4:$C$10000)*1,ISNUMBER(SEARCH("T_C*pev*GSL*s3",[1]OUT_TransportEnergyCons!$A$4:$A$10000))*1,[1]OUT_TransportEnergyCons!I$4:I$10000)</f>
        <v>6.7543860192315205E-4</v>
      </c>
      <c r="L2122" s="1" cm="1">
        <f t="array" ref="L2122">SUMPRODUCT(("var_ncap"=[1]OUT_TransportEnergyCons!$B$4:$B$10000)*1,("-"=[1]OUT_TransportEnergyCons!$C$4:$C$10000)*1,ISNUMBER(SEARCH("T_C*pev*GSL*s3",[1]OUT_TransportEnergyCons!$A$4:$A$10000))*1,[1]OUT_TransportEnergyCons!J$4:J$10000)</f>
        <v>1.61449049448808E-2</v>
      </c>
      <c r="M2122" s="1" cm="1">
        <f t="array" ref="M2122">SUMPRODUCT(("var_ncap"=[1]OUT_TransportEnergyCons!$B$4:$B$10000)*1,("-"=[1]OUT_TransportEnergyCons!$C$4:$C$10000)*1,ISNUMBER(SEARCH("T_C*pev*GSL*s3",[1]OUT_TransportEnergyCons!$A$4:$A$10000))*1,[1]OUT_TransportEnergyCons!K$4:K$10000)</f>
        <v>6.5292610563965906E-5</v>
      </c>
      <c r="N2122" s="1" cm="1">
        <f t="array" ref="N2122">SUMPRODUCT(("var_ncap"=[1]OUT_TransportEnergyCons!$B$4:$B$10000)*1,("-"=[1]OUT_TransportEnergyCons!$C$4:$C$10000)*1,ISNUMBER(SEARCH("T_C*pev*GSL*s3",[1]OUT_TransportEnergyCons!$A$4:$A$10000))*1,[1]OUT_TransportEnergyCons!L$4:L$10000)</f>
        <v>4.2055673455396202E-2</v>
      </c>
      <c r="O2122" s="1" cm="1">
        <f t="array" ref="O2122">SUMPRODUCT(("var_ncap"=[1]OUT_TransportEnergyCons!$B$4:$B$10000)*1,("-"=[1]OUT_TransportEnergyCons!$C$4:$C$10000)*1,ISNUMBER(SEARCH("T_C*pev*GSL*s3",[1]OUT_TransportEnergyCons!$A$4:$A$10000))*1,[1]OUT_TransportEnergyCons!M$4:M$10000)</f>
        <v>3.31648244138486E-3</v>
      </c>
      <c r="P2122" s="1" cm="1">
        <f t="array" ref="P2122">SUMPRODUCT(("var_ncap"=[1]OUT_TransportEnergyCons!$B$4:$B$10000)*1,("-"=[1]OUT_TransportEnergyCons!$C$4:$C$10000)*1,ISNUMBER(SEARCH("T_C*pev*GSL*s3",[1]OUT_TransportEnergyCons!$A$4:$A$10000))*1,[1]OUT_TransportEnergyCons!N$4:N$10000)</f>
        <v>1.5116655485671901E-3</v>
      </c>
      <c r="Q2122" s="1" cm="1">
        <f t="array" ref="Q2122">SUMPRODUCT(("var_ncap"=[1]OUT_TransportEnergyCons!$B$4:$B$10000)*1,("-"=[1]OUT_TransportEnergyCons!$C$4:$C$10000)*1,ISNUMBER(SEARCH("T_C*pev*GSL*s3",[1]OUT_TransportEnergyCons!$A$4:$A$10000))*1,[1]OUT_TransportEnergyCons!O$4:O$10000)</f>
        <v>1.78102745715352E-3</v>
      </c>
      <c r="S2122" s="3"/>
    </row>
    <row r="2123" spans="2:19" x14ac:dyDescent="0.5">
      <c r="B2123" s="5" t="str">
        <f t="shared" si="2239"/>
        <v>SPS1</v>
      </c>
      <c r="C2123" s="5" t="str">
        <f t="shared" si="2240"/>
        <v>CH</v>
      </c>
      <c r="D2123" t="s">
        <v>2252</v>
      </c>
      <c r="E2123" t="str">
        <f t="shared" si="2241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9.8745943117879302E-5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1.5277650527653299E-4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1.3199337546244299E-4</v>
      </c>
      <c r="J2123" s="1" cm="1">
        <f t="array" ref="J2123">SUMPRODUCT(("var_ncap"=[1]OUT_TransportEnergyCons!$B$4:$B$10000)*1,("-"=[1]OUT_TransportEnergyCons!$C$4:$C$10000)*1,ISNUMBER(SEARCH("T_C*pev*GSL*s4",[1]OUT_TransportEnergyCons!$A$4:$A$10000))*1,[1]OUT_TransportEnergyCons!H$4:H$10000)</f>
        <v>2.8063088284962899E-4</v>
      </c>
      <c r="K2123" s="1" cm="1">
        <f t="array" ref="K2123">SUMPRODUCT(("var_ncap"=[1]OUT_TransportEnergyCons!$B$4:$B$10000)*1,("-"=[1]OUT_TransportEnergyCons!$C$4:$C$10000)*1,ISNUMBER(SEARCH("T_C*pev*GSL*s4",[1]OUT_TransportEnergyCons!$A$4:$A$10000))*1,[1]OUT_TransportEnergyCons!I$4:I$10000)</f>
        <v>3.22495934024527E-4</v>
      </c>
      <c r="L2123" s="1" cm="1">
        <f t="array" ref="L2123">SUMPRODUCT(("var_ncap"=[1]OUT_TransportEnergyCons!$B$4:$B$10000)*1,("-"=[1]OUT_TransportEnergyCons!$C$4:$C$10000)*1,ISNUMBER(SEARCH("T_C*pev*GSL*s4",[1]OUT_TransportEnergyCons!$A$4:$A$10000))*1,[1]OUT_TransportEnergyCons!J$4:J$10000)</f>
        <v>7.8439084914312597E-4</v>
      </c>
      <c r="M2123" s="1" cm="1">
        <f t="array" ref="M2123">SUMPRODUCT(("var_ncap"=[1]OUT_TransportEnergyCons!$B$4:$B$10000)*1,("-"=[1]OUT_TransportEnergyCons!$C$4:$C$10000)*1,ISNUMBER(SEARCH("T_C*pev*GSL*s4",[1]OUT_TransportEnergyCons!$A$4:$A$10000))*1,[1]OUT_TransportEnergyCons!K$4:K$10000)</f>
        <v>6.8697136445337596E-5</v>
      </c>
      <c r="N2123" s="1" cm="1">
        <f t="array" ref="N2123">SUMPRODUCT(("var_ncap"=[1]OUT_TransportEnergyCons!$B$4:$B$10000)*1,("-"=[1]OUT_TransportEnergyCons!$C$4:$C$10000)*1,ISNUMBER(SEARCH("T_C*pev*GSL*s4",[1]OUT_TransportEnergyCons!$A$4:$A$10000))*1,[1]OUT_TransportEnergyCons!L$4:L$10000)</f>
        <v>2.76071280588089E-2</v>
      </c>
      <c r="O2123" s="1" cm="1">
        <f t="array" ref="O2123">SUMPRODUCT(("var_ncap"=[1]OUT_TransportEnergyCons!$B$4:$B$10000)*1,("-"=[1]OUT_TransportEnergyCons!$C$4:$C$10000)*1,ISNUMBER(SEARCH("T_C*pev*GSL*s4",[1]OUT_TransportEnergyCons!$A$4:$A$10000))*1,[1]OUT_TransportEnergyCons!M$4:M$10000)</f>
        <v>1.01325017008542E-4</v>
      </c>
      <c r="P2123" s="1" cm="1">
        <f t="array" ref="P2123">SUMPRODUCT(("var_ncap"=[1]OUT_TransportEnergyCons!$B$4:$B$10000)*1,("-"=[1]OUT_TransportEnergyCons!$C$4:$C$10000)*1,ISNUMBER(SEARCH("T_C*pev*GSL*s4",[1]OUT_TransportEnergyCons!$A$4:$A$10000))*1,[1]OUT_TransportEnergyCons!N$4:N$10000)</f>
        <v>6.1239513842554797E-5</v>
      </c>
      <c r="Q2123" s="1" cm="1">
        <f t="array" ref="Q2123">SUMPRODUCT(("var_ncap"=[1]OUT_TransportEnergyCons!$B$4:$B$10000)*1,("-"=[1]OUT_TransportEnergyCons!$C$4:$C$10000)*1,ISNUMBER(SEARCH("T_C*pev*GSL*s4",[1]OUT_TransportEnergyCons!$A$4:$A$10000))*1,[1]OUT_TransportEnergyCons!O$4:O$10000)</f>
        <v>0.114222595207813</v>
      </c>
      <c r="S2123" s="3"/>
    </row>
    <row r="2124" spans="2:19" x14ac:dyDescent="0.5">
      <c r="B2124" s="5" t="str">
        <f t="shared" si="2239"/>
        <v>SPS1</v>
      </c>
      <c r="C2124" s="5" t="str">
        <f t="shared" si="2240"/>
        <v>CH</v>
      </c>
      <c r="D2124" t="s">
        <v>2253</v>
      </c>
      <c r="E2124" t="str">
        <f t="shared" si="2241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5.6436889737708897E-5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5.43203827588199E-5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5.11525774877642E-5</v>
      </c>
      <c r="J2124" s="1" cm="1">
        <f t="array" ref="J2124">SUMPRODUCT(("var_ncap"=[1]OUT_TransportEnergyCons!$B$4:$B$10000)*1,("-"=[1]OUT_TransportEnergyCons!$C$4:$C$10000)*1,ISNUMBER(SEARCH("T_C*pev*dsl*s1",[1]OUT_TransportEnergyCons!$A$4:$A$10000))*1,[1]OUT_TransportEnergyCons!H$4:H$10000)</f>
        <v>1.00538112158494E-4</v>
      </c>
      <c r="K2124" s="1" cm="1">
        <f t="array" ref="K2124">SUMPRODUCT(("var_ncap"=[1]OUT_TransportEnergyCons!$B$4:$B$10000)*1,("-"=[1]OUT_TransportEnergyCons!$C$4:$C$10000)*1,ISNUMBER(SEARCH("T_C*pev*dsl*s1",[1]OUT_TransportEnergyCons!$A$4:$A$10000))*1,[1]OUT_TransportEnergyCons!I$4:I$10000)</f>
        <v>2.2068876331743701E-4</v>
      </c>
      <c r="L2124" s="1" cm="1">
        <f t="array" ref="L2124">SUMPRODUCT(("var_ncap"=[1]OUT_TransportEnergyCons!$B$4:$B$10000)*1,("-"=[1]OUT_TransportEnergyCons!$C$4:$C$10000)*1,ISNUMBER(SEARCH("T_C*pev*dsl*s1",[1]OUT_TransportEnergyCons!$A$4:$A$10000))*1,[1]OUT_TransportEnergyCons!J$4:J$10000)</f>
        <v>1.42317614141197E-4</v>
      </c>
      <c r="M2124" s="1" cm="1">
        <f t="array" ref="M2124">SUMPRODUCT(("var_ncap"=[1]OUT_TransportEnergyCons!$B$4:$B$10000)*1,("-"=[1]OUT_TransportEnergyCons!$C$4:$C$10000)*1,ISNUMBER(SEARCH("T_C*pev*dsl*s1",[1]OUT_TransportEnergyCons!$A$4:$A$10000))*1,[1]OUT_TransportEnergyCons!K$4:K$10000)</f>
        <v>4.5923875562089598E-4</v>
      </c>
      <c r="N2124" s="1" cm="1">
        <f t="array" ref="N2124">SUMPRODUCT(("var_ncap"=[1]OUT_TransportEnergyCons!$B$4:$B$10000)*1,("-"=[1]OUT_TransportEnergyCons!$C$4:$C$10000)*1,ISNUMBER(SEARCH("T_C*pev*dsl*s1",[1]OUT_TransportEnergyCons!$A$4:$A$10000))*1,[1]OUT_TransportEnergyCons!L$4:L$10000)</f>
        <v>4.0939799943128199E-5</v>
      </c>
      <c r="O2124" s="1" cm="1">
        <f t="array" ref="O2124">SUMPRODUCT(("var_ncap"=[1]OUT_TransportEnergyCons!$B$4:$B$10000)*1,("-"=[1]OUT_TransportEnergyCons!$C$4:$C$10000)*1,ISNUMBER(SEARCH("T_C*pev*dsl*s1",[1]OUT_TransportEnergyCons!$A$4:$A$10000))*1,[1]OUT_TransportEnergyCons!M$4:M$10000)</f>
        <v>1.29009766489534E-5</v>
      </c>
      <c r="P2124" s="1" cm="1">
        <f t="array" ref="P2124">SUMPRODUCT(("var_ncap"=[1]OUT_TransportEnergyCons!$B$4:$B$10000)*1,("-"=[1]OUT_TransportEnergyCons!$C$4:$C$10000)*1,ISNUMBER(SEARCH("T_C*pev*dsl*s1",[1]OUT_TransportEnergyCons!$A$4:$A$10000))*1,[1]OUT_TransportEnergyCons!N$4:N$10000)</f>
        <v>1.30038967900134E-5</v>
      </c>
      <c r="Q2124" s="1" cm="1">
        <f t="array" ref="Q2124">SUMPRODUCT(("var_ncap"=[1]OUT_TransportEnergyCons!$B$4:$B$10000)*1,("-"=[1]OUT_TransportEnergyCons!$C$4:$C$10000)*1,ISNUMBER(SEARCH("T_C*pev*dsl*s1",[1]OUT_TransportEnergyCons!$A$4:$A$10000))*1,[1]OUT_TransportEnergyCons!O$4:O$10000)</f>
        <v>1.7895042994571801E-5</v>
      </c>
      <c r="S2124" s="3"/>
    </row>
    <row r="2125" spans="2:19" x14ac:dyDescent="0.5">
      <c r="B2125" s="5" t="str">
        <f t="shared" si="2239"/>
        <v>SPS1</v>
      </c>
      <c r="C2125" s="5" t="str">
        <f t="shared" si="2240"/>
        <v>CH</v>
      </c>
      <c r="D2125" t="s">
        <v>2254</v>
      </c>
      <c r="E2125" t="str">
        <f t="shared" si="2241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3.8478413304046098E-5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1.60329320627898E-4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1.23998462343812E-4</v>
      </c>
      <c r="J2125" s="1" cm="1">
        <f t="array" ref="J2125">SUMPRODUCT(("var_ncap"=[1]OUT_TransportEnergyCons!$B$4:$B$10000)*1,("-"=[1]OUT_TransportEnergyCons!$C$4:$C$10000)*1,ISNUMBER(SEARCH("T_C*pev*dsl*s2",[1]OUT_TransportEnergyCons!$A$4:$A$10000))*1,[1]OUT_TransportEnergyCons!H$4:H$10000)</f>
        <v>5.8006620977053196E-4</v>
      </c>
      <c r="K2125" s="1" cm="1">
        <f t="array" ref="K2125">SUMPRODUCT(("var_ncap"=[1]OUT_TransportEnergyCons!$B$4:$B$10000)*1,("-"=[1]OUT_TransportEnergyCons!$C$4:$C$10000)*1,ISNUMBER(SEARCH("T_C*pev*dsl*s2",[1]OUT_TransportEnergyCons!$A$4:$A$10000))*1,[1]OUT_TransportEnergyCons!I$4:I$10000)</f>
        <v>5.9904640800272297E-4</v>
      </c>
      <c r="L2125" s="1" cm="1">
        <f t="array" ref="L2125">SUMPRODUCT(("var_ncap"=[1]OUT_TransportEnergyCons!$B$4:$B$10000)*1,("-"=[1]OUT_TransportEnergyCons!$C$4:$C$10000)*1,ISNUMBER(SEARCH("T_C*pev*dsl*s2",[1]OUT_TransportEnergyCons!$A$4:$A$10000))*1,[1]OUT_TransportEnergyCons!J$4:J$10000)</f>
        <v>3.5499420499732198E-4</v>
      </c>
      <c r="M2125" s="1" cm="1">
        <f t="array" ref="M2125">SUMPRODUCT(("var_ncap"=[1]OUT_TransportEnergyCons!$B$4:$B$10000)*1,("-"=[1]OUT_TransportEnergyCons!$C$4:$C$10000)*1,ISNUMBER(SEARCH("T_C*pev*dsl*s2",[1]OUT_TransportEnergyCons!$A$4:$A$10000))*1,[1]OUT_TransportEnergyCons!K$4:K$10000)</f>
        <v>6.5894988109942696E-4</v>
      </c>
      <c r="N2125" s="1" cm="1">
        <f t="array" ref="N2125">SUMPRODUCT(("var_ncap"=[1]OUT_TransportEnergyCons!$B$4:$B$10000)*1,("-"=[1]OUT_TransportEnergyCons!$C$4:$C$10000)*1,ISNUMBER(SEARCH("T_C*pev*dsl*s2",[1]OUT_TransportEnergyCons!$A$4:$A$10000))*1,[1]OUT_TransportEnergyCons!L$4:L$10000)</f>
        <v>4.0928697849388002E-5</v>
      </c>
      <c r="O2125" s="1" cm="1">
        <f t="array" ref="O2125">SUMPRODUCT(("var_ncap"=[1]OUT_TransportEnergyCons!$B$4:$B$10000)*1,("-"=[1]OUT_TransportEnergyCons!$C$4:$C$10000)*1,ISNUMBER(SEARCH("T_C*pev*dsl*s2",[1]OUT_TransportEnergyCons!$A$4:$A$10000))*1,[1]OUT_TransportEnergyCons!M$4:M$10000)</f>
        <v>1.3255651991394101E-5</v>
      </c>
      <c r="P2125" s="1" cm="1">
        <f t="array" ref="P2125">SUMPRODUCT(("var_ncap"=[1]OUT_TransportEnergyCons!$B$4:$B$10000)*1,("-"=[1]OUT_TransportEnergyCons!$C$4:$C$10000)*1,ISNUMBER(SEARCH("T_C*pev*dsl*s2",[1]OUT_TransportEnergyCons!$A$4:$A$10000))*1,[1]OUT_TransportEnergyCons!N$4:N$10000)</f>
        <v>1.33195968073839E-5</v>
      </c>
      <c r="Q2125" s="1" cm="1">
        <f t="array" ref="Q2125">SUMPRODUCT(("var_ncap"=[1]OUT_TransportEnergyCons!$B$4:$B$10000)*1,("-"=[1]OUT_TransportEnergyCons!$C$4:$C$10000)*1,ISNUMBER(SEARCH("T_C*pev*dsl*s2",[1]OUT_TransportEnergyCons!$A$4:$A$10000))*1,[1]OUT_TransportEnergyCons!O$4:O$10000)</f>
        <v>1.8498680931099702E-5</v>
      </c>
      <c r="S2125" s="3"/>
    </row>
    <row r="2126" spans="2:19" x14ac:dyDescent="0.5">
      <c r="B2126" s="5" t="str">
        <f t="shared" si="2239"/>
        <v>SPS1</v>
      </c>
      <c r="C2126" s="5" t="str">
        <f t="shared" si="2240"/>
        <v>CH</v>
      </c>
      <c r="D2126" t="s">
        <v>2255</v>
      </c>
      <c r="E2126" t="str">
        <f t="shared" si="2241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3.2507207428892897E-2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7.9278362193775195E-2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0.31247078938042699</v>
      </c>
      <c r="J2126" s="1" cm="1">
        <f t="array" ref="J2126">SUMPRODUCT(("var_ncap"=[1]OUT_TransportEnergyCons!$B$4:$B$10000)*1,("-"=[1]OUT_TransportEnergyCons!$C$4:$C$10000)*1,ISNUMBER(SEARCH("T_C*pev*dsl*s3",[1]OUT_TransportEnergyCons!$A$4:$A$10000))*1,[1]OUT_TransportEnergyCons!H$4:H$10000)</f>
        <v>0.33068933645294102</v>
      </c>
      <c r="K2126" s="1" cm="1">
        <f t="array" ref="K2126">SUMPRODUCT(("var_ncap"=[1]OUT_TransportEnergyCons!$B$4:$B$10000)*1,("-"=[1]OUT_TransportEnergyCons!$C$4:$C$10000)*1,ISNUMBER(SEARCH("T_C*pev*dsl*s3",[1]OUT_TransportEnergyCons!$A$4:$A$10000))*1,[1]OUT_TransportEnergyCons!I$4:I$10000)</f>
        <v>8.4105338352610901E-4</v>
      </c>
      <c r="L2126" s="1" cm="1">
        <f t="array" ref="L2126">SUMPRODUCT(("var_ncap"=[1]OUT_TransportEnergyCons!$B$4:$B$10000)*1,("-"=[1]OUT_TransportEnergyCons!$C$4:$C$10000)*1,ISNUMBER(SEARCH("T_C*pev*dsl*s3",[1]OUT_TransportEnergyCons!$A$4:$A$10000))*1,[1]OUT_TransportEnergyCons!J$4:J$10000)</f>
        <v>0.114023453042105</v>
      </c>
      <c r="M2126" s="1" cm="1">
        <f t="array" ref="M2126">SUMPRODUCT(("var_ncap"=[1]OUT_TransportEnergyCons!$B$4:$B$10000)*1,("-"=[1]OUT_TransportEnergyCons!$C$4:$C$10000)*1,ISNUMBER(SEARCH("T_C*pev*dsl*s3",[1]OUT_TransportEnergyCons!$A$4:$A$10000))*1,[1]OUT_TransportEnergyCons!K$4:K$10000)</f>
        <v>0.212060398356962</v>
      </c>
      <c r="N2126" s="1" cm="1">
        <f t="array" ref="N2126">SUMPRODUCT(("var_ncap"=[1]OUT_TransportEnergyCons!$B$4:$B$10000)*1,("-"=[1]OUT_TransportEnergyCons!$C$4:$C$10000)*1,ISNUMBER(SEARCH("T_C*pev*dsl*s3",[1]OUT_TransportEnergyCons!$A$4:$A$10000))*1,[1]OUT_TransportEnergyCons!L$4:L$10000)</f>
        <v>4.47368488026698E-5</v>
      </c>
      <c r="O2126" s="1" cm="1">
        <f t="array" ref="O2126">SUMPRODUCT(("var_ncap"=[1]OUT_TransportEnergyCons!$B$4:$B$10000)*1,("-"=[1]OUT_TransportEnergyCons!$C$4:$C$10000)*1,ISNUMBER(SEARCH("T_C*pev*dsl*s3",[1]OUT_TransportEnergyCons!$A$4:$A$10000))*1,[1]OUT_TransportEnergyCons!M$4:M$10000)</f>
        <v>1.32831838457851E-5</v>
      </c>
      <c r="P2126" s="1" cm="1">
        <f t="array" ref="P2126">SUMPRODUCT(("var_ncap"=[1]OUT_TransportEnergyCons!$B$4:$B$10000)*1,("-"=[1]OUT_TransportEnergyCons!$C$4:$C$10000)*1,ISNUMBER(SEARCH("T_C*pev*dsl*s3",[1]OUT_TransportEnergyCons!$A$4:$A$10000))*1,[1]OUT_TransportEnergyCons!N$4:N$10000)</f>
        <v>1.2811780331546201E-5</v>
      </c>
      <c r="Q2126" s="1" cm="1">
        <f t="array" ref="Q2126">SUMPRODUCT(("var_ncap"=[1]OUT_TransportEnergyCons!$B$4:$B$10000)*1,("-"=[1]OUT_TransportEnergyCons!$C$4:$C$10000)*1,ISNUMBER(SEARCH("T_C*pev*dsl*s3",[1]OUT_TransportEnergyCons!$A$4:$A$10000))*1,[1]OUT_TransportEnergyCons!O$4:O$10000)</f>
        <v>1.9212341963090001E-5</v>
      </c>
      <c r="S2126" s="3"/>
    </row>
    <row r="2127" spans="2:19" x14ac:dyDescent="0.5">
      <c r="B2127" s="5" t="str">
        <f t="shared" si="2239"/>
        <v>SPS1</v>
      </c>
      <c r="C2127" s="5" t="str">
        <f t="shared" si="2240"/>
        <v>CH</v>
      </c>
      <c r="D2127" t="s">
        <v>2256</v>
      </c>
      <c r="E2127" t="str">
        <f t="shared" si="2241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1.66378781208303E-4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2.0027791049369699E-4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2.4776295311157399E-4</v>
      </c>
      <c r="J2127" s="1" cm="1">
        <f t="array" ref="J2127">SUMPRODUCT(("var_ncap"=[1]OUT_TransportEnergyCons!$B$4:$B$10000)*1,("-"=[1]OUT_TransportEnergyCons!$C$4:$C$10000)*1,ISNUMBER(SEARCH("T_C*pev*dsl*s4",[1]OUT_TransportEnergyCons!$A$4:$A$10000))*1,[1]OUT_TransportEnergyCons!H$4:H$10000)</f>
        <v>0.143405738046959</v>
      </c>
      <c r="K2127" s="1" cm="1">
        <f t="array" ref="K2127">SUMPRODUCT(("var_ncap"=[1]OUT_TransportEnergyCons!$B$4:$B$10000)*1,("-"=[1]OUT_TransportEnergyCons!$C$4:$C$10000)*1,ISNUMBER(SEARCH("T_C*pev*dsl*s4",[1]OUT_TransportEnergyCons!$A$4:$A$10000))*1,[1]OUT_TransportEnergyCons!I$4:I$10000)</f>
        <v>0.24279825121717599</v>
      </c>
      <c r="L2127" s="1" cm="1">
        <f t="array" ref="L2127">SUMPRODUCT(("var_ncap"=[1]OUT_TransportEnergyCons!$B$4:$B$10000)*1,("-"=[1]OUT_TransportEnergyCons!$C$4:$C$10000)*1,ISNUMBER(SEARCH("T_C*pev*dsl*s4",[1]OUT_TransportEnergyCons!$A$4:$A$10000))*1,[1]OUT_TransportEnergyCons!J$4:J$10000)</f>
        <v>0.16353047776766</v>
      </c>
      <c r="M2127" s="1" cm="1">
        <f t="array" ref="M2127">SUMPRODUCT(("var_ncap"=[1]OUT_TransportEnergyCons!$B$4:$B$10000)*1,("-"=[1]OUT_TransportEnergyCons!$C$4:$C$10000)*1,ISNUMBER(SEARCH("T_C*pev*dsl*s4",[1]OUT_TransportEnergyCons!$A$4:$A$10000))*1,[1]OUT_TransportEnergyCons!K$4:K$10000)</f>
        <v>0.135056332769313</v>
      </c>
      <c r="N2127" s="1" cm="1">
        <f t="array" ref="N2127">SUMPRODUCT(("var_ncap"=[1]OUT_TransportEnergyCons!$B$4:$B$10000)*1,("-"=[1]OUT_TransportEnergyCons!$C$4:$C$10000)*1,ISNUMBER(SEARCH("T_C*pev*dsl*s4",[1]OUT_TransportEnergyCons!$A$4:$A$10000))*1,[1]OUT_TransportEnergyCons!L$4:L$10000)</f>
        <v>0.21509456175391301</v>
      </c>
      <c r="O2127" s="1" cm="1">
        <f t="array" ref="O2127">SUMPRODUCT(("var_ncap"=[1]OUT_TransportEnergyCons!$B$4:$B$10000)*1,("-"=[1]OUT_TransportEnergyCons!$C$4:$C$10000)*1,ISNUMBER(SEARCH("T_C*pev*dsl*s4",[1]OUT_TransportEnergyCons!$A$4:$A$10000))*1,[1]OUT_TransportEnergyCons!M$4:M$10000)</f>
        <v>0.262700979097506</v>
      </c>
      <c r="P2127" s="1" cm="1">
        <f t="array" ref="P2127">SUMPRODUCT(("var_ncap"=[1]OUT_TransportEnergyCons!$B$4:$B$10000)*1,("-"=[1]OUT_TransportEnergyCons!$C$4:$C$10000)*1,ISNUMBER(SEARCH("T_C*pev*dsl*s4",[1]OUT_TransportEnergyCons!$A$4:$A$10000))*1,[1]OUT_TransportEnergyCons!N$4:N$10000)</f>
        <v>0.29815381286881298</v>
      </c>
      <c r="Q2127" s="1" cm="1">
        <f t="array" ref="Q2127">SUMPRODUCT(("var_ncap"=[1]OUT_TransportEnergyCons!$B$4:$B$10000)*1,("-"=[1]OUT_TransportEnergyCons!$C$4:$C$10000)*1,ISNUMBER(SEARCH("T_C*pev*dsl*s4",[1]OUT_TransportEnergyCons!$A$4:$A$10000))*1,[1]OUT_TransportEnergyCons!O$4:O$10000)</f>
        <v>0.14162396943859201</v>
      </c>
      <c r="S2127" s="3"/>
    </row>
    <row r="2128" spans="2:19" x14ac:dyDescent="0.5">
      <c r="B2128" s="5" t="str">
        <f t="shared" si="2239"/>
        <v>SPS1</v>
      </c>
      <c r="C2128" s="5" t="str">
        <f t="shared" si="2240"/>
        <v>CH</v>
      </c>
      <c r="D2128" t="s">
        <v>2257</v>
      </c>
      <c r="E2128" t="str">
        <f t="shared" si="2241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2.4431040288780201E-6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1.6584403348194801E-6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5.2254997148800901E-7</v>
      </c>
      <c r="J2128" s="1" cm="1">
        <f t="array" ref="J2128">SUMPRODUCT(("var_ncap"=[1]OUT_TransportEnergyCons!$B$4:$B$10000)*1,("-"=[1]OUT_TransportEnergyCons!$C$4:$C$10000)*1,ISNUMBER(SEARCH("T_C*h2o*s1",[1]OUT_TransportEnergyCons!$A$4:$A$10000))*1,[1]OUT_TransportEnergyCons!H$4:H$10000)</f>
        <v>8.4215061411261002E-7</v>
      </c>
      <c r="K2128" s="1" cm="1">
        <f t="array" ref="K2128">SUMPRODUCT(("var_ncap"=[1]OUT_TransportEnergyCons!$B$4:$B$10000)*1,("-"=[1]OUT_TransportEnergyCons!$C$4:$C$10000)*1,ISNUMBER(SEARCH("T_C*h2o*s1",[1]OUT_TransportEnergyCons!$A$4:$A$10000))*1,[1]OUT_TransportEnergyCons!I$4:I$10000)</f>
        <v>1.51826234582813E-6</v>
      </c>
      <c r="L2128" s="1" cm="1">
        <f t="array" ref="L2128">SUMPRODUCT(("var_ncap"=[1]OUT_TransportEnergyCons!$B$4:$B$10000)*1,("-"=[1]OUT_TransportEnergyCons!$C$4:$C$10000)*1,ISNUMBER(SEARCH("T_C*h2o*s1",[1]OUT_TransportEnergyCons!$A$4:$A$10000))*1,[1]OUT_TransportEnergyCons!J$4:J$10000)</f>
        <v>8.3735340694431297E-7</v>
      </c>
      <c r="M2128" s="1" cm="1">
        <f t="array" ref="M2128">SUMPRODUCT(("var_ncap"=[1]OUT_TransportEnergyCons!$B$4:$B$10000)*1,("-"=[1]OUT_TransportEnergyCons!$C$4:$C$10000)*1,ISNUMBER(SEARCH("T_C*h2o*s1",[1]OUT_TransportEnergyCons!$A$4:$A$10000))*1,[1]OUT_TransportEnergyCons!K$4:K$10000)</f>
        <v>7.26507205177757E-7</v>
      </c>
      <c r="N2128" s="1" cm="1">
        <f t="array" ref="N2128">SUMPRODUCT(("var_ncap"=[1]OUT_TransportEnergyCons!$B$4:$B$10000)*1,("-"=[1]OUT_TransportEnergyCons!$C$4:$C$10000)*1,ISNUMBER(SEARCH("T_C*h2o*s1",[1]OUT_TransportEnergyCons!$A$4:$A$10000))*1,[1]OUT_TransportEnergyCons!L$4:L$10000)</f>
        <v>5.9857239376281796E-7</v>
      </c>
      <c r="O2128" s="1" cm="1">
        <f t="array" ref="O2128">SUMPRODUCT(("var_ncap"=[1]OUT_TransportEnergyCons!$B$4:$B$10000)*1,("-"=[1]OUT_TransportEnergyCons!$C$4:$C$10000)*1,ISNUMBER(SEARCH("T_C*h2o*s1",[1]OUT_TransportEnergyCons!$A$4:$A$10000))*1,[1]OUT_TransportEnergyCons!M$4:M$10000)</f>
        <v>6.2462581863433204E-7</v>
      </c>
      <c r="P2128" s="1" cm="1">
        <f t="array" ref="P2128">SUMPRODUCT(("var_ncap"=[1]OUT_TransportEnergyCons!$B$4:$B$10000)*1,("-"=[1]OUT_TransportEnergyCons!$C$4:$C$10000)*1,ISNUMBER(SEARCH("T_C*h2o*s1",[1]OUT_TransportEnergyCons!$A$4:$A$10000))*1,[1]OUT_TransportEnergyCons!N$4:N$10000)</f>
        <v>4.5383793062237699E-7</v>
      </c>
      <c r="Q2128" s="1" cm="1">
        <f t="array" ref="Q2128">SUMPRODUCT(("var_ncap"=[1]OUT_TransportEnergyCons!$B$4:$B$10000)*1,("-"=[1]OUT_TransportEnergyCons!$C$4:$C$10000)*1,ISNUMBER(SEARCH("T_C*h2o*s1",[1]OUT_TransportEnergyCons!$A$4:$A$10000))*1,[1]OUT_TransportEnergyCons!O$4:O$10000)</f>
        <v>4.6659940391095103E-6</v>
      </c>
      <c r="S2128" s="3"/>
    </row>
    <row r="2129" spans="2:19" x14ac:dyDescent="0.5">
      <c r="B2129" s="5" t="str">
        <f t="shared" si="2239"/>
        <v>SPS1</v>
      </c>
      <c r="C2129" s="5" t="str">
        <f t="shared" si="2240"/>
        <v>CH</v>
      </c>
      <c r="D2129" t="s">
        <v>2258</v>
      </c>
      <c r="E2129" t="str">
        <f t="shared" si="2241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1.2617692648078399E-6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9.8809927469263899E-7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5.1682835187276602E-7</v>
      </c>
      <c r="J2129" s="1" cm="1">
        <f t="array" ref="J2129">SUMPRODUCT(("var_ncap"=[1]OUT_TransportEnergyCons!$B$4:$B$10000)*1,("-"=[1]OUT_TransportEnergyCons!$C$4:$C$10000)*1,ISNUMBER(SEARCH("T_C*h2o*s2",[1]OUT_TransportEnergyCons!$A$4:$A$10000))*1,[1]OUT_TransportEnergyCons!H$4:H$10000)</f>
        <v>7.1958974825438097E-7</v>
      </c>
      <c r="K2129" s="1" cm="1">
        <f t="array" ref="K2129">SUMPRODUCT(("var_ncap"=[1]OUT_TransportEnergyCons!$B$4:$B$10000)*1,("-"=[1]OUT_TransportEnergyCons!$C$4:$C$10000)*1,ISNUMBER(SEARCH("T_C*h2o*s2",[1]OUT_TransportEnergyCons!$A$4:$A$10000))*1,[1]OUT_TransportEnergyCons!I$4:I$10000)</f>
        <v>9.19268137779919E-7</v>
      </c>
      <c r="L2129" s="1" cm="1">
        <f t="array" ref="L2129">SUMPRODUCT(("var_ncap"=[1]OUT_TransportEnergyCons!$B$4:$B$10000)*1,("-"=[1]OUT_TransportEnergyCons!$C$4:$C$10000)*1,ISNUMBER(SEARCH("T_C*h2o*s2",[1]OUT_TransportEnergyCons!$A$4:$A$10000))*1,[1]OUT_TransportEnergyCons!J$4:J$10000)</f>
        <v>7.3845987020638605E-7</v>
      </c>
      <c r="M2129" s="1" cm="1">
        <f t="array" ref="M2129">SUMPRODUCT(("var_ncap"=[1]OUT_TransportEnergyCons!$B$4:$B$10000)*1,("-"=[1]OUT_TransportEnergyCons!$C$4:$C$10000)*1,ISNUMBER(SEARCH("T_C*h2o*s2",[1]OUT_TransportEnergyCons!$A$4:$A$10000))*1,[1]OUT_TransportEnergyCons!K$4:K$10000)</f>
        <v>6.9930992647679403E-7</v>
      </c>
      <c r="N2129" s="1" cm="1">
        <f t="array" ref="N2129">SUMPRODUCT(("var_ncap"=[1]OUT_TransportEnergyCons!$B$4:$B$10000)*1,("-"=[1]OUT_TransportEnergyCons!$C$4:$C$10000)*1,ISNUMBER(SEARCH("T_C*h2o*s2",[1]OUT_TransportEnergyCons!$A$4:$A$10000))*1,[1]OUT_TransportEnergyCons!L$4:L$10000)</f>
        <v>6.3143891410881602E-7</v>
      </c>
      <c r="O2129" s="1" cm="1">
        <f t="array" ref="O2129">SUMPRODUCT(("var_ncap"=[1]OUT_TransportEnergyCons!$B$4:$B$10000)*1,("-"=[1]OUT_TransportEnergyCons!$C$4:$C$10000)*1,ISNUMBER(SEARCH("T_C*h2o*s2",[1]OUT_TransportEnergyCons!$A$4:$A$10000))*1,[1]OUT_TransportEnergyCons!M$4:M$10000)</f>
        <v>7.4833708995410497E-7</v>
      </c>
      <c r="P2129" s="1" cm="1">
        <f t="array" ref="P2129">SUMPRODUCT(("var_ncap"=[1]OUT_TransportEnergyCons!$B$4:$B$10000)*1,("-"=[1]OUT_TransportEnergyCons!$C$4:$C$10000)*1,ISNUMBER(SEARCH("T_C*h2o*s2",[1]OUT_TransportEnergyCons!$A$4:$A$10000))*1,[1]OUT_TransportEnergyCons!N$4:N$10000)</f>
        <v>7.0918582794615599E-7</v>
      </c>
      <c r="Q2129" s="1" cm="1">
        <f t="array" ref="Q2129">SUMPRODUCT(("var_ncap"=[1]OUT_TransportEnergyCons!$B$4:$B$10000)*1,("-"=[1]OUT_TransportEnergyCons!$C$4:$C$10000)*1,ISNUMBER(SEARCH("T_C*h2o*s2",[1]OUT_TransportEnergyCons!$A$4:$A$10000))*1,[1]OUT_TransportEnergyCons!O$4:O$10000)</f>
        <v>4.6896145436261902E-6</v>
      </c>
      <c r="S2129" s="3"/>
    </row>
    <row r="2130" spans="2:19" x14ac:dyDescent="0.5">
      <c r="B2130" s="5" t="str">
        <f t="shared" si="2239"/>
        <v>SPS1</v>
      </c>
      <c r="C2130" s="5" t="str">
        <f t="shared" si="2240"/>
        <v>CH</v>
      </c>
      <c r="D2130" t="s">
        <v>2259</v>
      </c>
      <c r="E2130" t="str">
        <f t="shared" si="2241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1.1087419013264801E-6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7.4959032284253195E-7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4.4684147305221502E-7</v>
      </c>
      <c r="J2130" s="1" cm="1">
        <f t="array" ref="J2130">SUMPRODUCT(("var_ncap"=[1]OUT_TransportEnergyCons!$B$4:$B$10000)*1,("-"=[1]OUT_TransportEnergyCons!$C$4:$C$10000)*1,ISNUMBER(SEARCH("T_C*h2o*s3",[1]OUT_TransportEnergyCons!$A$4:$A$10000))*1,[1]OUT_TransportEnergyCons!H$4:H$10000)</f>
        <v>6.4329147978563995E-7</v>
      </c>
      <c r="K2130" s="1" cm="1">
        <f t="array" ref="K2130">SUMPRODUCT(("var_ncap"=[1]OUT_TransportEnergyCons!$B$4:$B$10000)*1,("-"=[1]OUT_TransportEnergyCons!$C$4:$C$10000)*1,ISNUMBER(SEARCH("T_C*h2o*s3",[1]OUT_TransportEnergyCons!$A$4:$A$10000))*1,[1]OUT_TransportEnergyCons!I$4:I$10000)</f>
        <v>7.8606712581418802E-7</v>
      </c>
      <c r="L2130" s="1" cm="1">
        <f t="array" ref="L2130">SUMPRODUCT(("var_ncap"=[1]OUT_TransportEnergyCons!$B$4:$B$10000)*1,("-"=[1]OUT_TransportEnergyCons!$C$4:$C$10000)*1,ISNUMBER(SEARCH("T_C*h2o*s3",[1]OUT_TransportEnergyCons!$A$4:$A$10000))*1,[1]OUT_TransportEnergyCons!J$4:J$10000)</f>
        <v>6.9625881651462705E-7</v>
      </c>
      <c r="M2130" s="1" cm="1">
        <f t="array" ref="M2130">SUMPRODUCT(("var_ncap"=[1]OUT_TransportEnergyCons!$B$4:$B$10000)*1,("-"=[1]OUT_TransportEnergyCons!$C$4:$C$10000)*1,ISNUMBER(SEARCH("T_C*h2o*s3",[1]OUT_TransportEnergyCons!$A$4:$A$10000))*1,[1]OUT_TransportEnergyCons!K$4:K$10000)</f>
        <v>6.7107296813596002E-7</v>
      </c>
      <c r="N2130" s="1" cm="1">
        <f t="array" ref="N2130">SUMPRODUCT(("var_ncap"=[1]OUT_TransportEnergyCons!$B$4:$B$10000)*1,("-"=[1]OUT_TransportEnergyCons!$C$4:$C$10000)*1,ISNUMBER(SEARCH("T_C*h2o*s3",[1]OUT_TransportEnergyCons!$A$4:$A$10000))*1,[1]OUT_TransportEnergyCons!L$4:L$10000)</f>
        <v>6.4449123949373097E-7</v>
      </c>
      <c r="O2130" s="1" cm="1">
        <f t="array" ref="O2130">SUMPRODUCT(("var_ncap"=[1]OUT_TransportEnergyCons!$B$4:$B$10000)*1,("-"=[1]OUT_TransportEnergyCons!$C$4:$C$10000)*1,ISNUMBER(SEARCH("T_C*h2o*s3",[1]OUT_TransportEnergyCons!$A$4:$A$10000))*1,[1]OUT_TransportEnergyCons!M$4:M$10000)</f>
        <v>7.8212637454352596E-7</v>
      </c>
      <c r="P2130" s="1" cm="1">
        <f t="array" ref="P2130">SUMPRODUCT(("var_ncap"=[1]OUT_TransportEnergyCons!$B$4:$B$10000)*1,("-"=[1]OUT_TransportEnergyCons!$C$4:$C$10000)*1,ISNUMBER(SEARCH("T_C*h2o*s3",[1]OUT_TransportEnergyCons!$A$4:$A$10000))*1,[1]OUT_TransportEnergyCons!N$4:N$10000)</f>
        <v>8.5412884395545202E-7</v>
      </c>
      <c r="Q2130" s="1" cm="1">
        <f t="array" ref="Q2130">SUMPRODUCT(("var_ncap"=[1]OUT_TransportEnergyCons!$B$4:$B$10000)*1,("-"=[1]OUT_TransportEnergyCons!$C$4:$C$10000)*1,ISNUMBER(SEARCH("T_C*h2o*s3",[1]OUT_TransportEnergyCons!$A$4:$A$10000))*1,[1]OUT_TransportEnergyCons!O$4:O$10000)</f>
        <v>4.9205624928204698E-6</v>
      </c>
      <c r="S2130" s="3"/>
    </row>
    <row r="2131" spans="2:19" x14ac:dyDescent="0.5">
      <c r="B2131" s="5" t="str">
        <f t="shared" si="2239"/>
        <v>SPS1</v>
      </c>
      <c r="C2131" s="5" t="str">
        <f t="shared" si="2240"/>
        <v>CH</v>
      </c>
      <c r="D2131" t="s">
        <v>2260</v>
      </c>
      <c r="E2131" t="str">
        <f t="shared" si="2241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1.3780132133674299E-6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9.3880704066776301E-7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5.15462848946723E-7</v>
      </c>
      <c r="J2131" s="1" cm="1">
        <f t="array" ref="J2131">SUMPRODUCT(("var_ncap"=[1]OUT_TransportEnergyCons!$B$4:$B$10000)*1,("-"=[1]OUT_TransportEnergyCons!$C$4:$C$10000)*1,ISNUMBER(SEARCH("T_C*h2o*s4",[1]OUT_TransportEnergyCons!$A$4:$A$10000))*1,[1]OUT_TransportEnergyCons!H$4:H$10000)</f>
        <v>7.5736409175325996E-7</v>
      </c>
      <c r="K2131" s="1" cm="1">
        <f t="array" ref="K2131">SUMPRODUCT(("var_ncap"=[1]OUT_TransportEnergyCons!$B$4:$B$10000)*1,("-"=[1]OUT_TransportEnergyCons!$C$4:$C$10000)*1,ISNUMBER(SEARCH("T_C*h2o*s4",[1]OUT_TransportEnergyCons!$A$4:$A$10000))*1,[1]OUT_TransportEnergyCons!I$4:I$10000)</f>
        <v>1.0027498445341499E-6</v>
      </c>
      <c r="L2131" s="1" cm="1">
        <f t="array" ref="L2131">SUMPRODUCT(("var_ncap"=[1]OUT_TransportEnergyCons!$B$4:$B$10000)*1,("-"=[1]OUT_TransportEnergyCons!$C$4:$C$10000)*1,ISNUMBER(SEARCH("T_C*h2o*s4",[1]OUT_TransportEnergyCons!$A$4:$A$10000))*1,[1]OUT_TransportEnergyCons!J$4:J$10000)</f>
        <v>8.02884935334058E-7</v>
      </c>
      <c r="M2131" s="1" cm="1">
        <f t="array" ref="M2131">SUMPRODUCT(("var_ncap"=[1]OUT_TransportEnergyCons!$B$4:$B$10000)*1,("-"=[1]OUT_TransportEnergyCons!$C$4:$C$10000)*1,ISNUMBER(SEARCH("T_C*h2o*s4",[1]OUT_TransportEnergyCons!$A$4:$A$10000))*1,[1]OUT_TransportEnergyCons!K$4:K$10000)</f>
        <v>7.5064438923852897E-7</v>
      </c>
      <c r="N2131" s="1" cm="1">
        <f t="array" ref="N2131">SUMPRODUCT(("var_ncap"=[1]OUT_TransportEnergyCons!$B$4:$B$10000)*1,("-"=[1]OUT_TransportEnergyCons!$C$4:$C$10000)*1,ISNUMBER(SEARCH("T_C*h2o*s4",[1]OUT_TransportEnergyCons!$A$4:$A$10000))*1,[1]OUT_TransportEnergyCons!L$4:L$10000)</f>
        <v>6.4657788722356198E-7</v>
      </c>
      <c r="O2131" s="1" cm="1">
        <f t="array" ref="O2131">SUMPRODUCT(("var_ncap"=[1]OUT_TransportEnergyCons!$B$4:$B$10000)*1,("-"=[1]OUT_TransportEnergyCons!$C$4:$C$10000)*1,ISNUMBER(SEARCH("T_C*h2o*s4",[1]OUT_TransportEnergyCons!$A$4:$A$10000))*1,[1]OUT_TransportEnergyCons!M$4:M$10000)</f>
        <v>7.4577920449337496E-7</v>
      </c>
      <c r="P2131" s="1" cm="1">
        <f t="array" ref="P2131">SUMPRODUCT(("var_ncap"=[1]OUT_TransportEnergyCons!$B$4:$B$10000)*1,("-"=[1]OUT_TransportEnergyCons!$C$4:$C$10000)*1,ISNUMBER(SEARCH("T_C*h2o*s4",[1]OUT_TransportEnergyCons!$A$4:$A$10000))*1,[1]OUT_TransportEnergyCons!N$4:N$10000)</f>
        <v>6.5312266945418903E-7</v>
      </c>
      <c r="Q2131" s="1" cm="1">
        <f t="array" ref="Q2131">SUMPRODUCT(("var_ncap"=[1]OUT_TransportEnergyCons!$B$4:$B$10000)*1,("-"=[1]OUT_TransportEnergyCons!$C$4:$C$10000)*1,ISNUMBER(SEARCH("T_C*h2o*s4",[1]OUT_TransportEnergyCons!$A$4:$A$10000))*1,[1]OUT_TransportEnergyCons!O$4:O$10000)</f>
        <v>5.2792961637047502E-6</v>
      </c>
      <c r="S2131" s="3"/>
    </row>
    <row r="2132" spans="2:19" x14ac:dyDescent="0.5">
      <c r="B2132" s="5" t="str">
        <f t="shared" si="2239"/>
        <v>SPS1</v>
      </c>
      <c r="C2132" s="5" t="str">
        <f t="shared" si="2240"/>
        <v>CH</v>
      </c>
      <c r="D2132" t="s">
        <v>2261</v>
      </c>
      <c r="E2132" t="str">
        <f t="shared" si="2241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SUMPRODUCT(("var_ncap"=[1]OUT_TransportEnergyCons!$B$4:$B$10000)*1,("-"=[1]OUT_TransportEnergyCons!$C$4:$C$10000)*1,ISNUMBER(SEARCH("T_C*hy*GSL*ext",[1]OUT_TransportEnergyCons!$A$4:$A$10000))*1,[1]OUT_TransportEnergyCons!H$4:H$10000)</f>
        <v>0</v>
      </c>
      <c r="K2132" s="1" cm="1">
        <f t="array" ref="K2132">SUMPRODUCT(("var_ncap"=[1]OUT_TransportEnergyCons!$B$4:$B$10000)*1,("-"=[1]OUT_TransportEnergyCons!$C$4:$C$10000)*1,ISNUMBER(SEARCH("T_C*hy*GSL*ext",[1]OUT_TransportEnergyCons!$A$4:$A$10000))*1,[1]OUT_TransportEnergyCons!I$4:I$10000)</f>
        <v>0</v>
      </c>
      <c r="L2132" s="1" cm="1">
        <f t="array" ref="L2132">SUMPRODUCT(("var_ncap"=[1]OUT_TransportEnergyCons!$B$4:$B$10000)*1,("-"=[1]OUT_TransportEnergyCons!$C$4:$C$10000)*1,ISNUMBER(SEARCH("T_C*hy*GSL*ext",[1]OUT_TransportEnergyCons!$A$4:$A$10000))*1,[1]OUT_TransportEnergyCons!J$4:J$10000)</f>
        <v>0</v>
      </c>
      <c r="M2132" s="1" cm="1">
        <f t="array" ref="M2132">SUMPRODUCT(("var_ncap"=[1]OUT_TransportEnergyCons!$B$4:$B$10000)*1,("-"=[1]OUT_TransportEnergyCons!$C$4:$C$10000)*1,ISNUMBER(SEARCH("T_C*hy*GSL*ext",[1]OUT_TransportEnergyCons!$A$4:$A$10000))*1,[1]OUT_TransportEnergyCons!K$4:K$10000)</f>
        <v>0</v>
      </c>
      <c r="N2132" s="1" cm="1">
        <f t="array" ref="N2132">SUMPRODUCT(("var_ncap"=[1]OUT_TransportEnergyCons!$B$4:$B$10000)*1,("-"=[1]OUT_TransportEnergyCons!$C$4:$C$10000)*1,ISNUMBER(SEARCH("T_C*hy*GSL*ext",[1]OUT_TransportEnergyCons!$A$4:$A$10000))*1,[1]OUT_TransportEnergyCons!L$4:L$10000)</f>
        <v>0</v>
      </c>
      <c r="O2132" s="1" cm="1">
        <f t="array" ref="O2132">SUMPRODUCT(("var_ncap"=[1]OUT_TransportEnergyCons!$B$4:$B$10000)*1,("-"=[1]OUT_TransportEnergyCons!$C$4:$C$10000)*1,ISNUMBER(SEARCH("T_C*hy*GSL*ext",[1]OUT_TransportEnergyCons!$A$4:$A$10000))*1,[1]OUT_TransportEnergyCons!M$4:M$10000)</f>
        <v>0</v>
      </c>
      <c r="P2132" s="1" cm="1">
        <f t="array" ref="P2132">SUMPRODUCT(("var_ncap"=[1]OUT_TransportEnergyCons!$B$4:$B$10000)*1,("-"=[1]OUT_TransportEnergyCons!$C$4:$C$10000)*1,ISNUMBER(SEARCH("T_C*hy*GSL*ext",[1]OUT_TransportEnergyCons!$A$4:$A$10000))*1,[1]OUT_TransportEnergyCons!N$4:N$10000)</f>
        <v>0</v>
      </c>
      <c r="Q2132" s="1" cm="1">
        <f t="array" ref="Q2132">SUMPRODUCT(("var_ncap"=[1]OUT_TransportEnergyCons!$B$4:$B$10000)*1,("-"=[1]OUT_TransportEnergyCons!$C$4:$C$10000)*1,ISNUMBER(SEARCH("T_C*hy*GSL*ext",[1]OUT_TransportEnergyCons!$A$4:$A$10000))*1,[1]OUT_TransportEnergyCons!O$4:O$10000)</f>
        <v>0</v>
      </c>
      <c r="S2132" s="3"/>
    </row>
    <row r="2133" spans="2:19" x14ac:dyDescent="0.5">
      <c r="B2133" s="5" t="str">
        <f t="shared" si="2239"/>
        <v>SPS1</v>
      </c>
      <c r="C2133" s="5" t="str">
        <f t="shared" si="2240"/>
        <v>CH</v>
      </c>
      <c r="D2133" t="s">
        <v>2262</v>
      </c>
      <c r="E2133" t="str">
        <f t="shared" si="2241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1.2302994056072691E-4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1.822603265724225E-2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1.1758087006503129E-3</v>
      </c>
      <c r="J2133" s="1" cm="1">
        <f t="array" ref="J2133">SUMPRODUCT(("var_ncap"=[1]OUT_TransportEnergyCons!$B$4:$B$10000)*1,("-"=[1]OUT_TransportEnergyCons!$C$4:$C$10000)*1,ISNUMBER(SEARCH("T_C*hy*GSL*s1",[1]OUT_TransportEnergyCons!$A$4:$A$10000))*1,[1]OUT_TransportEnergyCons!H$4:H$10000)</f>
        <v>3.7567134506650092E-2</v>
      </c>
      <c r="K2133" s="1" cm="1">
        <f t="array" ref="K2133">SUMPRODUCT(("var_ncap"=[1]OUT_TransportEnergyCons!$B$4:$B$10000)*1,("-"=[1]OUT_TransportEnergyCons!$C$4:$C$10000)*1,ISNUMBER(SEARCH("T_C*hy*GSL*s1",[1]OUT_TransportEnergyCons!$A$4:$A$10000))*1,[1]OUT_TransportEnergyCons!I$4:I$10000)</f>
        <v>4.3474108005212252E-2</v>
      </c>
      <c r="L2133" s="1" cm="1">
        <f t="array" ref="L2133">SUMPRODUCT(("var_ncap"=[1]OUT_TransportEnergyCons!$B$4:$B$10000)*1,("-"=[1]OUT_TransportEnergyCons!$C$4:$C$10000)*1,ISNUMBER(SEARCH("T_C*hy*GSL*s1",[1]OUT_TransportEnergyCons!$A$4:$A$10000))*1,[1]OUT_TransportEnergyCons!J$4:J$10000)</f>
        <v>1.221488295099297E-4</v>
      </c>
      <c r="M2133" s="1" cm="1">
        <f t="array" ref="M2133">SUMPRODUCT(("var_ncap"=[1]OUT_TransportEnergyCons!$B$4:$B$10000)*1,("-"=[1]OUT_TransportEnergyCons!$C$4:$C$10000)*1,ISNUMBER(SEARCH("T_C*hy*GSL*s1",[1]OUT_TransportEnergyCons!$A$4:$A$10000))*1,[1]OUT_TransportEnergyCons!K$4:K$10000)</f>
        <v>1.206619781311632E-4</v>
      </c>
      <c r="N2133" s="1" cm="1">
        <f t="array" ref="N2133">SUMPRODUCT(("var_ncap"=[1]OUT_TransportEnergyCons!$B$4:$B$10000)*1,("-"=[1]OUT_TransportEnergyCons!$C$4:$C$10000)*1,ISNUMBER(SEARCH("T_C*hy*GSL*s1",[1]OUT_TransportEnergyCons!$A$4:$A$10000))*1,[1]OUT_TransportEnergyCons!L$4:L$10000)</f>
        <v>6.2026357136210251E-4</v>
      </c>
      <c r="O2133" s="1" cm="1">
        <f t="array" ref="O2133">SUMPRODUCT(("var_ncap"=[1]OUT_TransportEnergyCons!$B$4:$B$10000)*1,("-"=[1]OUT_TransportEnergyCons!$C$4:$C$10000)*1,ISNUMBER(SEARCH("T_C*hy*GSL*s1",[1]OUT_TransportEnergyCons!$A$4:$A$10000))*1,[1]OUT_TransportEnergyCons!M$4:M$10000)</f>
        <v>2.2541104702976319E-2</v>
      </c>
      <c r="P2133" s="1" cm="1">
        <f t="array" ref="P2133">SUMPRODUCT(("var_ncap"=[1]OUT_TransportEnergyCons!$B$4:$B$10000)*1,("-"=[1]OUT_TransportEnergyCons!$C$4:$C$10000)*1,ISNUMBER(SEARCH("T_C*hy*GSL*s1",[1]OUT_TransportEnergyCons!$A$4:$A$10000))*1,[1]OUT_TransportEnergyCons!N$4:N$10000)</f>
        <v>7.893955323196282E-2</v>
      </c>
      <c r="Q2133" s="1" cm="1">
        <f t="array" ref="Q2133">SUMPRODUCT(("var_ncap"=[1]OUT_TransportEnergyCons!$B$4:$B$10000)*1,("-"=[1]OUT_TransportEnergyCons!$C$4:$C$10000)*1,ISNUMBER(SEARCH("T_C*hy*GSL*s1",[1]OUT_TransportEnergyCons!$A$4:$A$10000))*1,[1]OUT_TransportEnergyCons!O$4:O$10000)</f>
        <v>2.8448816547398594E-2</v>
      </c>
      <c r="S2133" s="3"/>
    </row>
    <row r="2134" spans="2:19" x14ac:dyDescent="0.5">
      <c r="B2134" s="5" t="str">
        <f t="shared" si="2239"/>
        <v>SPS1</v>
      </c>
      <c r="C2134" s="5" t="str">
        <f t="shared" si="2240"/>
        <v>CH</v>
      </c>
      <c r="D2134" t="s">
        <v>2263</v>
      </c>
      <c r="E2134" t="str">
        <f t="shared" si="2241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3.0875809693795941E-4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1.039054436696259E-2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1.8432036554737229E-4</v>
      </c>
      <c r="J2134" s="1" cm="1">
        <f t="array" ref="J2134">SUMPRODUCT(("var_ncap"=[1]OUT_TransportEnergyCons!$B$4:$B$10000)*1,("-"=[1]OUT_TransportEnergyCons!$C$4:$C$10000)*1,ISNUMBER(SEARCH("T_C*hy*GSL*s2",[1]OUT_TransportEnergyCons!$A$4:$A$10000))*1,[1]OUT_TransportEnergyCons!H$4:H$10000)</f>
        <v>8.5224811626417027E-2</v>
      </c>
      <c r="K2134" s="1" cm="1">
        <f t="array" ref="K2134">SUMPRODUCT(("var_ncap"=[1]OUT_TransportEnergyCons!$B$4:$B$10000)*1,("-"=[1]OUT_TransportEnergyCons!$C$4:$C$10000)*1,ISNUMBER(SEARCH("T_C*hy*GSL*s2",[1]OUT_TransportEnergyCons!$A$4:$A$10000))*1,[1]OUT_TransportEnergyCons!I$4:I$10000)</f>
        <v>4.004548757789465E-4</v>
      </c>
      <c r="L2134" s="1" cm="1">
        <f t="array" ref="L2134">SUMPRODUCT(("var_ncap"=[1]OUT_TransportEnergyCons!$B$4:$B$10000)*1,("-"=[1]OUT_TransportEnergyCons!$C$4:$C$10000)*1,ISNUMBER(SEARCH("T_C*hy*GSL*s2",[1]OUT_TransportEnergyCons!$A$4:$A$10000))*1,[1]OUT_TransportEnergyCons!J$4:J$10000)</f>
        <v>1.3993148775307191E-4</v>
      </c>
      <c r="M2134" s="1" cm="1">
        <f t="array" ref="M2134">SUMPRODUCT(("var_ncap"=[1]OUT_TransportEnergyCons!$B$4:$B$10000)*1,("-"=[1]OUT_TransportEnergyCons!$C$4:$C$10000)*1,ISNUMBER(SEARCH("T_C*hy*GSL*s2",[1]OUT_TransportEnergyCons!$A$4:$A$10000))*1,[1]OUT_TransportEnergyCons!K$4:K$10000)</f>
        <v>1.585019405676813E-4</v>
      </c>
      <c r="N2134" s="1" cm="1">
        <f t="array" ref="N2134">SUMPRODUCT(("var_ncap"=[1]OUT_TransportEnergyCons!$B$4:$B$10000)*1,("-"=[1]OUT_TransportEnergyCons!$C$4:$C$10000)*1,ISNUMBER(SEARCH("T_C*hy*GSL*s2",[1]OUT_TransportEnergyCons!$A$4:$A$10000))*1,[1]OUT_TransportEnergyCons!L$4:L$10000)</f>
        <v>1.2592506675034829E-4</v>
      </c>
      <c r="O2134" s="1" cm="1">
        <f t="array" ref="O2134">SUMPRODUCT(("var_ncap"=[1]OUT_TransportEnergyCons!$B$4:$B$10000)*1,("-"=[1]OUT_TransportEnergyCons!$C$4:$C$10000)*1,ISNUMBER(SEARCH("T_C*hy*GSL*s2",[1]OUT_TransportEnergyCons!$A$4:$A$10000))*1,[1]OUT_TransportEnergyCons!M$4:M$10000)</f>
        <v>2.8663431430985041E-4</v>
      </c>
      <c r="P2134" s="1" cm="1">
        <f t="array" ref="P2134">SUMPRODUCT(("var_ncap"=[1]OUT_TransportEnergyCons!$B$4:$B$10000)*1,("-"=[1]OUT_TransportEnergyCons!$C$4:$C$10000)*1,ISNUMBER(SEARCH("T_C*hy*GSL*s2",[1]OUT_TransportEnergyCons!$A$4:$A$10000))*1,[1]OUT_TransportEnergyCons!N$4:N$10000)</f>
        <v>3.6568599838008036E-4</v>
      </c>
      <c r="Q2134" s="1" cm="1">
        <f t="array" ref="Q2134">SUMPRODUCT(("var_ncap"=[1]OUT_TransportEnergyCons!$B$4:$B$10000)*1,("-"=[1]OUT_TransportEnergyCons!$C$4:$C$10000)*1,ISNUMBER(SEARCH("T_C*hy*GSL*s2",[1]OUT_TransportEnergyCons!$A$4:$A$10000))*1,[1]OUT_TransportEnergyCons!O$4:O$10000)</f>
        <v>1.4112723323895799E-4</v>
      </c>
      <c r="S2134" s="3"/>
    </row>
    <row r="2135" spans="2:19" x14ac:dyDescent="0.5">
      <c r="B2135" s="5" t="str">
        <f t="shared" si="2239"/>
        <v>SPS1</v>
      </c>
      <c r="C2135" s="5" t="str">
        <f t="shared" si="2240"/>
        <v>CH</v>
      </c>
      <c r="D2135" t="s">
        <v>2264</v>
      </c>
      <c r="E2135" t="str">
        <f t="shared" si="2241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0.16752579799358236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1.294312470781778E-4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8.9553961128976701E-5</v>
      </c>
      <c r="J2135" s="1" cm="1">
        <f t="array" ref="J2135">SUMPRODUCT(("var_ncap"=[1]OUT_TransportEnergyCons!$B$4:$B$10000)*1,("-"=[1]OUT_TransportEnergyCons!$C$4:$C$10000)*1,ISNUMBER(SEARCH("T_C*hy*GSL*s3",[1]OUT_TransportEnergyCons!$A$4:$A$10000))*1,[1]OUT_TransportEnergyCons!H$4:H$10000)</f>
        <v>7.7057637244730702E-5</v>
      </c>
      <c r="K2135" s="1" cm="1">
        <f t="array" ref="K2135">SUMPRODUCT(("var_ncap"=[1]OUT_TransportEnergyCons!$B$4:$B$10000)*1,("-"=[1]OUT_TransportEnergyCons!$C$4:$C$10000)*1,ISNUMBER(SEARCH("T_C*hy*GSL*s3",[1]OUT_TransportEnergyCons!$A$4:$A$10000))*1,[1]OUT_TransportEnergyCons!I$4:I$10000)</f>
        <v>9.9494312436227897E-5</v>
      </c>
      <c r="L2135" s="1" cm="1">
        <f t="array" ref="L2135">SUMPRODUCT(("var_ncap"=[1]OUT_TransportEnergyCons!$B$4:$B$10000)*1,("-"=[1]OUT_TransportEnergyCons!$C$4:$C$10000)*1,ISNUMBER(SEARCH("T_C*hy*GSL*s3",[1]OUT_TransportEnergyCons!$A$4:$A$10000))*1,[1]OUT_TransportEnergyCons!J$4:J$10000)</f>
        <v>8.3191058148119305E-5</v>
      </c>
      <c r="M2135" s="1" cm="1">
        <f t="array" ref="M2135">SUMPRODUCT(("var_ncap"=[1]OUT_TransportEnergyCons!$B$4:$B$10000)*1,("-"=[1]OUT_TransportEnergyCons!$C$4:$C$10000)*1,ISNUMBER(SEARCH("T_C*hy*GSL*s3",[1]OUT_TransportEnergyCons!$A$4:$A$10000))*1,[1]OUT_TransportEnergyCons!K$4:K$10000)</f>
        <v>1.2053673383645449E-4</v>
      </c>
      <c r="N2135" s="1" cm="1">
        <f t="array" ref="N2135">SUMPRODUCT(("var_ncap"=[1]OUT_TransportEnergyCons!$B$4:$B$10000)*1,("-"=[1]OUT_TransportEnergyCons!$C$4:$C$10000)*1,ISNUMBER(SEARCH("T_C*hy*GSL*s3",[1]OUT_TransportEnergyCons!$A$4:$A$10000))*1,[1]OUT_TransportEnergyCons!L$4:L$10000)</f>
        <v>9.870119270628271E-5</v>
      </c>
      <c r="O2135" s="1" cm="1">
        <f t="array" ref="O2135">SUMPRODUCT(("var_ncap"=[1]OUT_TransportEnergyCons!$B$4:$B$10000)*1,("-"=[1]OUT_TransportEnergyCons!$C$4:$C$10000)*1,ISNUMBER(SEARCH("T_C*hy*GSL*s3",[1]OUT_TransportEnergyCons!$A$4:$A$10000))*1,[1]OUT_TransportEnergyCons!M$4:M$10000)</f>
        <v>1.4363735428750472E-4</v>
      </c>
      <c r="P2135" s="1" cm="1">
        <f t="array" ref="P2135">SUMPRODUCT(("var_ncap"=[1]OUT_TransportEnergyCons!$B$4:$B$10000)*1,("-"=[1]OUT_TransportEnergyCons!$C$4:$C$10000)*1,ISNUMBER(SEARCH("T_C*hy*GSL*s3",[1]OUT_TransportEnergyCons!$A$4:$A$10000))*1,[1]OUT_TransportEnergyCons!N$4:N$10000)</f>
        <v>1.8333166860724881E-4</v>
      </c>
      <c r="Q2135" s="1" cm="1">
        <f t="array" ref="Q2135">SUMPRODUCT(("var_ncap"=[1]OUT_TransportEnergyCons!$B$4:$B$10000)*1,("-"=[1]OUT_TransportEnergyCons!$C$4:$C$10000)*1,ISNUMBER(SEARCH("T_C*hy*GSL*s3",[1]OUT_TransportEnergyCons!$A$4:$A$10000))*1,[1]OUT_TransportEnergyCons!O$4:O$10000)</f>
        <v>9.39207697471124E-5</v>
      </c>
      <c r="S2135" s="3"/>
    </row>
    <row r="2136" spans="2:19" x14ac:dyDescent="0.5">
      <c r="B2136" s="5" t="str">
        <f t="shared" si="2239"/>
        <v>SPS1</v>
      </c>
      <c r="C2136" s="5" t="str">
        <f t="shared" si="2240"/>
        <v>CH</v>
      </c>
      <c r="D2136" t="s">
        <v>2265</v>
      </c>
      <c r="E2136" t="str">
        <f t="shared" si="2241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1.19866064018915E-4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3.3452761159808525E-2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0.12034244934797801</v>
      </c>
      <c r="J2136" s="1" cm="1">
        <f t="array" ref="J2136">SUMPRODUCT(("var_ncap"=[1]OUT_TransportEnergyCons!$B$4:$B$10000)*1,("-"=[1]OUT_TransportEnergyCons!$C$4:$C$10000)*1,ISNUMBER(SEARCH("T_C*hy*GSL*s4",[1]OUT_TransportEnergyCons!$A$4:$A$10000))*1,[1]OUT_TransportEnergyCons!H$4:H$10000)</f>
        <v>4.9350120029854998E-2</v>
      </c>
      <c r="K2136" s="1" cm="1">
        <f t="array" ref="K2136">SUMPRODUCT(("var_ncap"=[1]OUT_TransportEnergyCons!$B$4:$B$10000)*1,("-"=[1]OUT_TransportEnergyCons!$C$4:$C$10000)*1,ISNUMBER(SEARCH("T_C*hy*GSL*s4",[1]OUT_TransportEnergyCons!$A$4:$A$10000))*1,[1]OUT_TransportEnergyCons!I$4:I$10000)</f>
        <v>0.10333721062207672</v>
      </c>
      <c r="L2136" s="1" cm="1">
        <f t="array" ref="L2136">SUMPRODUCT(("var_ncap"=[1]OUT_TransportEnergyCons!$B$4:$B$10000)*1,("-"=[1]OUT_TransportEnergyCons!$C$4:$C$10000)*1,ISNUMBER(SEARCH("T_C*hy*GSL*s4",[1]OUT_TransportEnergyCons!$A$4:$A$10000))*1,[1]OUT_TransportEnergyCons!J$4:J$10000)</f>
        <v>0.13287579302203725</v>
      </c>
      <c r="M2136" s="1" cm="1">
        <f t="array" ref="M2136">SUMPRODUCT(("var_ncap"=[1]OUT_TransportEnergyCons!$B$4:$B$10000)*1,("-"=[1]OUT_TransportEnergyCons!$C$4:$C$10000)*1,ISNUMBER(SEARCH("T_C*hy*GSL*s4",[1]OUT_TransportEnergyCons!$A$4:$A$10000))*1,[1]OUT_TransportEnergyCons!K$4:K$10000)</f>
        <v>0.15765389231671989</v>
      </c>
      <c r="N2136" s="1" cm="1">
        <f t="array" ref="N2136">SUMPRODUCT(("var_ncap"=[1]OUT_TransportEnergyCons!$B$4:$B$10000)*1,("-"=[1]OUT_TransportEnergyCons!$C$4:$C$10000)*1,ISNUMBER(SEARCH("T_C*hy*GSL*s4",[1]OUT_TransportEnergyCons!$A$4:$A$10000))*1,[1]OUT_TransportEnergyCons!L$4:L$10000)</f>
        <v>0.13412475037416649</v>
      </c>
      <c r="O2136" s="1" cm="1">
        <f t="array" ref="O2136">SUMPRODUCT(("var_ncap"=[1]OUT_TransportEnergyCons!$B$4:$B$10000)*1,("-"=[1]OUT_TransportEnergyCons!$C$4:$C$10000)*1,ISNUMBER(SEARCH("T_C*hy*GSL*s4",[1]OUT_TransportEnergyCons!$A$4:$A$10000))*1,[1]OUT_TransportEnergyCons!M$4:M$10000)</f>
        <v>9.9152575962274697E-2</v>
      </c>
      <c r="P2136" s="1" cm="1">
        <f t="array" ref="P2136">SUMPRODUCT(("var_ncap"=[1]OUT_TransportEnergyCons!$B$4:$B$10000)*1,("-"=[1]OUT_TransportEnergyCons!$C$4:$C$10000)*1,ISNUMBER(SEARCH("T_C*hy*GSL*s4",[1]OUT_TransportEnergyCons!$A$4:$A$10000))*1,[1]OUT_TransportEnergyCons!N$4:N$10000)</f>
        <v>6.9897570487364821E-2</v>
      </c>
      <c r="Q2136" s="1" cm="1">
        <f t="array" ref="Q2136">SUMPRODUCT(("var_ncap"=[1]OUT_TransportEnergyCons!$B$4:$B$10000)*1,("-"=[1]OUT_TransportEnergyCons!$C$4:$C$10000)*1,ISNUMBER(SEARCH("T_C*hy*GSL*s4",[1]OUT_TransportEnergyCons!$A$4:$A$10000))*1,[1]OUT_TransportEnergyCons!O$4:O$10000)</f>
        <v>7.6320796057606222E-2</v>
      </c>
      <c r="S2136" s="3"/>
    </row>
    <row r="2137" spans="2:19" x14ac:dyDescent="0.5">
      <c r="B2137" s="5" t="str">
        <f t="shared" si="2239"/>
        <v>SPS1</v>
      </c>
      <c r="C2137" s="5" t="str">
        <f t="shared" si="2240"/>
        <v>CH</v>
      </c>
      <c r="D2137" t="s">
        <v>2266</v>
      </c>
      <c r="E2137" t="str">
        <f t="shared" si="2241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SUMPRODUCT(("var_ncap"=[1]OUT_TransportEnergyCons!$B$4:$B$10000)*1,("-"=[1]OUT_TransportEnergyCons!$C$4:$C$10000)*1,ISNUMBER(SEARCH("T_C*ICE*GSL*ext",[1]OUT_TransportEnergyCons!$A$4:$A$10000))*1,[1]OUT_TransportEnergyCons!H$4:H$10000)</f>
        <v>0</v>
      </c>
      <c r="K2137" s="1" cm="1">
        <f t="array" ref="K2137">SUMPRODUCT(("var_ncap"=[1]OUT_TransportEnergyCons!$B$4:$B$10000)*1,("-"=[1]OUT_TransportEnergyCons!$C$4:$C$10000)*1,ISNUMBER(SEARCH("T_C*ICE*GSL*ext",[1]OUT_TransportEnergyCons!$A$4:$A$10000))*1,[1]OUT_TransportEnergyCons!I$4:I$10000)</f>
        <v>0</v>
      </c>
      <c r="L2137" s="1" cm="1">
        <f t="array" ref="L2137">SUMPRODUCT(("var_ncap"=[1]OUT_TransportEnergyCons!$B$4:$B$10000)*1,("-"=[1]OUT_TransportEnergyCons!$C$4:$C$10000)*1,ISNUMBER(SEARCH("T_C*ICE*GSL*ext",[1]OUT_TransportEnergyCons!$A$4:$A$10000))*1,[1]OUT_TransportEnergyCons!J$4:J$10000)</f>
        <v>0</v>
      </c>
      <c r="M2137" s="1" cm="1">
        <f t="array" ref="M2137">SUMPRODUCT(("var_ncap"=[1]OUT_TransportEnergyCons!$B$4:$B$10000)*1,("-"=[1]OUT_TransportEnergyCons!$C$4:$C$10000)*1,ISNUMBER(SEARCH("T_C*ICE*GSL*ext",[1]OUT_TransportEnergyCons!$A$4:$A$10000))*1,[1]OUT_TransportEnergyCons!K$4:K$10000)</f>
        <v>0</v>
      </c>
      <c r="N2137" s="1" cm="1">
        <f t="array" ref="N2137">SUMPRODUCT(("var_ncap"=[1]OUT_TransportEnergyCons!$B$4:$B$10000)*1,("-"=[1]OUT_TransportEnergyCons!$C$4:$C$10000)*1,ISNUMBER(SEARCH("T_C*ICE*GSL*ext",[1]OUT_TransportEnergyCons!$A$4:$A$10000))*1,[1]OUT_TransportEnergyCons!L$4:L$10000)</f>
        <v>0</v>
      </c>
      <c r="O2137" s="1" cm="1">
        <f t="array" ref="O2137">SUMPRODUCT(("var_ncap"=[1]OUT_TransportEnergyCons!$B$4:$B$10000)*1,("-"=[1]OUT_TransportEnergyCons!$C$4:$C$10000)*1,ISNUMBER(SEARCH("T_C*ICE*GSL*ext",[1]OUT_TransportEnergyCons!$A$4:$A$10000))*1,[1]OUT_TransportEnergyCons!M$4:M$10000)</f>
        <v>0</v>
      </c>
      <c r="P2137" s="1" cm="1">
        <f t="array" ref="P2137">SUMPRODUCT(("var_ncap"=[1]OUT_TransportEnergyCons!$B$4:$B$10000)*1,("-"=[1]OUT_TransportEnergyCons!$C$4:$C$10000)*1,ISNUMBER(SEARCH("T_C*ICE*GSL*ext",[1]OUT_TransportEnergyCons!$A$4:$A$10000))*1,[1]OUT_TransportEnergyCons!N$4:N$10000)</f>
        <v>0</v>
      </c>
      <c r="Q2137" s="1" cm="1">
        <f t="array" ref="Q2137">SUMPRODUCT(("var_ncap"=[1]OUT_TransportEnergyCons!$B$4:$B$10000)*1,("-"=[1]OUT_TransportEnergyCons!$C$4:$C$10000)*1,ISNUMBER(SEARCH("T_C*ICE*GSL*ext",[1]OUT_TransportEnergyCons!$A$4:$A$10000))*1,[1]OUT_TransportEnergyCons!O$4:O$10000)</f>
        <v>0</v>
      </c>
      <c r="S2137" s="3"/>
    </row>
    <row r="2138" spans="2:19" x14ac:dyDescent="0.5">
      <c r="B2138" s="5" t="str">
        <f t="shared" si="2239"/>
        <v>SPS1</v>
      </c>
      <c r="C2138" s="5" t="str">
        <f t="shared" si="2240"/>
        <v>CH</v>
      </c>
      <c r="D2138" t="s">
        <v>2267</v>
      </c>
      <c r="E2138" t="str">
        <f t="shared" si="2241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3.36382974068199E-5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1.11451229850832E-4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1.27671802086905E-4</v>
      </c>
      <c r="J2138" s="1" cm="1">
        <f t="array" ref="J2138">SUMPRODUCT(("var_ncap"=[1]OUT_TransportEnergyCons!$B$4:$B$10000)*1,("-"=[1]OUT_TransportEnergyCons!$C$4:$C$10000)*1,ISNUMBER(SEARCH("T_C*ICE*GSL*s1",[1]OUT_TransportEnergyCons!$A$4:$A$10000))*1,[1]OUT_TransportEnergyCons!H$4:H$10000)</f>
        <v>8.2781604442705095E-5</v>
      </c>
      <c r="K2138" s="1" cm="1">
        <f t="array" ref="K2138">SUMPRODUCT(("var_ncap"=[1]OUT_TransportEnergyCons!$B$4:$B$10000)*1,("-"=[1]OUT_TransportEnergyCons!$C$4:$C$10000)*1,ISNUMBER(SEARCH("T_C*ICE*GSL*s1",[1]OUT_TransportEnergyCons!$A$4:$A$10000))*1,[1]OUT_TransportEnergyCons!I$4:I$10000)</f>
        <v>1.02875984495888E-4</v>
      </c>
      <c r="L2138" s="1" cm="1">
        <f t="array" ref="L2138">SUMPRODUCT(("var_ncap"=[1]OUT_TransportEnergyCons!$B$4:$B$10000)*1,("-"=[1]OUT_TransportEnergyCons!$C$4:$C$10000)*1,ISNUMBER(SEARCH("T_C*ICE*GSL*s1",[1]OUT_TransportEnergyCons!$A$4:$A$10000))*1,[1]OUT_TransportEnergyCons!J$4:J$10000)</f>
        <v>2.62209398967767E-5</v>
      </c>
      <c r="M2138" s="1" cm="1">
        <f t="array" ref="M2138">SUMPRODUCT(("var_ncap"=[1]OUT_TransportEnergyCons!$B$4:$B$10000)*1,("-"=[1]OUT_TransportEnergyCons!$C$4:$C$10000)*1,ISNUMBER(SEARCH("T_C*ICE*GSL*s1",[1]OUT_TransportEnergyCons!$A$4:$A$10000))*1,[1]OUT_TransportEnergyCons!K$4:K$10000)</f>
        <v>2.4949198797949502E-5</v>
      </c>
      <c r="N2138" s="1" cm="1">
        <f t="array" ref="N2138">SUMPRODUCT(("var_ncap"=[1]OUT_TransportEnergyCons!$B$4:$B$10000)*1,("-"=[1]OUT_TransportEnergyCons!$C$4:$C$10000)*1,ISNUMBER(SEARCH("T_C*ICE*GSL*s1",[1]OUT_TransportEnergyCons!$A$4:$A$10000))*1,[1]OUT_TransportEnergyCons!L$4:L$10000)</f>
        <v>1.7596263704753101E-5</v>
      </c>
      <c r="O2138" s="1" cm="1">
        <f t="array" ref="O2138">SUMPRODUCT(("var_ncap"=[1]OUT_TransportEnergyCons!$B$4:$B$10000)*1,("-"=[1]OUT_TransportEnergyCons!$C$4:$C$10000)*1,ISNUMBER(SEARCH("T_C*ICE*GSL*s1",[1]OUT_TransportEnergyCons!$A$4:$A$10000))*1,[1]OUT_TransportEnergyCons!M$4:M$10000)</f>
        <v>2.7926890224365199E-5</v>
      </c>
      <c r="P2138" s="1" cm="1">
        <f t="array" ref="P2138">SUMPRODUCT(("var_ncap"=[1]OUT_TransportEnergyCons!$B$4:$B$10000)*1,("-"=[1]OUT_TransportEnergyCons!$C$4:$C$10000)*1,ISNUMBER(SEARCH("T_C*ICE*GSL*s1",[1]OUT_TransportEnergyCons!$A$4:$A$10000))*1,[1]OUT_TransportEnergyCons!N$4:N$10000)</f>
        <v>3.0050265565506701E-5</v>
      </c>
      <c r="Q2138" s="1" cm="1">
        <f t="array" ref="Q2138">SUMPRODUCT(("var_ncap"=[1]OUT_TransportEnergyCons!$B$4:$B$10000)*1,("-"=[1]OUT_TransportEnergyCons!$C$4:$C$10000)*1,ISNUMBER(SEARCH("T_C*ICE*GSL*s1",[1]OUT_TransportEnergyCons!$A$4:$A$10000))*1,[1]OUT_TransportEnergyCons!O$4:O$10000)</f>
        <v>3.8462617161227002E-5</v>
      </c>
      <c r="S2138" s="3"/>
    </row>
    <row r="2139" spans="2:19" x14ac:dyDescent="0.5">
      <c r="B2139" s="5" t="str">
        <f t="shared" si="2239"/>
        <v>SPS1</v>
      </c>
      <c r="C2139" s="5" t="str">
        <f t="shared" si="2240"/>
        <v>CH</v>
      </c>
      <c r="D2139" t="s">
        <v>2268</v>
      </c>
      <c r="E2139" t="str">
        <f t="shared" si="2241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2.7417793905789201E-5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9.9342238498275693E-4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2.72736749702466E-4</v>
      </c>
      <c r="J2139" s="1" cm="1">
        <f t="array" ref="J2139">SUMPRODUCT(("var_ncap"=[1]OUT_TransportEnergyCons!$B$4:$B$10000)*1,("-"=[1]OUT_TransportEnergyCons!$C$4:$C$10000)*1,ISNUMBER(SEARCH("T_C*ICE*GSL*s2",[1]OUT_TransportEnergyCons!$A$4:$A$10000))*1,[1]OUT_TransportEnergyCons!H$4:H$10000)</f>
        <v>2.1152442337580199E-4</v>
      </c>
      <c r="K2139" s="1" cm="1">
        <f t="array" ref="K2139">SUMPRODUCT(("var_ncap"=[1]OUT_TransportEnergyCons!$B$4:$B$10000)*1,("-"=[1]OUT_TransportEnergyCons!$C$4:$C$10000)*1,ISNUMBER(SEARCH("T_C*ICE*GSL*s2",[1]OUT_TransportEnergyCons!$A$4:$A$10000))*1,[1]OUT_TransportEnergyCons!I$4:I$10000)</f>
        <v>1.40562155855358E-4</v>
      </c>
      <c r="L2139" s="1" cm="1">
        <f t="array" ref="L2139">SUMPRODUCT(("var_ncap"=[1]OUT_TransportEnergyCons!$B$4:$B$10000)*1,("-"=[1]OUT_TransportEnergyCons!$C$4:$C$10000)*1,ISNUMBER(SEARCH("T_C*ICE*GSL*s2",[1]OUT_TransportEnergyCons!$A$4:$A$10000))*1,[1]OUT_TransportEnergyCons!J$4:J$10000)</f>
        <v>3.3813636854441798E-5</v>
      </c>
      <c r="M2139" s="1" cm="1">
        <f t="array" ref="M2139">SUMPRODUCT(("var_ncap"=[1]OUT_TransportEnergyCons!$B$4:$B$10000)*1,("-"=[1]OUT_TransportEnergyCons!$C$4:$C$10000)*1,ISNUMBER(SEARCH("T_C*ICE*GSL*s2",[1]OUT_TransportEnergyCons!$A$4:$A$10000))*1,[1]OUT_TransportEnergyCons!K$4:K$10000)</f>
        <v>3.2753389091316E-5</v>
      </c>
      <c r="N2139" s="1" cm="1">
        <f t="array" ref="N2139">SUMPRODUCT(("var_ncap"=[1]OUT_TransportEnergyCons!$B$4:$B$10000)*1,("-"=[1]OUT_TransportEnergyCons!$C$4:$C$10000)*1,ISNUMBER(SEARCH("T_C*ICE*GSL*s2",[1]OUT_TransportEnergyCons!$A$4:$A$10000))*1,[1]OUT_TransportEnergyCons!L$4:L$10000)</f>
        <v>2.3288427362201601E-5</v>
      </c>
      <c r="O2139" s="1" cm="1">
        <f t="array" ref="O2139">SUMPRODUCT(("var_ncap"=[1]OUT_TransportEnergyCons!$B$4:$B$10000)*1,("-"=[1]OUT_TransportEnergyCons!$C$4:$C$10000)*1,ISNUMBER(SEARCH("T_C*ICE*GSL*s2",[1]OUT_TransportEnergyCons!$A$4:$A$10000))*1,[1]OUT_TransportEnergyCons!M$4:M$10000)</f>
        <v>3.9181652365687298E-5</v>
      </c>
      <c r="P2139" s="1" cm="1">
        <f t="array" ref="P2139">SUMPRODUCT(("var_ncap"=[1]OUT_TransportEnergyCons!$B$4:$B$10000)*1,("-"=[1]OUT_TransportEnergyCons!$C$4:$C$10000)*1,ISNUMBER(SEARCH("T_C*ICE*GSL*s2",[1]OUT_TransportEnergyCons!$A$4:$A$10000))*1,[1]OUT_TransportEnergyCons!N$4:N$10000)</f>
        <v>4.2083876554700599E-5</v>
      </c>
      <c r="Q2139" s="1" cm="1">
        <f t="array" ref="Q2139">SUMPRODUCT(("var_ncap"=[1]OUT_TransportEnergyCons!$B$4:$B$10000)*1,("-"=[1]OUT_TransportEnergyCons!$C$4:$C$10000)*1,ISNUMBER(SEARCH("T_C*ICE*GSL*s2",[1]OUT_TransportEnergyCons!$A$4:$A$10000))*1,[1]OUT_TransportEnergyCons!O$4:O$10000)</f>
        <v>4.74510053721421E-5</v>
      </c>
      <c r="S2139" s="3"/>
    </row>
    <row r="2140" spans="2:19" x14ac:dyDescent="0.5">
      <c r="B2140" s="5" t="str">
        <f t="shared" si="2239"/>
        <v>SPS1</v>
      </c>
      <c r="C2140" s="5" t="str">
        <f t="shared" si="2240"/>
        <v>CH</v>
      </c>
      <c r="D2140" t="s">
        <v>2269</v>
      </c>
      <c r="E2140" t="str">
        <f t="shared" si="2241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5.3019549687246399E-5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6.4211585024573303E-2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1.0956495621045901E-3</v>
      </c>
      <c r="J2140" s="1" cm="1">
        <f t="array" ref="J2140">SUMPRODUCT(("var_ncap"=[1]OUT_TransportEnergyCons!$B$4:$B$10000)*1,("-"=[1]OUT_TransportEnergyCons!$C$4:$C$10000)*1,ISNUMBER(SEARCH("T_C*ICE*GSL*s3",[1]OUT_TransportEnergyCons!$A$4:$A$10000))*1,[1]OUT_TransportEnergyCons!H$4:H$10000)</f>
        <v>2.7399554195812002E-2</v>
      </c>
      <c r="K2140" s="1" cm="1">
        <f t="array" ref="K2140">SUMPRODUCT(("var_ncap"=[1]OUT_TransportEnergyCons!$B$4:$B$10000)*1,("-"=[1]OUT_TransportEnergyCons!$C$4:$C$10000)*1,ISNUMBER(SEARCH("T_C*ICE*GSL*s3",[1]OUT_TransportEnergyCons!$A$4:$A$10000))*1,[1]OUT_TransportEnergyCons!I$4:I$10000)</f>
        <v>8.6784198207916804E-4</v>
      </c>
      <c r="L2140" s="1" cm="1">
        <f t="array" ref="L2140">SUMPRODUCT(("var_ncap"=[1]OUT_TransportEnergyCons!$B$4:$B$10000)*1,("-"=[1]OUT_TransportEnergyCons!$C$4:$C$10000)*1,ISNUMBER(SEARCH("T_C*ICE*GSL*s3",[1]OUT_TransportEnergyCons!$A$4:$A$10000))*1,[1]OUT_TransportEnergyCons!J$4:J$10000)</f>
        <v>5.07395106223268E-5</v>
      </c>
      <c r="M2140" s="1" cm="1">
        <f t="array" ref="M2140">SUMPRODUCT(("var_ncap"=[1]OUT_TransportEnergyCons!$B$4:$B$10000)*1,("-"=[1]OUT_TransportEnergyCons!$C$4:$C$10000)*1,ISNUMBER(SEARCH("T_C*ICE*GSL*s3",[1]OUT_TransportEnergyCons!$A$4:$A$10000))*1,[1]OUT_TransportEnergyCons!K$4:K$10000)</f>
        <v>5.0329451972534301E-5</v>
      </c>
      <c r="N2140" s="1" cm="1">
        <f t="array" ref="N2140">SUMPRODUCT(("var_ncap"=[1]OUT_TransportEnergyCons!$B$4:$B$10000)*1,("-"=[1]OUT_TransportEnergyCons!$C$4:$C$10000)*1,ISNUMBER(SEARCH("T_C*ICE*GSL*s3",[1]OUT_TransportEnergyCons!$A$4:$A$10000))*1,[1]OUT_TransportEnergyCons!L$4:L$10000)</f>
        <v>3.4799736827280698E-5</v>
      </c>
      <c r="O2140" s="1" cm="1">
        <f t="array" ref="O2140">SUMPRODUCT(("var_ncap"=[1]OUT_TransportEnergyCons!$B$4:$B$10000)*1,("-"=[1]OUT_TransportEnergyCons!$C$4:$C$10000)*1,ISNUMBER(SEARCH("T_C*ICE*GSL*s3",[1]OUT_TransportEnergyCons!$A$4:$A$10000))*1,[1]OUT_TransportEnergyCons!M$4:M$10000)</f>
        <v>5.34790488853645E-5</v>
      </c>
      <c r="P2140" s="1" cm="1">
        <f t="array" ref="P2140">SUMPRODUCT(("var_ncap"=[1]OUT_TransportEnergyCons!$B$4:$B$10000)*1,("-"=[1]OUT_TransportEnergyCons!$C$4:$C$10000)*1,ISNUMBER(SEARCH("T_C*ICE*GSL*s3",[1]OUT_TransportEnergyCons!$A$4:$A$10000))*1,[1]OUT_TransportEnergyCons!N$4:N$10000)</f>
        <v>5.5115483633127398E-5</v>
      </c>
      <c r="Q2140" s="1" cm="1">
        <f t="array" ref="Q2140">SUMPRODUCT(("var_ncap"=[1]OUT_TransportEnergyCons!$B$4:$B$10000)*1,("-"=[1]OUT_TransportEnergyCons!$C$4:$C$10000)*1,ISNUMBER(SEARCH("T_C*ICE*GSL*s3",[1]OUT_TransportEnergyCons!$A$4:$A$10000))*1,[1]OUT_TransportEnergyCons!O$4:O$10000)</f>
        <v>5.5082758431616798E-5</v>
      </c>
      <c r="S2140" s="3"/>
    </row>
    <row r="2141" spans="2:19" x14ac:dyDescent="0.5">
      <c r="B2141" s="5" t="str">
        <f t="shared" si="2239"/>
        <v>SPS1</v>
      </c>
      <c r="C2141" s="5" t="str">
        <f t="shared" si="2240"/>
        <v>CH</v>
      </c>
      <c r="D2141" t="s">
        <v>2270</v>
      </c>
      <c r="E2141" t="str">
        <f t="shared" si="2241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3.9061194696482702E-5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0.28057627998773099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0.51830735724041299</v>
      </c>
      <c r="J2141" s="1" cm="1">
        <f t="array" ref="J2141">SUMPRODUCT(("var_ncap"=[1]OUT_TransportEnergyCons!$B$4:$B$10000)*1,("-"=[1]OUT_TransportEnergyCons!$C$4:$C$10000)*1,ISNUMBER(SEARCH("T_C*ICE*GSL*s4",[1]OUT_TransportEnergyCons!$A$4:$A$10000))*1,[1]OUT_TransportEnergyCons!H$4:H$10000)</f>
        <v>0.57749564519612595</v>
      </c>
      <c r="K2141" s="1" cm="1">
        <f t="array" ref="K2141">SUMPRODUCT(("var_ncap"=[1]OUT_TransportEnergyCons!$B$4:$B$10000)*1,("-"=[1]OUT_TransportEnergyCons!$C$4:$C$10000)*1,ISNUMBER(SEARCH("T_C*ICE*GSL*s4",[1]OUT_TransportEnergyCons!$A$4:$A$10000))*1,[1]OUT_TransportEnergyCons!I$4:I$10000)</f>
        <v>0.459477667994516</v>
      </c>
      <c r="L2141" s="1" cm="1">
        <f t="array" ref="L2141">SUMPRODUCT(("var_ncap"=[1]OUT_TransportEnergyCons!$B$4:$B$10000)*1,("-"=[1]OUT_TransportEnergyCons!$C$4:$C$10000)*1,ISNUMBER(SEARCH("T_C*ICE*GSL*s4",[1]OUT_TransportEnergyCons!$A$4:$A$10000))*1,[1]OUT_TransportEnergyCons!J$4:J$10000)</f>
        <v>0.51620321147968695</v>
      </c>
      <c r="M2141" s="1" cm="1">
        <f t="array" ref="M2141">SUMPRODUCT(("var_ncap"=[1]OUT_TransportEnergyCons!$B$4:$B$10000)*1,("-"=[1]OUT_TransportEnergyCons!$C$4:$C$10000)*1,ISNUMBER(SEARCH("T_C*ICE*GSL*s4",[1]OUT_TransportEnergyCons!$A$4:$A$10000))*1,[1]OUT_TransportEnergyCons!K$4:K$10000)</f>
        <v>0.54937807371624903</v>
      </c>
      <c r="N2141" s="1" cm="1">
        <f t="array" ref="N2141">SUMPRODUCT(("var_ncap"=[1]OUT_TransportEnergyCons!$B$4:$B$10000)*1,("-"=[1]OUT_TransportEnergyCons!$C$4:$C$10000)*1,ISNUMBER(SEARCH("T_C*ICE*GSL*s4",[1]OUT_TransportEnergyCons!$A$4:$A$10000))*1,[1]OUT_TransportEnergyCons!L$4:L$10000)</f>
        <v>0.460972069295426</v>
      </c>
      <c r="O2141" s="1" cm="1">
        <f t="array" ref="O2141">SUMPRODUCT(("var_ncap"=[1]OUT_TransportEnergyCons!$B$4:$B$10000)*1,("-"=[1]OUT_TransportEnergyCons!$C$4:$C$10000)*1,ISNUMBER(SEARCH("T_C*ICE*GSL*s4",[1]OUT_TransportEnergyCons!$A$4:$A$10000))*1,[1]OUT_TransportEnergyCons!M$4:M$10000)</f>
        <v>0.44773628239661101</v>
      </c>
      <c r="P2141" s="1" cm="1">
        <f t="array" ref="P2141">SUMPRODUCT(("var_ncap"=[1]OUT_TransportEnergyCons!$B$4:$B$10000)*1,("-"=[1]OUT_TransportEnergyCons!$C$4:$C$10000)*1,ISNUMBER(SEARCH("T_C*ICE*GSL*s4",[1]OUT_TransportEnergyCons!$A$4:$A$10000))*1,[1]OUT_TransportEnergyCons!N$4:N$10000)</f>
        <v>0.42910903417202301</v>
      </c>
      <c r="Q2141" s="1" cm="1">
        <f t="array" ref="Q2141">SUMPRODUCT(("var_ncap"=[1]OUT_TransportEnergyCons!$B$4:$B$10000)*1,("-"=[1]OUT_TransportEnergyCons!$C$4:$C$10000)*1,ISNUMBER(SEARCH("T_C*ICE*GSL*s4",[1]OUT_TransportEnergyCons!$A$4:$A$10000))*1,[1]OUT_TransportEnergyCons!O$4:O$10000)</f>
        <v>0.300201697527749</v>
      </c>
      <c r="S2141" s="3"/>
    </row>
    <row r="2142" spans="2:19" x14ac:dyDescent="0.5">
      <c r="B2142" s="5" t="str">
        <f t="shared" si="2239"/>
        <v>SPS1</v>
      </c>
      <c r="C2142" s="5" t="str">
        <f t="shared" si="2240"/>
        <v>CH</v>
      </c>
      <c r="D2142" t="s">
        <v>2271</v>
      </c>
      <c r="E2142" t="str">
        <f t="shared" si="2241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3.2148127477321801E-5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1.8144082744399399E-2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1.1241701675450599E-3</v>
      </c>
      <c r="J2142" s="1" cm="1">
        <f t="array" ref="J2142">SUMPRODUCT(("var_ncap"=[1]OUT_TransportEnergyCons!$B$4:$B$10000)*1,("-"=[1]OUT_TransportEnergyCons!$C$4:$C$10000)*1,ISNUMBER(SEARCH("T_C*mhy*GSL*s1",[1]OUT_TransportEnergyCons!$A$4:$A$10000))*1,[1]OUT_TransportEnergyCons!H$4:H$10000)</f>
        <v>5.7632138416894198E-5</v>
      </c>
      <c r="K2142" s="1" cm="1">
        <f t="array" ref="K2142">SUMPRODUCT(("var_ncap"=[1]OUT_TransportEnergyCons!$B$4:$B$10000)*1,("-"=[1]OUT_TransportEnergyCons!$C$4:$C$10000)*1,ISNUMBER(SEARCH("T_C*mhy*GSL*s1",[1]OUT_TransportEnergyCons!$A$4:$A$10000))*1,[1]OUT_TransportEnergyCons!I$4:I$10000)</f>
        <v>6.2751611015156097E-5</v>
      </c>
      <c r="L2142" s="1" cm="1">
        <f t="array" ref="L2142">SUMPRODUCT(("var_ncap"=[1]OUT_TransportEnergyCons!$B$4:$B$10000)*1,("-"=[1]OUT_TransportEnergyCons!$C$4:$C$10000)*1,ISNUMBER(SEARCH("T_C*mhy*GSL*s1",[1]OUT_TransportEnergyCons!$A$4:$A$10000))*1,[1]OUT_TransportEnergyCons!J$4:J$10000)</f>
        <v>3.0145745703202099E-5</v>
      </c>
      <c r="M2142" s="1" cm="1">
        <f t="array" ref="M2142">SUMPRODUCT(("var_ncap"=[1]OUT_TransportEnergyCons!$B$4:$B$10000)*1,("-"=[1]OUT_TransportEnergyCons!$C$4:$C$10000)*1,ISNUMBER(SEARCH("T_C*mhy*GSL*s1",[1]OUT_TransportEnergyCons!$A$4:$A$10000))*1,[1]OUT_TransportEnergyCons!K$4:K$10000)</f>
        <v>3.2287543985415603E-5</v>
      </c>
      <c r="N2142" s="1" cm="1">
        <f t="array" ref="N2142">SUMPRODUCT(("var_ncap"=[1]OUT_TransportEnergyCons!$B$4:$B$10000)*1,("-"=[1]OUT_TransportEnergyCons!$C$4:$C$10000)*1,ISNUMBER(SEARCH("T_C*mhy*GSL*s1",[1]OUT_TransportEnergyCons!$A$4:$A$10000))*1,[1]OUT_TransportEnergyCons!L$4:L$10000)</f>
        <v>2.6042339036750499E-5</v>
      </c>
      <c r="O2142" s="1" cm="1">
        <f t="array" ref="O2142">SUMPRODUCT(("var_ncap"=[1]OUT_TransportEnergyCons!$B$4:$B$10000)*1,("-"=[1]OUT_TransportEnergyCons!$C$4:$C$10000)*1,ISNUMBER(SEARCH("T_C*mhy*GSL*s1",[1]OUT_TransportEnergyCons!$A$4:$A$10000))*1,[1]OUT_TransportEnergyCons!M$4:M$10000)</f>
        <v>7.1460401064220595E-5</v>
      </c>
      <c r="P2142" s="1" cm="1">
        <f t="array" ref="P2142">SUMPRODUCT(("var_ncap"=[1]OUT_TransportEnergyCons!$B$4:$B$10000)*1,("-"=[1]OUT_TransportEnergyCons!$C$4:$C$10000)*1,ISNUMBER(SEARCH("T_C*mhy*GSL*s1",[1]OUT_TransportEnergyCons!$A$4:$A$10000))*1,[1]OUT_TransportEnergyCons!N$4:N$10000)</f>
        <v>2.01613771429719E-4</v>
      </c>
      <c r="Q2142" s="1" cm="1">
        <f t="array" ref="Q2142">SUMPRODUCT(("var_ncap"=[1]OUT_TransportEnergyCons!$B$4:$B$10000)*1,("-"=[1]OUT_TransportEnergyCons!$C$4:$C$10000)*1,ISNUMBER(SEARCH("T_C*mhy*GSL*s1",[1]OUT_TransportEnergyCons!$A$4:$A$10000))*1,[1]OUT_TransportEnergyCons!O$4:O$10000)</f>
        <v>1.19701836168793E-4</v>
      </c>
      <c r="S2142" s="3"/>
    </row>
    <row r="2143" spans="2:19" x14ac:dyDescent="0.5">
      <c r="B2143" s="5" t="str">
        <f t="shared" si="2239"/>
        <v>SPS1</v>
      </c>
      <c r="C2143" s="5" t="str">
        <f t="shared" si="2240"/>
        <v>CH</v>
      </c>
      <c r="D2143" t="s">
        <v>2272</v>
      </c>
      <c r="E2143" t="str">
        <f t="shared" si="2241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1.4891182607052401E-5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1.9423890116289101E-4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1.24436109844035E-4</v>
      </c>
      <c r="J2143" s="1" cm="1">
        <f t="array" ref="J2143">SUMPRODUCT(("var_ncap"=[1]OUT_TransportEnergyCons!$B$4:$B$10000)*1,("-"=[1]OUT_TransportEnergyCons!$C$4:$C$10000)*1,ISNUMBER(SEARCH("T_C*mhy*GSL*s2",[1]OUT_TransportEnergyCons!$A$4:$A$10000))*1,[1]OUT_TransportEnergyCons!H$4:H$10000)</f>
        <v>5.4048218030423998E-5</v>
      </c>
      <c r="K2143" s="1" cm="1">
        <f t="array" ref="K2143">SUMPRODUCT(("var_ncap"=[1]OUT_TransportEnergyCons!$B$4:$B$10000)*1,("-"=[1]OUT_TransportEnergyCons!$C$4:$C$10000)*1,ISNUMBER(SEARCH("T_C*mhy*GSL*s2",[1]OUT_TransportEnergyCons!$A$4:$A$10000))*1,[1]OUT_TransportEnergyCons!I$4:I$10000)</f>
        <v>5.29376882029235E-5</v>
      </c>
      <c r="L2143" s="1" cm="1">
        <f t="array" ref="L2143">SUMPRODUCT(("var_ncap"=[1]OUT_TransportEnergyCons!$B$4:$B$10000)*1,("-"=[1]OUT_TransportEnergyCons!$C$4:$C$10000)*1,ISNUMBER(SEARCH("T_C*mhy*GSL*s2",[1]OUT_TransportEnergyCons!$A$4:$A$10000))*1,[1]OUT_TransportEnergyCons!J$4:J$10000)</f>
        <v>3.2605703540133903E-5</v>
      </c>
      <c r="M2143" s="1" cm="1">
        <f t="array" ref="M2143">SUMPRODUCT(("var_ncap"=[1]OUT_TransportEnergyCons!$B$4:$B$10000)*1,("-"=[1]OUT_TransportEnergyCons!$C$4:$C$10000)*1,ISNUMBER(SEARCH("T_C*mhy*GSL*s2",[1]OUT_TransportEnergyCons!$A$4:$A$10000))*1,[1]OUT_TransportEnergyCons!K$4:K$10000)</f>
        <v>3.6221177437508301E-5</v>
      </c>
      <c r="N2143" s="1" cm="1">
        <f t="array" ref="N2143">SUMPRODUCT(("var_ncap"=[1]OUT_TransportEnergyCons!$B$4:$B$10000)*1,("-"=[1]OUT_TransportEnergyCons!$C$4:$C$10000)*1,ISNUMBER(SEARCH("T_C*mhy*GSL*s2",[1]OUT_TransportEnergyCons!$A$4:$A$10000))*1,[1]OUT_TransportEnergyCons!L$4:L$10000)</f>
        <v>2.9548249656406299E-5</v>
      </c>
      <c r="O2143" s="1" cm="1">
        <f t="array" ref="O2143">SUMPRODUCT(("var_ncap"=[1]OUT_TransportEnergyCons!$B$4:$B$10000)*1,("-"=[1]OUT_TransportEnergyCons!$C$4:$C$10000)*1,ISNUMBER(SEARCH("T_C*mhy*GSL*s2",[1]OUT_TransportEnergyCons!$A$4:$A$10000))*1,[1]OUT_TransportEnergyCons!M$4:M$10000)</f>
        <v>6.2151601348841404E-5</v>
      </c>
      <c r="P2143" s="1" cm="1">
        <f t="array" ref="P2143">SUMPRODUCT(("var_ncap"=[1]OUT_TransportEnergyCons!$B$4:$B$10000)*1,("-"=[1]OUT_TransportEnergyCons!$C$4:$C$10000)*1,ISNUMBER(SEARCH("T_C*mhy*GSL*s2",[1]OUT_TransportEnergyCons!$A$4:$A$10000))*1,[1]OUT_TransportEnergyCons!N$4:N$10000)</f>
        <v>9.6596908711703305E-5</v>
      </c>
      <c r="Q2143" s="1" cm="1">
        <f t="array" ref="Q2143">SUMPRODUCT(("var_ncap"=[1]OUT_TransportEnergyCons!$B$4:$B$10000)*1,("-"=[1]OUT_TransportEnergyCons!$C$4:$C$10000)*1,ISNUMBER(SEARCH("T_C*mhy*GSL*s2",[1]OUT_TransportEnergyCons!$A$4:$A$10000))*1,[1]OUT_TransportEnergyCons!O$4:O$10000)</f>
        <v>5.0570964780514402E-5</v>
      </c>
      <c r="S2143" s="3"/>
    </row>
    <row r="2144" spans="2:19" x14ac:dyDescent="0.5">
      <c r="B2144" s="5" t="str">
        <f t="shared" si="2239"/>
        <v>SPS1</v>
      </c>
      <c r="C2144" s="5" t="str">
        <f t="shared" si="2240"/>
        <v>CH</v>
      </c>
      <c r="D2144" t="s">
        <v>2273</v>
      </c>
      <c r="E2144" t="str">
        <f t="shared" si="2241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1.9029492096380999E-5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9.5783077331381601E-5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7.0911076866993699E-5</v>
      </c>
      <c r="J2144" s="1" cm="1">
        <f t="array" ref="J2144">SUMPRODUCT(("var_ncap"=[1]OUT_TransportEnergyCons!$B$4:$B$10000)*1,("-"=[1]OUT_TransportEnergyCons!$C$4:$C$10000)*1,ISNUMBER(SEARCH("T_C*mhy*GSL*s3",[1]OUT_TransportEnergyCons!$A$4:$A$10000))*1,[1]OUT_TransportEnergyCons!H$4:H$10000)</f>
        <v>4.2352228224332299E-5</v>
      </c>
      <c r="K2144" s="1" cm="1">
        <f t="array" ref="K2144">SUMPRODUCT(("var_ncap"=[1]OUT_TransportEnergyCons!$B$4:$B$10000)*1,("-"=[1]OUT_TransportEnergyCons!$C$4:$C$10000)*1,ISNUMBER(SEARCH("T_C*mhy*GSL*s3",[1]OUT_TransportEnergyCons!$A$4:$A$10000))*1,[1]OUT_TransportEnergyCons!I$4:I$10000)</f>
        <v>5.0092140316647598E-5</v>
      </c>
      <c r="L2144" s="1" cm="1">
        <f t="array" ref="L2144">SUMPRODUCT(("var_ncap"=[1]OUT_TransportEnergyCons!$B$4:$B$10000)*1,("-"=[1]OUT_TransportEnergyCons!$C$4:$C$10000)*1,ISNUMBER(SEARCH("T_C*mhy*GSL*s3",[1]OUT_TransportEnergyCons!$A$4:$A$10000))*1,[1]OUT_TransportEnergyCons!J$4:J$10000)</f>
        <v>4.13313014157488E-5</v>
      </c>
      <c r="M2144" s="1" cm="1">
        <f t="array" ref="M2144">SUMPRODUCT(("var_ncap"=[1]OUT_TransportEnergyCons!$B$4:$B$10000)*1,("-"=[1]OUT_TransportEnergyCons!$C$4:$C$10000)*1,ISNUMBER(SEARCH("T_C*mhy*GSL*s3",[1]OUT_TransportEnergyCons!$A$4:$A$10000))*1,[1]OUT_TransportEnergyCons!K$4:K$10000)</f>
        <v>5.2177286605002201E-5</v>
      </c>
      <c r="N2144" s="1" cm="1">
        <f t="array" ref="N2144">SUMPRODUCT(("var_ncap"=[1]OUT_TransportEnergyCons!$B$4:$B$10000)*1,("-"=[1]OUT_TransportEnergyCons!$C$4:$C$10000)*1,ISNUMBER(SEARCH("T_C*mhy*GSL*s3",[1]OUT_TransportEnergyCons!$A$4:$A$10000))*1,[1]OUT_TransportEnergyCons!L$4:L$10000)</f>
        <v>4.4152407330720403E-5</v>
      </c>
      <c r="O2144" s="1" cm="1">
        <f t="array" ref="O2144">SUMPRODUCT(("var_ncap"=[1]OUT_TransportEnergyCons!$B$4:$B$10000)*1,("-"=[1]OUT_TransportEnergyCons!$C$4:$C$10000)*1,ISNUMBER(SEARCH("T_C*mhy*GSL*s3",[1]OUT_TransportEnergyCons!$A$4:$A$10000))*1,[1]OUT_TransportEnergyCons!M$4:M$10000)</f>
        <v>7.9951948905568305E-5</v>
      </c>
      <c r="P2144" s="1" cm="1">
        <f t="array" ref="P2144">SUMPRODUCT(("var_ncap"=[1]OUT_TransportEnergyCons!$B$4:$B$10000)*1,("-"=[1]OUT_TransportEnergyCons!$C$4:$C$10000)*1,ISNUMBER(SEARCH("T_C*mhy*GSL*s3",[1]OUT_TransportEnergyCons!$A$4:$A$10000))*1,[1]OUT_TransportEnergyCons!N$4:N$10000)</f>
        <v>1.2266929328243301E-4</v>
      </c>
      <c r="Q2144" s="1" cm="1">
        <f t="array" ref="Q2144">SUMPRODUCT(("var_ncap"=[1]OUT_TransportEnergyCons!$B$4:$B$10000)*1,("-"=[1]OUT_TransportEnergyCons!$C$4:$C$10000)*1,ISNUMBER(SEARCH("T_C*mhy*GSL*s3",[1]OUT_TransportEnergyCons!$A$4:$A$10000))*1,[1]OUT_TransportEnergyCons!O$4:O$10000)</f>
        <v>4.8996393232828701E-5</v>
      </c>
      <c r="S2144" s="3"/>
    </row>
    <row r="2145" spans="2:19" x14ac:dyDescent="0.5">
      <c r="B2145" s="5" t="str">
        <f t="shared" si="2239"/>
        <v>SPS1</v>
      </c>
      <c r="C2145" s="5" t="str">
        <f t="shared" si="2240"/>
        <v>CH</v>
      </c>
      <c r="D2145" t="s">
        <v>2274</v>
      </c>
      <c r="E2145" t="str">
        <f t="shared" si="2241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2.88625636040919E-5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3.3418657180470601E-2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0.12031951861524599</v>
      </c>
      <c r="J2145" s="1" cm="1">
        <f t="array" ref="J2145">SUMPRODUCT(("var_ncap"=[1]OUT_TransportEnergyCons!$B$4:$B$10000)*1,("-"=[1]OUT_TransportEnergyCons!$C$4:$C$10000)*1,ISNUMBER(SEARCH("T_C*mhy*GSL*s4",[1]OUT_TransportEnergyCons!$A$4:$A$10000))*1,[1]OUT_TransportEnergyCons!H$4:H$10000)</f>
        <v>4.9264790237105699E-2</v>
      </c>
      <c r="K2145" s="1" cm="1">
        <f t="array" ref="K2145">SUMPRODUCT(("var_ncap"=[1]OUT_TransportEnergyCons!$B$4:$B$10000)*1,("-"=[1]OUT_TransportEnergyCons!$C$4:$C$10000)*1,ISNUMBER(SEARCH("T_C*mhy*GSL*s4",[1]OUT_TransportEnergyCons!$A$4:$A$10000))*1,[1]OUT_TransportEnergyCons!I$4:I$10000)</f>
        <v>0.10312183324441</v>
      </c>
      <c r="L2145" s="1" cm="1">
        <f t="array" ref="L2145">SUMPRODUCT(("var_ncap"=[1]OUT_TransportEnergyCons!$B$4:$B$10000)*1,("-"=[1]OUT_TransportEnergyCons!$C$4:$C$10000)*1,ISNUMBER(SEARCH("T_C*mhy*GSL*s4",[1]OUT_TransportEnergyCons!$A$4:$A$10000))*1,[1]OUT_TransportEnergyCons!J$4:J$10000)</f>
        <v>0.13267584083276901</v>
      </c>
      <c r="M2145" s="1" cm="1">
        <f t="array" ref="M2145">SUMPRODUCT(("var_ncap"=[1]OUT_TransportEnergyCons!$B$4:$B$10000)*1,("-"=[1]OUT_TransportEnergyCons!$C$4:$C$10000)*1,ISNUMBER(SEARCH("T_C*mhy*GSL*s4",[1]OUT_TransportEnergyCons!$A$4:$A$10000))*1,[1]OUT_TransportEnergyCons!K$4:K$10000)</f>
        <v>7.9980875469672502E-2</v>
      </c>
      <c r="N2145" s="1" cm="1">
        <f t="array" ref="N2145">SUMPRODUCT(("var_ncap"=[1]OUT_TransportEnergyCons!$B$4:$B$10000)*1,("-"=[1]OUT_TransportEnergyCons!$C$4:$C$10000)*1,ISNUMBER(SEARCH("T_C*mhy*GSL*s4",[1]OUT_TransportEnergyCons!$A$4:$A$10000))*1,[1]OUT_TransportEnergyCons!L$4:L$10000)</f>
        <v>0.106708170025719</v>
      </c>
      <c r="O2145" s="1" cm="1">
        <f t="array" ref="O2145">SUMPRODUCT(("var_ncap"=[1]OUT_TransportEnergyCons!$B$4:$B$10000)*1,("-"=[1]OUT_TransportEnergyCons!$C$4:$C$10000)*1,ISNUMBER(SEARCH("T_C*mhy*GSL*s4",[1]OUT_TransportEnergyCons!$A$4:$A$10000))*1,[1]OUT_TransportEnergyCons!M$4:M$10000)</f>
        <v>9.9026685873755502E-2</v>
      </c>
      <c r="P2145" s="1" cm="1">
        <f t="array" ref="P2145">SUMPRODUCT(("var_ncap"=[1]OUT_TransportEnergyCons!$B$4:$B$10000)*1,("-"=[1]OUT_TransportEnergyCons!$C$4:$C$10000)*1,ISNUMBER(SEARCH("T_C*mhy*GSL*s4",[1]OUT_TransportEnergyCons!$A$4:$A$10000))*1,[1]OUT_TransportEnergyCons!N$4:N$10000)</f>
        <v>6.9821426276539006E-2</v>
      </c>
      <c r="Q2145" s="1" cm="1">
        <f t="array" ref="Q2145">SUMPRODUCT(("var_ncap"=[1]OUT_TransportEnergyCons!$B$4:$B$10000)*1,("-"=[1]OUT_TransportEnergyCons!$C$4:$C$10000)*1,ISNUMBER(SEARCH("T_C*mhy*GSL*s4",[1]OUT_TransportEnergyCons!$A$4:$A$10000))*1,[1]OUT_TransportEnergyCons!O$4:O$10000)</f>
        <v>7.6090731085566299E-2</v>
      </c>
      <c r="S2145" s="3"/>
    </row>
    <row r="2146" spans="2:19" x14ac:dyDescent="0.5">
      <c r="B2146" s="5" t="str">
        <f t="shared" si="2239"/>
        <v>SPS1</v>
      </c>
      <c r="C2146" s="5" t="str">
        <f t="shared" si="2240"/>
        <v>CH</v>
      </c>
      <c r="D2146" t="s">
        <v>2275</v>
      </c>
      <c r="E2146" t="str">
        <f t="shared" si="2241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SUMPRODUCT(("var_ncap"=[1]OUT_TransportEnergyCons!$B$4:$B$10000)*1,("-"=[1]OUT_TransportEnergyCons!$C$4:$C$10000)*1,ISNUMBER(SEARCH("T_C*hy*dsl*ext",[1]OUT_TransportEnergyCons!$A$4:$A$10000))*1,[1]OUT_TransportEnergyCons!H$4:H$10000)</f>
        <v>0</v>
      </c>
      <c r="K2146" s="1" cm="1">
        <f t="array" ref="K2146">SUMPRODUCT(("var_ncap"=[1]OUT_TransportEnergyCons!$B$4:$B$10000)*1,("-"=[1]OUT_TransportEnergyCons!$C$4:$C$10000)*1,ISNUMBER(SEARCH("T_C*hy*dsl*ext",[1]OUT_TransportEnergyCons!$A$4:$A$10000))*1,[1]OUT_TransportEnergyCons!I$4:I$10000)</f>
        <v>0</v>
      </c>
      <c r="L2146" s="1" cm="1">
        <f t="array" ref="L2146">SUMPRODUCT(("var_ncap"=[1]OUT_TransportEnergyCons!$B$4:$B$10000)*1,("-"=[1]OUT_TransportEnergyCons!$C$4:$C$10000)*1,ISNUMBER(SEARCH("T_C*hy*dsl*ext",[1]OUT_TransportEnergyCons!$A$4:$A$10000))*1,[1]OUT_TransportEnergyCons!J$4:J$10000)</f>
        <v>0</v>
      </c>
      <c r="M2146" s="1" cm="1">
        <f t="array" ref="M2146">SUMPRODUCT(("var_ncap"=[1]OUT_TransportEnergyCons!$B$4:$B$10000)*1,("-"=[1]OUT_TransportEnergyCons!$C$4:$C$10000)*1,ISNUMBER(SEARCH("T_C*hy*dsl*ext",[1]OUT_TransportEnergyCons!$A$4:$A$10000))*1,[1]OUT_TransportEnergyCons!K$4:K$10000)</f>
        <v>0</v>
      </c>
      <c r="N2146" s="1" cm="1">
        <f t="array" ref="N2146">SUMPRODUCT(("var_ncap"=[1]OUT_TransportEnergyCons!$B$4:$B$10000)*1,("-"=[1]OUT_TransportEnergyCons!$C$4:$C$10000)*1,ISNUMBER(SEARCH("T_C*hy*dsl*ext",[1]OUT_TransportEnergyCons!$A$4:$A$10000))*1,[1]OUT_TransportEnergyCons!L$4:L$10000)</f>
        <v>0</v>
      </c>
      <c r="O2146" s="1" cm="1">
        <f t="array" ref="O2146">SUMPRODUCT(("var_ncap"=[1]OUT_TransportEnergyCons!$B$4:$B$10000)*1,("-"=[1]OUT_TransportEnergyCons!$C$4:$C$10000)*1,ISNUMBER(SEARCH("T_C*hy*dsl*ext",[1]OUT_TransportEnergyCons!$A$4:$A$10000))*1,[1]OUT_TransportEnergyCons!M$4:M$10000)</f>
        <v>0</v>
      </c>
      <c r="P2146" s="1" cm="1">
        <f t="array" ref="P2146">SUMPRODUCT(("var_ncap"=[1]OUT_TransportEnergyCons!$B$4:$B$10000)*1,("-"=[1]OUT_TransportEnergyCons!$C$4:$C$10000)*1,ISNUMBER(SEARCH("T_C*hy*dsl*ext",[1]OUT_TransportEnergyCons!$A$4:$A$10000))*1,[1]OUT_TransportEnergyCons!N$4:N$10000)</f>
        <v>0</v>
      </c>
      <c r="Q2146" s="1" cm="1">
        <f t="array" ref="Q2146">SUMPRODUCT(("var_ncap"=[1]OUT_TransportEnergyCons!$B$4:$B$10000)*1,("-"=[1]OUT_TransportEnergyCons!$C$4:$C$10000)*1,ISNUMBER(SEARCH("T_C*hy*dsl*ext",[1]OUT_TransportEnergyCons!$A$4:$A$10000))*1,[1]OUT_TransportEnergyCons!O$4:O$10000)</f>
        <v>0</v>
      </c>
      <c r="S2146" s="3"/>
    </row>
    <row r="2147" spans="2:19" x14ac:dyDescent="0.5">
      <c r="B2147" s="5" t="str">
        <f t="shared" ref="B2147:B2164" si="2242">B2146</f>
        <v>SPS1</v>
      </c>
      <c r="C2147" s="5" t="str">
        <f t="shared" ref="C2147:C2164" si="2243">C2146</f>
        <v>CH</v>
      </c>
      <c r="D2147" t="s">
        <v>2276</v>
      </c>
      <c r="E2147" t="str">
        <f t="shared" ref="E2147:E2164" si="2244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2.9467036396941159E-2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7.6546941757061115E-2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0.14531977606466534</v>
      </c>
      <c r="J2147" s="1" cm="1">
        <f t="array" ref="J2147">SUMPRODUCT(("var_ncap"=[1]OUT_TransportEnergyCons!$B$4:$B$10000)*1,("-"=[1]OUT_TransportEnergyCons!$C$4:$C$10000)*1,ISNUMBER(SEARCH("T_C*hy*dsl*s1",[1]OUT_TransportEnergyCons!$A$4:$A$10000))*1,[1]OUT_TransportEnergyCons!H$4:H$10000)</f>
        <v>0.13565554718217279</v>
      </c>
      <c r="K2147" s="1" cm="1">
        <f t="array" ref="K2147">SUMPRODUCT(("var_ncap"=[1]OUT_TransportEnergyCons!$B$4:$B$10000)*1,("-"=[1]OUT_TransportEnergyCons!$C$4:$C$10000)*1,ISNUMBER(SEARCH("T_C*hy*dsl*s1",[1]OUT_TransportEnergyCons!$A$4:$A$10000))*1,[1]OUT_TransportEnergyCons!I$4:I$10000)</f>
        <v>4.95379865529922E-2</v>
      </c>
      <c r="L2147" s="1" cm="1">
        <f t="array" ref="L2147">SUMPRODUCT(("var_ncap"=[1]OUT_TransportEnergyCons!$B$4:$B$10000)*1,("-"=[1]OUT_TransportEnergyCons!$C$4:$C$10000)*1,ISNUMBER(SEARCH("T_C*hy*dsl*s1",[1]OUT_TransportEnergyCons!$A$4:$A$10000))*1,[1]OUT_TransportEnergyCons!J$4:J$10000)</f>
        <v>6.7278898551041355E-2</v>
      </c>
      <c r="M2147" s="1" cm="1">
        <f t="array" ref="M2147">SUMPRODUCT(("var_ncap"=[1]OUT_TransportEnergyCons!$B$4:$B$10000)*1,("-"=[1]OUT_TransportEnergyCons!$C$4:$C$10000)*1,ISNUMBER(SEARCH("T_C*hy*dsl*s1",[1]OUT_TransportEnergyCons!$A$4:$A$10000))*1,[1]OUT_TransportEnergyCons!K$4:K$10000)</f>
        <v>1.442889350163525E-4</v>
      </c>
      <c r="N2147" s="1" cm="1">
        <f t="array" ref="N2147">SUMPRODUCT(("var_ncap"=[1]OUT_TransportEnergyCons!$B$4:$B$10000)*1,("-"=[1]OUT_TransportEnergyCons!$C$4:$C$10000)*1,ISNUMBER(SEARCH("T_C*hy*dsl*s1",[1]OUT_TransportEnergyCons!$A$4:$A$10000))*1,[1]OUT_TransportEnergyCons!L$4:L$10000)</f>
        <v>4.505767610721282E-2</v>
      </c>
      <c r="O2147" s="1" cm="1">
        <f t="array" ref="O2147">SUMPRODUCT(("var_ncap"=[1]OUT_TransportEnergyCons!$B$4:$B$10000)*1,("-"=[1]OUT_TransportEnergyCons!$C$4:$C$10000)*1,ISNUMBER(SEARCH("T_C*hy*dsl*s1",[1]OUT_TransportEnergyCons!$A$4:$A$10000))*1,[1]OUT_TransportEnergyCons!M$4:M$10000)</f>
        <v>6.631377677986805E-2</v>
      </c>
      <c r="P2147" s="1" cm="1">
        <f t="array" ref="P2147">SUMPRODUCT(("var_ncap"=[1]OUT_TransportEnergyCons!$B$4:$B$10000)*1,("-"=[1]OUT_TransportEnergyCons!$C$4:$C$10000)*1,ISNUMBER(SEARCH("T_C*hy*dsl*s1",[1]OUT_TransportEnergyCons!$A$4:$A$10000))*1,[1]OUT_TransportEnergyCons!N$4:N$10000)</f>
        <v>1.3431661545883341E-4</v>
      </c>
      <c r="Q2147" s="1" cm="1">
        <f t="array" ref="Q2147">SUMPRODUCT(("var_ncap"=[1]OUT_TransportEnergyCons!$B$4:$B$10000)*1,("-"=[1]OUT_TransportEnergyCons!$C$4:$C$10000)*1,ISNUMBER(SEARCH("T_C*hy*dsl*s1",[1]OUT_TransportEnergyCons!$A$4:$A$10000))*1,[1]OUT_TransportEnergyCons!O$4:O$10000)</f>
        <v>8.9954040746136906E-5</v>
      </c>
      <c r="S2147" s="3"/>
    </row>
    <row r="2148" spans="2:19" x14ac:dyDescent="0.5">
      <c r="B2148" s="5" t="str">
        <f t="shared" si="2242"/>
        <v>SPS1</v>
      </c>
      <c r="C2148" s="5" t="str">
        <f t="shared" si="2243"/>
        <v>CH</v>
      </c>
      <c r="D2148" t="s">
        <v>2277</v>
      </c>
      <c r="E2148" t="str">
        <f t="shared" si="2244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0.12101329502380914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3.9113342169102602E-2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1.9393065316409519E-4</v>
      </c>
      <c r="J2148" s="1" cm="1">
        <f t="array" ref="J2148">SUMPRODUCT(("var_ncap"=[1]OUT_TransportEnergyCons!$B$4:$B$10000)*1,("-"=[1]OUT_TransportEnergyCons!$C$4:$C$10000)*1,ISNUMBER(SEARCH("T_C*hy*dsl*s2",[1]OUT_TransportEnergyCons!$A$4:$A$10000))*1,[1]OUT_TransportEnergyCons!H$4:H$10000)</f>
        <v>9.4047705069526504E-4</v>
      </c>
      <c r="K2148" s="1" cm="1">
        <f t="array" ref="K2148">SUMPRODUCT(("var_ncap"=[1]OUT_TransportEnergyCons!$B$4:$B$10000)*1,("-"=[1]OUT_TransportEnergyCons!$C$4:$C$10000)*1,ISNUMBER(SEARCH("T_C*hy*dsl*s2",[1]OUT_TransportEnergyCons!$A$4:$A$10000))*1,[1]OUT_TransportEnergyCons!I$4:I$10000)</f>
        <v>4.2349822345829203E-4</v>
      </c>
      <c r="L2148" s="1" cm="1">
        <f t="array" ref="L2148">SUMPRODUCT(("var_ncap"=[1]OUT_TransportEnergyCons!$B$4:$B$10000)*1,("-"=[1]OUT_TransportEnergyCons!$C$4:$C$10000)*1,ISNUMBER(SEARCH("T_C*hy*dsl*s2",[1]OUT_TransportEnergyCons!$A$4:$A$10000))*1,[1]OUT_TransportEnergyCons!J$4:J$10000)</f>
        <v>5.5879412517439607E-4</v>
      </c>
      <c r="M2148" s="1" cm="1">
        <f t="array" ref="M2148">SUMPRODUCT(("var_ncap"=[1]OUT_TransportEnergyCons!$B$4:$B$10000)*1,("-"=[1]OUT_TransportEnergyCons!$C$4:$C$10000)*1,ISNUMBER(SEARCH("T_C*hy*dsl*s2",[1]OUT_TransportEnergyCons!$A$4:$A$10000))*1,[1]OUT_TransportEnergyCons!K$4:K$10000)</f>
        <v>1.9598586359307691E-4</v>
      </c>
      <c r="N2148" s="1" cm="1">
        <f t="array" ref="N2148">SUMPRODUCT(("var_ncap"=[1]OUT_TransportEnergyCons!$B$4:$B$10000)*1,("-"=[1]OUT_TransportEnergyCons!$C$4:$C$10000)*1,ISNUMBER(SEARCH("T_C*hy*dsl*s2",[1]OUT_TransportEnergyCons!$A$4:$A$10000))*1,[1]OUT_TransportEnergyCons!L$4:L$10000)</f>
        <v>1.6137168066752549E-4</v>
      </c>
      <c r="O2148" s="1" cm="1">
        <f t="array" ref="O2148">SUMPRODUCT(("var_ncap"=[1]OUT_TransportEnergyCons!$B$4:$B$10000)*1,("-"=[1]OUT_TransportEnergyCons!$C$4:$C$10000)*1,ISNUMBER(SEARCH("T_C*hy*dsl*s2",[1]OUT_TransportEnergyCons!$A$4:$A$10000))*1,[1]OUT_TransportEnergyCons!M$4:M$10000)</f>
        <v>5.5642102459540501E-4</v>
      </c>
      <c r="P2148" s="1" cm="1">
        <f t="array" ref="P2148">SUMPRODUCT(("var_ncap"=[1]OUT_TransportEnergyCons!$B$4:$B$10000)*1,("-"=[1]OUT_TransportEnergyCons!$C$4:$C$10000)*1,ISNUMBER(SEARCH("T_C*hy*dsl*s2",[1]OUT_TransportEnergyCons!$A$4:$A$10000))*1,[1]OUT_TransportEnergyCons!N$4:N$10000)</f>
        <v>4.1708641384133639E-2</v>
      </c>
      <c r="Q2148" s="1" cm="1">
        <f t="array" ref="Q2148">SUMPRODUCT(("var_ncap"=[1]OUT_TransportEnergyCons!$B$4:$B$10000)*1,("-"=[1]OUT_TransportEnergyCons!$C$4:$C$10000)*1,ISNUMBER(SEARCH("T_C*hy*dsl*s2",[1]OUT_TransportEnergyCons!$A$4:$A$10000))*1,[1]OUT_TransportEnergyCons!O$4:O$10000)</f>
        <v>6.6828817709723848E-3</v>
      </c>
      <c r="S2148" s="3"/>
    </row>
    <row r="2149" spans="2:19" x14ac:dyDescent="0.5">
      <c r="B2149" s="5" t="str">
        <f t="shared" si="2242"/>
        <v>SPS1</v>
      </c>
      <c r="C2149" s="5" t="str">
        <f t="shared" si="2243"/>
        <v>CH</v>
      </c>
      <c r="D2149" t="s">
        <v>2278</v>
      </c>
      <c r="E2149" t="str">
        <f t="shared" si="2244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1.4331363538537791E-4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9.9265001605262004E-5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1.1085164060784879E-4</v>
      </c>
      <c r="J2149" s="1" cm="1">
        <f t="array" ref="J2149">SUMPRODUCT(("var_ncap"=[1]OUT_TransportEnergyCons!$B$4:$B$10000)*1,("-"=[1]OUT_TransportEnergyCons!$C$4:$C$10000)*1,ISNUMBER(SEARCH("T_C*hy*dsl*s3",[1]OUT_TransportEnergyCons!$A$4:$A$10000))*1,[1]OUT_TransportEnergyCons!H$4:H$10000)</f>
        <v>2.4979991746426852E-3</v>
      </c>
      <c r="K2149" s="1" cm="1">
        <f t="array" ref="K2149">SUMPRODUCT(("var_ncap"=[1]OUT_TransportEnergyCons!$B$4:$B$10000)*1,("-"=[1]OUT_TransportEnergyCons!$C$4:$C$10000)*1,ISNUMBER(SEARCH("T_C*hy*dsl*s3",[1]OUT_TransportEnergyCons!$A$4:$A$10000))*1,[1]OUT_TransportEnergyCons!I$4:I$10000)</f>
        <v>4.1892728417022192E-2</v>
      </c>
      <c r="L2149" s="1" cm="1">
        <f t="array" ref="L2149">SUMPRODUCT(("var_ncap"=[1]OUT_TransportEnergyCons!$B$4:$B$10000)*1,("-"=[1]OUT_TransportEnergyCons!$C$4:$C$10000)*1,ISNUMBER(SEARCH("T_C*hy*dsl*s3",[1]OUT_TransportEnergyCons!$A$4:$A$10000))*1,[1]OUT_TransportEnergyCons!J$4:J$10000)</f>
        <v>5.4719909166353865E-2</v>
      </c>
      <c r="M2149" s="1" cm="1">
        <f t="array" ref="M2149">SUMPRODUCT(("var_ncap"=[1]OUT_TransportEnergyCons!$B$4:$B$10000)*1,("-"=[1]OUT_TransportEnergyCons!$C$4:$C$10000)*1,ISNUMBER(SEARCH("T_C*hy*dsl*s3",[1]OUT_TransportEnergyCons!$A$4:$A$10000))*1,[1]OUT_TransportEnergyCons!K$4:K$10000)</f>
        <v>3.1129848348426064E-2</v>
      </c>
      <c r="N2149" s="1" cm="1">
        <f t="array" ref="N2149">SUMPRODUCT(("var_ncap"=[1]OUT_TransportEnergyCons!$B$4:$B$10000)*1,("-"=[1]OUT_TransportEnergyCons!$C$4:$C$10000)*1,ISNUMBER(SEARCH("T_C*hy*dsl*s3",[1]OUT_TransportEnergyCons!$A$4:$A$10000))*1,[1]OUT_TransportEnergyCons!L$4:L$10000)</f>
        <v>4.8233533792575396E-2</v>
      </c>
      <c r="O2149" s="1" cm="1">
        <f t="array" ref="O2149">SUMPRODUCT(("var_ncap"=[1]OUT_TransportEnergyCons!$B$4:$B$10000)*1,("-"=[1]OUT_TransportEnergyCons!$C$4:$C$10000)*1,ISNUMBER(SEARCH("T_C*hy*dsl*s3",[1]OUT_TransportEnergyCons!$A$4:$A$10000))*1,[1]OUT_TransportEnergyCons!M$4:M$10000)</f>
        <v>4.1197900476719874E-2</v>
      </c>
      <c r="P2149" s="1" cm="1">
        <f t="array" ref="P2149">SUMPRODUCT(("var_ncap"=[1]OUT_TransportEnergyCons!$B$4:$B$10000)*1,("-"=[1]OUT_TransportEnergyCons!$C$4:$C$10000)*1,ISNUMBER(SEARCH("T_C*hy*dsl*s3",[1]OUT_TransportEnergyCons!$A$4:$A$10000))*1,[1]OUT_TransportEnergyCons!N$4:N$10000)</f>
        <v>2.9450204839285895E-2</v>
      </c>
      <c r="Q2149" s="1" cm="1">
        <f t="array" ref="Q2149">SUMPRODUCT(("var_ncap"=[1]OUT_TransportEnergyCons!$B$4:$B$10000)*1,("-"=[1]OUT_TransportEnergyCons!$C$4:$C$10000)*1,ISNUMBER(SEARCH("T_C*hy*dsl*s3",[1]OUT_TransportEnergyCons!$A$4:$A$10000))*1,[1]OUT_TransportEnergyCons!O$4:O$10000)</f>
        <v>3.8888936760139665E-2</v>
      </c>
      <c r="S2149" s="3"/>
    </row>
    <row r="2150" spans="2:19" x14ac:dyDescent="0.5">
      <c r="B2150" s="5" t="str">
        <f t="shared" si="2242"/>
        <v>SPS1</v>
      </c>
      <c r="C2150" s="5" t="str">
        <f t="shared" si="2243"/>
        <v>CH</v>
      </c>
      <c r="D2150" t="s">
        <v>2279</v>
      </c>
      <c r="E2150" t="str">
        <f t="shared" si="2244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1.5737187459417021E-4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6.2279367219181107E-5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4.7582047562825998E-5</v>
      </c>
      <c r="J2150" s="1" cm="1">
        <f t="array" ref="J2150">SUMPRODUCT(("var_ncap"=[1]OUT_TransportEnergyCons!$B$4:$B$10000)*1,("-"=[1]OUT_TransportEnergyCons!$C$4:$C$10000)*1,ISNUMBER(SEARCH("T_C*hy*dsl*s4",[1]OUT_TransportEnergyCons!$A$4:$A$10000))*1,[1]OUT_TransportEnergyCons!H$4:H$10000)</f>
        <v>1.2787269748415619E-4</v>
      </c>
      <c r="K2150" s="1" cm="1">
        <f t="array" ref="K2150">SUMPRODUCT(("var_ncap"=[1]OUT_TransportEnergyCons!$B$4:$B$10000)*1,("-"=[1]OUT_TransportEnergyCons!$C$4:$C$10000)*1,ISNUMBER(SEARCH("T_C*hy*dsl*s4",[1]OUT_TransportEnergyCons!$A$4:$A$10000))*1,[1]OUT_TransportEnergyCons!I$4:I$10000)</f>
        <v>2.6772338916464602E-4</v>
      </c>
      <c r="L2150" s="1" cm="1">
        <f t="array" ref="L2150">SUMPRODUCT(("var_ncap"=[1]OUT_TransportEnergyCons!$B$4:$B$10000)*1,("-"=[1]OUT_TransportEnergyCons!$C$4:$C$10000)*1,ISNUMBER(SEARCH("T_C*hy*dsl*s4",[1]OUT_TransportEnergyCons!$A$4:$A$10000))*1,[1]OUT_TransportEnergyCons!J$4:J$10000)</f>
        <v>9.8651718541865746E-3</v>
      </c>
      <c r="M2150" s="1" cm="1">
        <f t="array" ref="M2150">SUMPRODUCT(("var_ncap"=[1]OUT_TransportEnergyCons!$B$4:$B$10000)*1,("-"=[1]OUT_TransportEnergyCons!$C$4:$C$10000)*1,ISNUMBER(SEARCH("T_C*hy*dsl*s4",[1]OUT_TransportEnergyCons!$A$4:$A$10000))*1,[1]OUT_TransportEnergyCons!K$4:K$10000)</f>
        <v>9.324128555243906E-2</v>
      </c>
      <c r="N2150" s="1" cm="1">
        <f t="array" ref="N2150">SUMPRODUCT(("var_ncap"=[1]OUT_TransportEnergyCons!$B$4:$B$10000)*1,("-"=[1]OUT_TransportEnergyCons!$C$4:$C$10000)*1,ISNUMBER(SEARCH("T_C*hy*dsl*s4",[1]OUT_TransportEnergyCons!$A$4:$A$10000))*1,[1]OUT_TransportEnergyCons!L$4:L$10000)</f>
        <v>8.7598468651706677E-3</v>
      </c>
      <c r="O2150" s="1" cm="1">
        <f t="array" ref="O2150">SUMPRODUCT(("var_ncap"=[1]OUT_TransportEnergyCons!$B$4:$B$10000)*1,("-"=[1]OUT_TransportEnergyCons!$C$4:$C$10000)*1,ISNUMBER(SEARCH("T_C*hy*dsl*s4",[1]OUT_TransportEnergyCons!$A$4:$A$10000))*1,[1]OUT_TransportEnergyCons!M$4:M$10000)</f>
        <v>2.0674177976169738E-4</v>
      </c>
      <c r="P2150" s="1" cm="1">
        <f t="array" ref="P2150">SUMPRODUCT(("var_ncap"=[1]OUT_TransportEnergyCons!$B$4:$B$10000)*1,("-"=[1]OUT_TransportEnergyCons!$C$4:$C$10000)*1,ISNUMBER(SEARCH("T_C*hy*dsl*s4",[1]OUT_TransportEnergyCons!$A$4:$A$10000))*1,[1]OUT_TransportEnergyCons!N$4:N$10000)</f>
        <v>1.2928441207290069E-4</v>
      </c>
      <c r="Q2150" s="1" cm="1">
        <f t="array" ref="Q2150">SUMPRODUCT(("var_ncap"=[1]OUT_TransportEnergyCons!$B$4:$B$10000)*1,("-"=[1]OUT_TransportEnergyCons!$C$4:$C$10000)*1,ISNUMBER(SEARCH("T_C*hy*dsl*s4",[1]OUT_TransportEnergyCons!$A$4:$A$10000))*1,[1]OUT_TransportEnergyCons!O$4:O$10000)</f>
        <v>3.8536063778836136E-3</v>
      </c>
      <c r="S2150" s="3"/>
    </row>
    <row r="2151" spans="2:19" x14ac:dyDescent="0.5">
      <c r="B2151" s="5" t="str">
        <f t="shared" si="2242"/>
        <v>SPS1</v>
      </c>
      <c r="C2151" s="5" t="str">
        <f t="shared" si="2243"/>
        <v>CH</v>
      </c>
      <c r="D2151" t="s">
        <v>2280</v>
      </c>
      <c r="E2151" t="str">
        <f t="shared" si="2244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SUMPRODUCT(("var_ncap"=[1]OUT_TransportEnergyCons!$B$4:$B$10000)*1,("-"=[1]OUT_TransportEnergyCons!$C$4:$C$10000)*1,ISNUMBER(SEARCH("T_C*ICE*dsl*ext",[1]OUT_TransportEnergyCons!$A$4:$A$10000))*1,[1]OUT_TransportEnergyCons!H$4:H$10000)</f>
        <v>0</v>
      </c>
      <c r="K2151" s="1" cm="1">
        <f t="array" ref="K2151">SUMPRODUCT(("var_ncap"=[1]OUT_TransportEnergyCons!$B$4:$B$10000)*1,("-"=[1]OUT_TransportEnergyCons!$C$4:$C$10000)*1,ISNUMBER(SEARCH("T_C*ICE*dsl*ext",[1]OUT_TransportEnergyCons!$A$4:$A$10000))*1,[1]OUT_TransportEnergyCons!I$4:I$10000)</f>
        <v>0</v>
      </c>
      <c r="L2151" s="1" cm="1">
        <f t="array" ref="L2151">SUMPRODUCT(("var_ncap"=[1]OUT_TransportEnergyCons!$B$4:$B$10000)*1,("-"=[1]OUT_TransportEnergyCons!$C$4:$C$10000)*1,ISNUMBER(SEARCH("T_C*ICE*dsl*ext",[1]OUT_TransportEnergyCons!$A$4:$A$10000))*1,[1]OUT_TransportEnergyCons!J$4:J$10000)</f>
        <v>0</v>
      </c>
      <c r="M2151" s="1" cm="1">
        <f t="array" ref="M2151">SUMPRODUCT(("var_ncap"=[1]OUT_TransportEnergyCons!$B$4:$B$10000)*1,("-"=[1]OUT_TransportEnergyCons!$C$4:$C$10000)*1,ISNUMBER(SEARCH("T_C*ICE*dsl*ext",[1]OUT_TransportEnergyCons!$A$4:$A$10000))*1,[1]OUT_TransportEnergyCons!K$4:K$10000)</f>
        <v>0</v>
      </c>
      <c r="N2151" s="1" cm="1">
        <f t="array" ref="N2151">SUMPRODUCT(("var_ncap"=[1]OUT_TransportEnergyCons!$B$4:$B$10000)*1,("-"=[1]OUT_TransportEnergyCons!$C$4:$C$10000)*1,ISNUMBER(SEARCH("T_C*ICE*dsl*ext",[1]OUT_TransportEnergyCons!$A$4:$A$10000))*1,[1]OUT_TransportEnergyCons!L$4:L$10000)</f>
        <v>0</v>
      </c>
      <c r="O2151" s="1" cm="1">
        <f t="array" ref="O2151">SUMPRODUCT(("var_ncap"=[1]OUT_TransportEnergyCons!$B$4:$B$10000)*1,("-"=[1]OUT_TransportEnergyCons!$C$4:$C$10000)*1,ISNUMBER(SEARCH("T_C*ICE*dsl*ext",[1]OUT_TransportEnergyCons!$A$4:$A$10000))*1,[1]OUT_TransportEnergyCons!M$4:M$10000)</f>
        <v>0</v>
      </c>
      <c r="P2151" s="1" cm="1">
        <f t="array" ref="P2151">SUMPRODUCT(("var_ncap"=[1]OUT_TransportEnergyCons!$B$4:$B$10000)*1,("-"=[1]OUT_TransportEnergyCons!$C$4:$C$10000)*1,ISNUMBER(SEARCH("T_C*ICE*dsl*ext",[1]OUT_TransportEnergyCons!$A$4:$A$10000))*1,[1]OUT_TransportEnergyCons!N$4:N$10000)</f>
        <v>0</v>
      </c>
      <c r="Q2151" s="1" cm="1">
        <f t="array" ref="Q2151">SUMPRODUCT(("var_ncap"=[1]OUT_TransportEnergyCons!$B$4:$B$10000)*1,("-"=[1]OUT_TransportEnergyCons!$C$4:$C$10000)*1,ISNUMBER(SEARCH("T_C*ICE*dsl*ext",[1]OUT_TransportEnergyCons!$A$4:$A$10000))*1,[1]OUT_TransportEnergyCons!O$4:O$10000)</f>
        <v>0</v>
      </c>
      <c r="S2151" s="3"/>
    </row>
    <row r="2152" spans="2:19" x14ac:dyDescent="0.5">
      <c r="B2152" s="5" t="str">
        <f t="shared" si="2242"/>
        <v>SPS1</v>
      </c>
      <c r="C2152" s="5" t="str">
        <f t="shared" si="2243"/>
        <v>CH</v>
      </c>
      <c r="D2152" t="s">
        <v>2281</v>
      </c>
      <c r="E2152" t="str">
        <f t="shared" si="2244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4.0914287042479502E-5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6.1599732374052806E-5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8.0124271897764294E-5</v>
      </c>
      <c r="J2152" s="1" cm="1">
        <f t="array" ref="J2152">SUMPRODUCT(("var_ncap"=[1]OUT_TransportEnergyCons!$B$4:$B$10000)*1,("-"=[1]OUT_TransportEnergyCons!$C$4:$C$10000)*1,ISNUMBER(SEARCH("T_C*ICE*dsl*s1",[1]OUT_TransportEnergyCons!$A$4:$A$10000))*1,[1]OUT_TransportEnergyCons!H$4:H$10000)</f>
        <v>1.41548323972097E-4</v>
      </c>
      <c r="K2152" s="1" cm="1">
        <f t="array" ref="K2152">SUMPRODUCT(("var_ncap"=[1]OUT_TransportEnergyCons!$B$4:$B$10000)*1,("-"=[1]OUT_TransportEnergyCons!$C$4:$C$10000)*1,ISNUMBER(SEARCH("T_C*ICE*dsl*s1",[1]OUT_TransportEnergyCons!$A$4:$A$10000))*1,[1]OUT_TransportEnergyCons!I$4:I$10000)</f>
        <v>4.6619616464501201E-3</v>
      </c>
      <c r="L2152" s="1" cm="1">
        <f t="array" ref="L2152">SUMPRODUCT(("var_ncap"=[1]OUT_TransportEnergyCons!$B$4:$B$10000)*1,("-"=[1]OUT_TransportEnergyCons!$C$4:$C$10000)*1,ISNUMBER(SEARCH("T_C*ICE*dsl*s1",[1]OUT_TransportEnergyCons!$A$4:$A$10000))*1,[1]OUT_TransportEnergyCons!J$4:J$10000)</f>
        <v>2.5370784334639099E-5</v>
      </c>
      <c r="M2152" s="1" cm="1">
        <f t="array" ref="M2152">SUMPRODUCT(("var_ncap"=[1]OUT_TransportEnergyCons!$B$4:$B$10000)*1,("-"=[1]OUT_TransportEnergyCons!$C$4:$C$10000)*1,ISNUMBER(SEARCH("T_C*ICE*dsl*s1",[1]OUT_TransportEnergyCons!$A$4:$A$10000))*1,[1]OUT_TransportEnergyCons!K$4:K$10000)</f>
        <v>3.7950980437237901E-5</v>
      </c>
      <c r="N2152" s="1" cm="1">
        <f t="array" ref="N2152">SUMPRODUCT(("var_ncap"=[1]OUT_TransportEnergyCons!$B$4:$B$10000)*1,("-"=[1]OUT_TransportEnergyCons!$C$4:$C$10000)*1,ISNUMBER(SEARCH("T_C*ICE*dsl*s1",[1]OUT_TransportEnergyCons!$A$4:$A$10000))*1,[1]OUT_TransportEnergyCons!L$4:L$10000)</f>
        <v>1.04172658247211E-5</v>
      </c>
      <c r="O2152" s="1" cm="1">
        <f t="array" ref="O2152">SUMPRODUCT(("var_ncap"=[1]OUT_TransportEnergyCons!$B$4:$B$10000)*1,("-"=[1]OUT_TransportEnergyCons!$C$4:$C$10000)*1,ISNUMBER(SEARCH("T_C*ICE*dsl*s1",[1]OUT_TransportEnergyCons!$A$4:$A$10000))*1,[1]OUT_TransportEnergyCons!M$4:M$10000)</f>
        <v>6.8441196841155303E-6</v>
      </c>
      <c r="P2152" s="1" cm="1">
        <f t="array" ref="P2152">SUMPRODUCT(("var_ncap"=[1]OUT_TransportEnergyCons!$B$4:$B$10000)*1,("-"=[1]OUT_TransportEnergyCons!$C$4:$C$10000)*1,ISNUMBER(SEARCH("T_C*ICE*dsl*s1",[1]OUT_TransportEnergyCons!$A$4:$A$10000))*1,[1]OUT_TransportEnergyCons!N$4:N$10000)</f>
        <v>6.5949514433037101E-6</v>
      </c>
      <c r="Q2152" s="1" cm="1">
        <f t="array" ref="Q2152">SUMPRODUCT(("var_ncap"=[1]OUT_TransportEnergyCons!$B$4:$B$10000)*1,("-"=[1]OUT_TransportEnergyCons!$C$4:$C$10000)*1,ISNUMBER(SEARCH("T_C*ICE*dsl*s1",[1]OUT_TransportEnergyCons!$A$4:$A$10000))*1,[1]OUT_TransportEnergyCons!O$4:O$10000)</f>
        <v>8.3876241909220104E-6</v>
      </c>
      <c r="S2152" s="3"/>
    </row>
    <row r="2153" spans="2:19" x14ac:dyDescent="0.5">
      <c r="B2153" s="5" t="str">
        <f t="shared" si="2242"/>
        <v>SPS1</v>
      </c>
      <c r="C2153" s="5" t="str">
        <f t="shared" si="2243"/>
        <v>CH</v>
      </c>
      <c r="D2153" t="s">
        <v>2282</v>
      </c>
      <c r="E2153" t="str">
        <f t="shared" si="2244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2.3318321549638599E-5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5.6933202256728101E-5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4.3112507029391898E-5</v>
      </c>
      <c r="J2153" s="1" cm="1">
        <f t="array" ref="J2153">SUMPRODUCT(("var_ncap"=[1]OUT_TransportEnergyCons!$B$4:$B$10000)*1,("-"=[1]OUT_TransportEnergyCons!$C$4:$C$10000)*1,ISNUMBER(SEARCH("T_C*ICE*dsl*s2",[1]OUT_TransportEnergyCons!$A$4:$A$10000))*1,[1]OUT_TransportEnergyCons!H$4:H$10000)</f>
        <v>6.0359501691720999E-5</v>
      </c>
      <c r="K2153" s="1" cm="1">
        <f t="array" ref="K2153">SUMPRODUCT(("var_ncap"=[1]OUT_TransportEnergyCons!$B$4:$B$10000)*1,("-"=[1]OUT_TransportEnergyCons!$C$4:$C$10000)*1,ISNUMBER(SEARCH("T_C*ICE*dsl*s2",[1]OUT_TransportEnergyCons!$A$4:$A$10000))*1,[1]OUT_TransportEnergyCons!I$4:I$10000)</f>
        <v>7.5190353150959204E-5</v>
      </c>
      <c r="L2153" s="1" cm="1">
        <f t="array" ref="L2153">SUMPRODUCT(("var_ncap"=[1]OUT_TransportEnergyCons!$B$4:$B$10000)*1,("-"=[1]OUT_TransportEnergyCons!$C$4:$C$10000)*1,ISNUMBER(SEARCH("T_C*ICE*dsl*s2",[1]OUT_TransportEnergyCons!$A$4:$A$10000))*1,[1]OUT_TransportEnergyCons!J$4:J$10000)</f>
        <v>2.4328774812291199E-5</v>
      </c>
      <c r="M2153" s="1" cm="1">
        <f t="array" ref="M2153">SUMPRODUCT(("var_ncap"=[1]OUT_TransportEnergyCons!$B$4:$B$10000)*1,("-"=[1]OUT_TransportEnergyCons!$C$4:$C$10000)*1,ISNUMBER(SEARCH("T_C*ICE*dsl*s2",[1]OUT_TransportEnergyCons!$A$4:$A$10000))*1,[1]OUT_TransportEnergyCons!K$4:K$10000)</f>
        <v>4.0566196615190103E-5</v>
      </c>
      <c r="N2153" s="1" cm="1">
        <f t="array" ref="N2153">SUMPRODUCT(("var_ncap"=[1]OUT_TransportEnergyCons!$B$4:$B$10000)*1,("-"=[1]OUT_TransportEnergyCons!$C$4:$C$10000)*1,ISNUMBER(SEARCH("T_C*ICE*dsl*s2",[1]OUT_TransportEnergyCons!$A$4:$A$10000))*1,[1]OUT_TransportEnergyCons!L$4:L$10000)</f>
        <v>1.1726759660127799E-5</v>
      </c>
      <c r="O2153" s="1" cm="1">
        <f t="array" ref="O2153">SUMPRODUCT(("var_ncap"=[1]OUT_TransportEnergyCons!$B$4:$B$10000)*1,("-"=[1]OUT_TransportEnergyCons!$C$4:$C$10000)*1,ISNUMBER(SEARCH("T_C*ICE*dsl*s2",[1]OUT_TransportEnergyCons!$A$4:$A$10000))*1,[1]OUT_TransportEnergyCons!M$4:M$10000)</f>
        <v>7.6907308474708492E-6</v>
      </c>
      <c r="P2153" s="1" cm="1">
        <f t="array" ref="P2153">SUMPRODUCT(("var_ncap"=[1]OUT_TransportEnergyCons!$B$4:$B$10000)*1,("-"=[1]OUT_TransportEnergyCons!$C$4:$C$10000)*1,ISNUMBER(SEARCH("T_C*ICE*dsl*s2",[1]OUT_TransportEnergyCons!$A$4:$A$10000))*1,[1]OUT_TransportEnergyCons!N$4:N$10000)</f>
        <v>7.3698312348402098E-6</v>
      </c>
      <c r="Q2153" s="1" cm="1">
        <f t="array" ref="Q2153">SUMPRODUCT(("var_ncap"=[1]OUT_TransportEnergyCons!$B$4:$B$10000)*1,("-"=[1]OUT_TransportEnergyCons!$C$4:$C$10000)*1,ISNUMBER(SEARCH("T_C*ICE*dsl*s2",[1]OUT_TransportEnergyCons!$A$4:$A$10000))*1,[1]OUT_TransportEnergyCons!O$4:O$10000)</f>
        <v>8.6175627496549002E-6</v>
      </c>
      <c r="S2153" s="3"/>
    </row>
    <row r="2154" spans="2:19" x14ac:dyDescent="0.5">
      <c r="B2154" s="5" t="str">
        <f t="shared" si="2242"/>
        <v>SPS1</v>
      </c>
      <c r="C2154" s="5" t="str">
        <f t="shared" si="2243"/>
        <v>CH</v>
      </c>
      <c r="D2154" t="s">
        <v>2283</v>
      </c>
      <c r="E2154" t="str">
        <f t="shared" si="2244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2.7261526871609399E-5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3.7149362706190399E-5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3.01804118185745E-5</v>
      </c>
      <c r="J2154" s="1" cm="1">
        <f t="array" ref="J2154">SUMPRODUCT(("var_ncap"=[1]OUT_TransportEnergyCons!$B$4:$B$10000)*1,("-"=[1]OUT_TransportEnergyCons!$C$4:$C$10000)*1,ISNUMBER(SEARCH("T_C*ICE*dsl*s3",[1]OUT_TransportEnergyCons!$A$4:$A$10000))*1,[1]OUT_TransportEnergyCons!H$4:H$10000)</f>
        <v>4.0227699818926902E-5</v>
      </c>
      <c r="K2154" s="1" cm="1">
        <f t="array" ref="K2154">SUMPRODUCT(("var_ncap"=[1]OUT_TransportEnergyCons!$B$4:$B$10000)*1,("-"=[1]OUT_TransportEnergyCons!$C$4:$C$10000)*1,ISNUMBER(SEARCH("T_C*ICE*dsl*s3",[1]OUT_TransportEnergyCons!$A$4:$A$10000))*1,[1]OUT_TransportEnergyCons!I$4:I$10000)</f>
        <v>5.3617214577110202E-5</v>
      </c>
      <c r="L2154" s="1" cm="1">
        <f t="array" ref="L2154">SUMPRODUCT(("var_ncap"=[1]OUT_TransportEnergyCons!$B$4:$B$10000)*1,("-"=[1]OUT_TransportEnergyCons!$C$4:$C$10000)*1,ISNUMBER(SEARCH("T_C*ICE*dsl*s3",[1]OUT_TransportEnergyCons!$A$4:$A$10000))*1,[1]OUT_TransportEnergyCons!J$4:J$10000)</f>
        <v>2.7396972106894899E-5</v>
      </c>
      <c r="M2154" s="1" cm="1">
        <f t="array" ref="M2154">SUMPRODUCT(("var_ncap"=[1]OUT_TransportEnergyCons!$B$4:$B$10000)*1,("-"=[1]OUT_TransportEnergyCons!$C$4:$C$10000)*1,ISNUMBER(SEARCH("T_C*ICE*dsl*s3",[1]OUT_TransportEnergyCons!$A$4:$A$10000))*1,[1]OUT_TransportEnergyCons!K$4:K$10000)</f>
        <v>5.7661770589134897E-5</v>
      </c>
      <c r="N2154" s="1" cm="1">
        <f t="array" ref="N2154">SUMPRODUCT(("var_ncap"=[1]OUT_TransportEnergyCons!$B$4:$B$10000)*1,("-"=[1]OUT_TransportEnergyCons!$C$4:$C$10000)*1,ISNUMBER(SEARCH("T_C*ICE*dsl*s3",[1]OUT_TransportEnergyCons!$A$4:$A$10000))*1,[1]OUT_TransportEnergyCons!L$4:L$10000)</f>
        <v>1.4115385999461699E-5</v>
      </c>
      <c r="O2154" s="1" cm="1">
        <f t="array" ref="O2154">SUMPRODUCT(("var_ncap"=[1]OUT_TransportEnergyCons!$B$4:$B$10000)*1,("-"=[1]OUT_TransportEnergyCons!$C$4:$C$10000)*1,ISNUMBER(SEARCH("T_C*ICE*dsl*s3",[1]OUT_TransportEnergyCons!$A$4:$A$10000))*1,[1]OUT_TransportEnergyCons!M$4:M$10000)</f>
        <v>8.2406564580233205E-6</v>
      </c>
      <c r="P2154" s="1" cm="1">
        <f t="array" ref="P2154">SUMPRODUCT(("var_ncap"=[1]OUT_TransportEnergyCons!$B$4:$B$10000)*1,("-"=[1]OUT_TransportEnergyCons!$C$4:$C$10000)*1,ISNUMBER(SEARCH("T_C*ICE*dsl*s3",[1]OUT_TransportEnergyCons!$A$4:$A$10000))*1,[1]OUT_TransportEnergyCons!N$4:N$10000)</f>
        <v>7.7526993392456893E-6</v>
      </c>
      <c r="Q2154" s="1" cm="1">
        <f t="array" ref="Q2154">SUMPRODUCT(("var_ncap"=[1]OUT_TransportEnergyCons!$B$4:$B$10000)*1,("-"=[1]OUT_TransportEnergyCons!$C$4:$C$10000)*1,ISNUMBER(SEARCH("T_C*ICE*dsl*s3",[1]OUT_TransportEnergyCons!$A$4:$A$10000))*1,[1]OUT_TransportEnergyCons!O$4:O$10000)</f>
        <v>8.9650483275165201E-6</v>
      </c>
      <c r="S2154" s="3"/>
    </row>
    <row r="2155" spans="2:19" x14ac:dyDescent="0.5">
      <c r="B2155" s="5" t="str">
        <f t="shared" si="2242"/>
        <v>SPS1</v>
      </c>
      <c r="C2155" s="5" t="str">
        <f t="shared" si="2243"/>
        <v>CH</v>
      </c>
      <c r="D2155" t="s">
        <v>2284</v>
      </c>
      <c r="E2155" t="str">
        <f t="shared" si="2244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1.0226153077551599E-5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1.7781111808360301E-5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1.8184849863668901E-5</v>
      </c>
      <c r="J2155" s="1" cm="1">
        <f t="array" ref="J2155">SUMPRODUCT(("var_ncap"=[1]OUT_TransportEnergyCons!$B$4:$B$10000)*1,("-"=[1]OUT_TransportEnergyCons!$C$4:$C$10000)*1,ISNUMBER(SEARCH("T_C*ICE*dsl*s4",[1]OUT_TransportEnergyCons!$A$4:$A$10000))*1,[1]OUT_TransportEnergyCons!H$4:H$10000)</f>
        <v>3.2229293367092601E-5</v>
      </c>
      <c r="K2155" s="1" cm="1">
        <f t="array" ref="K2155">SUMPRODUCT(("var_ncap"=[1]OUT_TransportEnergyCons!$B$4:$B$10000)*1,("-"=[1]OUT_TransportEnergyCons!$C$4:$C$10000)*1,ISNUMBER(SEARCH("T_C*ICE*dsl*s4",[1]OUT_TransportEnergyCons!$A$4:$A$10000))*1,[1]OUT_TransportEnergyCons!I$4:I$10000)</f>
        <v>5.4291450544043302E-5</v>
      </c>
      <c r="L2155" s="1" cm="1">
        <f t="array" ref="L2155">SUMPRODUCT(("var_ncap"=[1]OUT_TransportEnergyCons!$B$4:$B$10000)*1,("-"=[1]OUT_TransportEnergyCons!$C$4:$C$10000)*1,ISNUMBER(SEARCH("T_C*ICE*dsl*s4",[1]OUT_TransportEnergyCons!$A$4:$A$10000))*1,[1]OUT_TransportEnergyCons!J$4:J$10000)</f>
        <v>2.74574995072869E-5</v>
      </c>
      <c r="M2155" s="1" cm="1">
        <f t="array" ref="M2155">SUMPRODUCT(("var_ncap"=[1]OUT_TransportEnergyCons!$B$4:$B$10000)*1,("-"=[1]OUT_TransportEnergyCons!$C$4:$C$10000)*1,ISNUMBER(SEARCH("T_C*ICE*dsl*s4",[1]OUT_TransportEnergyCons!$A$4:$A$10000))*1,[1]OUT_TransportEnergyCons!K$4:K$10000)</f>
        <v>6.1498879342894899E-5</v>
      </c>
      <c r="N2155" s="1" cm="1">
        <f t="array" ref="N2155">SUMPRODUCT(("var_ncap"=[1]OUT_TransportEnergyCons!$B$4:$B$10000)*1,("-"=[1]OUT_TransportEnergyCons!$C$4:$C$10000)*1,ISNUMBER(SEARCH("T_C*ICE*dsl*s4",[1]OUT_TransportEnergyCons!$A$4:$A$10000))*1,[1]OUT_TransportEnergyCons!L$4:L$10000)</f>
        <v>1.3774894997522001E-5</v>
      </c>
      <c r="O2155" s="1" cm="1">
        <f t="array" ref="O2155">SUMPRODUCT(("var_ncap"=[1]OUT_TransportEnergyCons!$B$4:$B$10000)*1,("-"=[1]OUT_TransportEnergyCons!$C$4:$C$10000)*1,ISNUMBER(SEARCH("T_C*ICE*dsl*s4",[1]OUT_TransportEnergyCons!$A$4:$A$10000))*1,[1]OUT_TransportEnergyCons!M$4:M$10000)</f>
        <v>7.5058120842082697E-6</v>
      </c>
      <c r="P2155" s="1" cm="1">
        <f t="array" ref="P2155">SUMPRODUCT(("var_ncap"=[1]OUT_TransportEnergyCons!$B$4:$B$10000)*1,("-"=[1]OUT_TransportEnergyCons!$C$4:$C$10000)*1,ISNUMBER(SEARCH("T_C*ICE*dsl*s4",[1]OUT_TransportEnergyCons!$A$4:$A$10000))*1,[1]OUT_TransportEnergyCons!N$4:N$10000)</f>
        <v>6.7630742463064502E-6</v>
      </c>
      <c r="Q2155" s="1" cm="1">
        <f t="array" ref="Q2155">SUMPRODUCT(("var_ncap"=[1]OUT_TransportEnergyCons!$B$4:$B$10000)*1,("-"=[1]OUT_TransportEnergyCons!$C$4:$C$10000)*1,ISNUMBER(SEARCH("T_C*ICE*dsl*s4",[1]OUT_TransportEnergyCons!$A$4:$A$10000))*1,[1]OUT_TransportEnergyCons!O$4:O$10000)</f>
        <v>9.0406660689364608E-6</v>
      </c>
      <c r="S2155" s="3"/>
    </row>
    <row r="2156" spans="2:19" x14ac:dyDescent="0.5">
      <c r="B2156" s="5" t="str">
        <f t="shared" si="2242"/>
        <v>SPS1</v>
      </c>
      <c r="C2156" s="5" t="str">
        <f t="shared" si="2243"/>
        <v>CH</v>
      </c>
      <c r="D2156" t="s">
        <v>2285</v>
      </c>
      <c r="E2156" t="str">
        <f t="shared" si="2244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3.5412103350760098E-5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7.6430602088652794E-2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0.14527894415398801</v>
      </c>
      <c r="J2156" s="1" cm="1">
        <f t="array" ref="J2156">SUMPRODUCT(("var_ncap"=[1]OUT_TransportEnergyCons!$B$4:$B$10000)*1,("-"=[1]OUT_TransportEnergyCons!$C$4:$C$10000)*1,ISNUMBER(SEARCH("T_C*mhy*dsl*s1",[1]OUT_TransportEnergyCons!$A$4:$A$10000))*1,[1]OUT_TransportEnergyCons!H$4:H$10000)</f>
        <v>2.8168352604641799E-2</v>
      </c>
      <c r="K2156" s="1" cm="1">
        <f t="array" ref="K2156">SUMPRODUCT(("var_ncap"=[1]OUT_TransportEnergyCons!$B$4:$B$10000)*1,("-"=[1]OUT_TransportEnergyCons!$C$4:$C$10000)*1,ISNUMBER(SEARCH("T_C*mhy*dsl*s1",[1]OUT_TransportEnergyCons!$A$4:$A$10000))*1,[1]OUT_TransportEnergyCons!I$4:I$10000)</f>
        <v>2.0146505054176599E-2</v>
      </c>
      <c r="L2156" s="1" cm="1">
        <f t="array" ref="L2156">SUMPRODUCT(("var_ncap"=[1]OUT_TransportEnergyCons!$B$4:$B$10000)*1,("-"=[1]OUT_TransportEnergyCons!$C$4:$C$10000)*1,ISNUMBER(SEARCH("T_C*mhy*dsl*s1",[1]OUT_TransportEnergyCons!$A$4:$A$10000))*1,[1]OUT_TransportEnergyCons!J$4:J$10000)</f>
        <v>1.10916452518057E-4</v>
      </c>
      <c r="M2156" s="1" cm="1">
        <f t="array" ref="M2156">SUMPRODUCT(("var_ncap"=[1]OUT_TransportEnergyCons!$B$4:$B$10000)*1,("-"=[1]OUT_TransportEnergyCons!$C$4:$C$10000)*1,ISNUMBER(SEARCH("T_C*mhy*dsl*s1",[1]OUT_TransportEnergyCons!$A$4:$A$10000))*1,[1]OUT_TransportEnergyCons!K$4:K$10000)</f>
        <v>5.5435604350597798E-5</v>
      </c>
      <c r="N2156" s="1" cm="1">
        <f t="array" ref="N2156">SUMPRODUCT(("var_ncap"=[1]OUT_TransportEnergyCons!$B$4:$B$10000)*1,("-"=[1]OUT_TransportEnergyCons!$C$4:$C$10000)*1,ISNUMBER(SEARCH("T_C*mhy*dsl*s1",[1]OUT_TransportEnergyCons!$A$4:$A$10000))*1,[1]OUT_TransportEnergyCons!L$4:L$10000)</f>
        <v>4.4010863094718498E-5</v>
      </c>
      <c r="O2156" s="1" cm="1">
        <f t="array" ref="O2156">SUMPRODUCT(("var_ncap"=[1]OUT_TransportEnergyCons!$B$4:$B$10000)*1,("-"=[1]OUT_TransportEnergyCons!$C$4:$C$10000)*1,ISNUMBER(SEARCH("T_C*mhy*dsl*s1",[1]OUT_TransportEnergyCons!$A$4:$A$10000))*1,[1]OUT_TransportEnergyCons!M$4:M$10000)</f>
        <v>6.3711584973141203E-5</v>
      </c>
      <c r="P2156" s="1" cm="1">
        <f t="array" ref="P2156">SUMPRODUCT(("var_ncap"=[1]OUT_TransportEnergyCons!$B$4:$B$10000)*1,("-"=[1]OUT_TransportEnergyCons!$C$4:$C$10000)*1,ISNUMBER(SEARCH("T_C*mhy*dsl*s1",[1]OUT_TransportEnergyCons!$A$4:$A$10000))*1,[1]OUT_TransportEnergyCons!N$4:N$10000)</f>
        <v>6.3230773166913999E-5</v>
      </c>
      <c r="Q2156" s="1" cm="1">
        <f t="array" ref="Q2156">SUMPRODUCT(("var_ncap"=[1]OUT_TransportEnergyCons!$B$4:$B$10000)*1,("-"=[1]OUT_TransportEnergyCons!$C$4:$C$10000)*1,ISNUMBER(SEARCH("T_C*mhy*dsl*s1",[1]OUT_TransportEnergyCons!$A$4:$A$10000))*1,[1]OUT_TransportEnergyCons!O$4:O$10000)</f>
        <v>4.1608685150337397E-5</v>
      </c>
      <c r="S2156" s="3"/>
    </row>
    <row r="2157" spans="2:19" x14ac:dyDescent="0.5">
      <c r="B2157" s="5" t="str">
        <f t="shared" si="2242"/>
        <v>SPS1</v>
      </c>
      <c r="C2157" s="5" t="str">
        <f t="shared" si="2243"/>
        <v>CH</v>
      </c>
      <c r="D2157" t="s">
        <v>2286</v>
      </c>
      <c r="E2157" t="str">
        <f t="shared" si="2244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1.5151347149145199E-5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1.1515969294869999E-4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1.49550105107849E-4</v>
      </c>
      <c r="J2157" s="1" cm="1">
        <f t="array" ref="J2157">SUMPRODUCT(("var_ncap"=[1]OUT_TransportEnergyCons!$B$4:$B$10000)*1,("-"=[1]OUT_TransportEnergyCons!$C$4:$C$10000)*1,ISNUMBER(SEARCH("T_C*mhy*dsl*s2",[1]OUT_TransportEnergyCons!$A$4:$A$10000))*1,[1]OUT_TransportEnergyCons!H$4:H$10000)</f>
        <v>5.4197890973386802E-4</v>
      </c>
      <c r="K2157" s="1" cm="1">
        <f t="array" ref="K2157">SUMPRODUCT(("var_ncap"=[1]OUT_TransportEnergyCons!$B$4:$B$10000)*1,("-"=[1]OUT_TransportEnergyCons!$C$4:$C$10000)*1,ISNUMBER(SEARCH("T_C*mhy*dsl*s2",[1]OUT_TransportEnergyCons!$A$4:$A$10000))*1,[1]OUT_TransportEnergyCons!I$4:I$10000)</f>
        <v>2.35527351561589E-4</v>
      </c>
      <c r="L2157" s="1" cm="1">
        <f t="array" ref="L2157">SUMPRODUCT(("var_ncap"=[1]OUT_TransportEnergyCons!$B$4:$B$10000)*1,("-"=[1]OUT_TransportEnergyCons!$C$4:$C$10000)*1,ISNUMBER(SEARCH("T_C*mhy*dsl*s2",[1]OUT_TransportEnergyCons!$A$4:$A$10000))*1,[1]OUT_TransportEnergyCons!J$4:J$10000)</f>
        <v>9.6893322210991106E-5</v>
      </c>
      <c r="M2157" s="1" cm="1">
        <f t="array" ref="M2157">SUMPRODUCT(("var_ncap"=[1]OUT_TransportEnergyCons!$B$4:$B$10000)*1,("-"=[1]OUT_TransportEnergyCons!$C$4:$C$10000)*1,ISNUMBER(SEARCH("T_C*mhy*dsl*s2",[1]OUT_TransportEnergyCons!$A$4:$A$10000))*1,[1]OUT_TransportEnergyCons!K$4:K$10000)</f>
        <v>7.5597967289489895E-5</v>
      </c>
      <c r="N2157" s="1" cm="1">
        <f t="array" ref="N2157">SUMPRODUCT(("var_ncap"=[1]OUT_TransportEnergyCons!$B$4:$B$10000)*1,("-"=[1]OUT_TransportEnergyCons!$C$4:$C$10000)*1,ISNUMBER(SEARCH("T_C*mhy*dsl*s2",[1]OUT_TransportEnergyCons!$A$4:$A$10000))*1,[1]OUT_TransportEnergyCons!L$4:L$10000)</f>
        <v>6.3398538953966707E-5</v>
      </c>
      <c r="O2157" s="1" cm="1">
        <f t="array" ref="O2157">SUMPRODUCT(("var_ncap"=[1]OUT_TransportEnergyCons!$B$4:$B$10000)*1,("-"=[1]OUT_TransportEnergyCons!$C$4:$C$10000)*1,ISNUMBER(SEARCH("T_C*mhy*dsl*s2",[1]OUT_TransportEnergyCons!$A$4:$A$10000))*1,[1]OUT_TransportEnergyCons!M$4:M$10000)</f>
        <v>1.3704781533952501E-4</v>
      </c>
      <c r="P2157" s="1" cm="1">
        <f t="array" ref="P2157">SUMPRODUCT(("var_ncap"=[1]OUT_TransportEnergyCons!$B$4:$B$10000)*1,("-"=[1]OUT_TransportEnergyCons!$C$4:$C$10000)*1,ISNUMBER(SEARCH("T_C*mhy*dsl*s2",[1]OUT_TransportEnergyCons!$A$4:$A$10000))*1,[1]OUT_TransportEnergyCons!N$4:N$10000)</f>
        <v>1.6828746336704201E-4</v>
      </c>
      <c r="Q2157" s="1" cm="1">
        <f t="array" ref="Q2157">SUMPRODUCT(("var_ncap"=[1]OUT_TransportEnergyCons!$B$4:$B$10000)*1,("-"=[1]OUT_TransportEnergyCons!$C$4:$C$10000)*1,ISNUMBER(SEARCH("T_C*mhy*dsl*s2",[1]OUT_TransportEnergyCons!$A$4:$A$10000))*1,[1]OUT_TransportEnergyCons!O$4:O$10000)</f>
        <v>1.7566033614986501E-4</v>
      </c>
      <c r="S2157" s="3"/>
    </row>
    <row r="2158" spans="2:19" x14ac:dyDescent="0.5">
      <c r="B2158" s="5" t="str">
        <f t="shared" si="2242"/>
        <v>SPS1</v>
      </c>
      <c r="C2158" s="5" t="str">
        <f t="shared" si="2243"/>
        <v>CH</v>
      </c>
      <c r="D2158" t="s">
        <v>2287</v>
      </c>
      <c r="E2158" t="str">
        <f t="shared" si="2244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1.89689739097429E-5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6.9209209938897803E-5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9.4814084522484895E-5</v>
      </c>
      <c r="J2158" s="1" cm="1">
        <f t="array" ref="J2158">SUMPRODUCT(("var_ncap"=[1]OUT_TransportEnergyCons!$B$4:$B$10000)*1,("-"=[1]OUT_TransportEnergyCons!$C$4:$C$10000)*1,ISNUMBER(SEARCH("T_C*mhy*dsl*s3",[1]OUT_TransportEnergyCons!$A$4:$A$10000))*1,[1]OUT_TransportEnergyCons!H$4:H$10000)</f>
        <v>2.4684848371866199E-3</v>
      </c>
      <c r="K2158" s="1" cm="1">
        <f t="array" ref="K2158">SUMPRODUCT(("var_ncap"=[1]OUT_TransportEnergyCons!$B$4:$B$10000)*1,("-"=[1]OUT_TransportEnergyCons!$C$4:$C$10000)*1,ISNUMBER(SEARCH("T_C*mhy*dsl*s3",[1]OUT_TransportEnergyCons!$A$4:$A$10000))*1,[1]OUT_TransportEnergyCons!I$4:I$10000)</f>
        <v>4.1853665505548497E-2</v>
      </c>
      <c r="L2158" s="1" cm="1">
        <f t="array" ref="L2158">SUMPRODUCT(("var_ncap"=[1]OUT_TransportEnergyCons!$B$4:$B$10000)*1,("-"=[1]OUT_TransportEnergyCons!$C$4:$C$10000)*1,ISNUMBER(SEARCH("T_C*mhy*dsl*s3",[1]OUT_TransportEnergyCons!$A$4:$A$10000))*1,[1]OUT_TransportEnergyCons!J$4:J$10000)</f>
        <v>5.4671895958906098E-2</v>
      </c>
      <c r="M2158" s="1" cm="1">
        <f t="array" ref="M2158">SUMPRODUCT(("var_ncap"=[1]OUT_TransportEnergyCons!$B$4:$B$10000)*1,("-"=[1]OUT_TransportEnergyCons!$C$4:$C$10000)*1,ISNUMBER(SEARCH("T_C*mhy*dsl*s3",[1]OUT_TransportEnergyCons!$A$4:$A$10000))*1,[1]OUT_TransportEnergyCons!K$4:K$10000)</f>
        <v>3.1062804597031101E-2</v>
      </c>
      <c r="N2158" s="1" cm="1">
        <f t="array" ref="N2158">SUMPRODUCT(("var_ncap"=[1]OUT_TransportEnergyCons!$B$4:$B$10000)*1,("-"=[1]OUT_TransportEnergyCons!$C$4:$C$10000)*1,ISNUMBER(SEARCH("T_C*mhy*dsl*s3",[1]OUT_TransportEnergyCons!$A$4:$A$10000))*1,[1]OUT_TransportEnergyCons!L$4:L$10000)</f>
        <v>4.8176719882167998E-2</v>
      </c>
      <c r="O2158" s="1" cm="1">
        <f t="array" ref="O2158">SUMPRODUCT(("var_ncap"=[1]OUT_TransportEnergyCons!$B$4:$B$10000)*1,("-"=[1]OUT_TransportEnergyCons!$C$4:$C$10000)*1,ISNUMBER(SEARCH("T_C*mhy*dsl*s3",[1]OUT_TransportEnergyCons!$A$4:$A$10000))*1,[1]OUT_TransportEnergyCons!M$4:M$10000)</f>
        <v>4.11080749562346E-2</v>
      </c>
      <c r="P2158" s="1" cm="1">
        <f t="array" ref="P2158">SUMPRODUCT(("var_ncap"=[1]OUT_TransportEnergyCons!$B$4:$B$10000)*1,("-"=[1]OUT_TransportEnergyCons!$C$4:$C$10000)*1,ISNUMBER(SEARCH("T_C*mhy*dsl*s3",[1]OUT_TransportEnergyCons!$A$4:$A$10000))*1,[1]OUT_TransportEnergyCons!N$4:N$10000)</f>
        <v>2.93431522339536E-2</v>
      </c>
      <c r="Q2158" s="1" cm="1">
        <f t="array" ref="Q2158">SUMPRODUCT(("var_ncap"=[1]OUT_TransportEnergyCons!$B$4:$B$10000)*1,("-"=[1]OUT_TransportEnergyCons!$C$4:$C$10000)*1,ISNUMBER(SEARCH("T_C*mhy*dsl*s3",[1]OUT_TransportEnergyCons!$A$4:$A$10000))*1,[1]OUT_TransportEnergyCons!O$4:O$10000)</f>
        <v>3.86920449773537E-2</v>
      </c>
      <c r="S2158" s="3"/>
    </row>
    <row r="2159" spans="2:19" x14ac:dyDescent="0.5">
      <c r="B2159" s="5" t="str">
        <f t="shared" si="2242"/>
        <v>SPS1</v>
      </c>
      <c r="C2159" s="5" t="str">
        <f t="shared" si="2243"/>
        <v>CH</v>
      </c>
      <c r="D2159" t="s">
        <v>2288</v>
      </c>
      <c r="E2159" t="str">
        <f t="shared" si="2244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1.32102355694062E-5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2.6917707661892101E-5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2.7779646389486102E-5</v>
      </c>
      <c r="J2159" s="1" cm="1">
        <f t="array" ref="J2159">SUMPRODUCT(("var_ncap"=[1]OUT_TransportEnergyCons!$B$4:$B$10000)*1,("-"=[1]OUT_TransportEnergyCons!$C$4:$C$10000)*1,ISNUMBER(SEARCH("T_C*mhy*dsl*s4",[1]OUT_TransportEnergyCons!$A$4:$A$10000))*1,[1]OUT_TransportEnergyCons!H$4:H$10000)</f>
        <v>6.2329115090652495E-5</v>
      </c>
      <c r="K2159" s="1" cm="1">
        <f t="array" ref="K2159">SUMPRODUCT(("var_ncap"=[1]OUT_TransportEnergyCons!$B$4:$B$10000)*1,("-"=[1]OUT_TransportEnergyCons!$C$4:$C$10000)*1,ISNUMBER(SEARCH("T_C*mhy*dsl*s4",[1]OUT_TransportEnergyCons!$A$4:$A$10000))*1,[1]OUT_TransportEnergyCons!I$4:I$10000)</f>
        <v>1.49911941359265E-4</v>
      </c>
      <c r="L2159" s="1" cm="1">
        <f t="array" ref="L2159">SUMPRODUCT(("var_ncap"=[1]OUT_TransportEnergyCons!$B$4:$B$10000)*1,("-"=[1]OUT_TransportEnergyCons!$C$4:$C$10000)*1,ISNUMBER(SEARCH("T_C*mhy*dsl*s4",[1]OUT_TransportEnergyCons!$A$4:$A$10000))*1,[1]OUT_TransportEnergyCons!J$4:J$10000)</f>
        <v>1.6614296104382499E-4</v>
      </c>
      <c r="M2159" s="1" cm="1">
        <f t="array" ref="M2159">SUMPRODUCT(("var_ncap"=[1]OUT_TransportEnergyCons!$B$4:$B$10000)*1,("-"=[1]OUT_TransportEnergyCons!$C$4:$C$10000)*1,ISNUMBER(SEARCH("T_C*mhy*dsl*s4",[1]OUT_TransportEnergyCons!$A$4:$A$10000))*1,[1]OUT_TransportEnergyCons!K$4:K$10000)</f>
        <v>3.1801916355756398E-4</v>
      </c>
      <c r="N2159" s="1" cm="1">
        <f t="array" ref="N2159">SUMPRODUCT(("var_ncap"=[1]OUT_TransportEnergyCons!$B$4:$B$10000)*1,("-"=[1]OUT_TransportEnergyCons!$C$4:$C$10000)*1,ISNUMBER(SEARCH("T_C*mhy*dsl*s4",[1]OUT_TransportEnergyCons!$A$4:$A$10000))*1,[1]OUT_TransportEnergyCons!L$4:L$10000)</f>
        <v>2.1936946084722799E-4</v>
      </c>
      <c r="O2159" s="1" cm="1">
        <f t="array" ref="O2159">SUMPRODUCT(("var_ncap"=[1]OUT_TransportEnergyCons!$B$4:$B$10000)*1,("-"=[1]OUT_TransportEnergyCons!$C$4:$C$10000)*1,ISNUMBER(SEARCH("T_C*mhy*dsl*s4",[1]OUT_TransportEnergyCons!$A$4:$A$10000))*1,[1]OUT_TransportEnergyCons!M$4:M$10000)</f>
        <v>8.0403043343145393E-5</v>
      </c>
      <c r="P2159" s="1" cm="1">
        <f t="array" ref="P2159">SUMPRODUCT(("var_ncap"=[1]OUT_TransportEnergyCons!$B$4:$B$10000)*1,("-"=[1]OUT_TransportEnergyCons!$C$4:$C$10000)*1,ISNUMBER(SEARCH("T_C*mhy*dsl*s4",[1]OUT_TransportEnergyCons!$A$4:$A$10000))*1,[1]OUT_TransportEnergyCons!N$4:N$10000)</f>
        <v>5.3342778666212697E-5</v>
      </c>
      <c r="Q2159" s="1" cm="1">
        <f t="array" ref="Q2159">SUMPRODUCT(("var_ncap"=[1]OUT_TransportEnergyCons!$B$4:$B$10000)*1,("-"=[1]OUT_TransportEnergyCons!$C$4:$C$10000)*1,ISNUMBER(SEARCH("T_C*mhy*dsl*s4",[1]OUT_TransportEnergyCons!$A$4:$A$10000))*1,[1]OUT_TransportEnergyCons!O$4:O$10000)</f>
        <v>1.72628522906874E-4</v>
      </c>
      <c r="S2159" s="3"/>
    </row>
    <row r="2160" spans="2:19" x14ac:dyDescent="0.5">
      <c r="B2160" s="5" t="str">
        <f t="shared" si="2242"/>
        <v>SPS1</v>
      </c>
      <c r="C2160" s="5" t="str">
        <f t="shared" si="2243"/>
        <v>CH</v>
      </c>
      <c r="D2160" t="s">
        <v>2289</v>
      </c>
      <c r="E2160" t="str">
        <f t="shared" si="2244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SUMPRODUCT(("var_ncap"=[1]OUT_TransportEnergyCons!$B$4:$B$10000)*1,("-"=[1]OUT_TransportEnergyCons!$C$4:$C$10000)*1,ISNUMBER(SEARCH("T_C*ICE*nga*ext",[1]OUT_TransportEnergyCons!$A$4:$A$10000))*1,[1]OUT_TransportEnergyCons!H$4:H$10000)</f>
        <v>0</v>
      </c>
      <c r="K2160" s="1" cm="1">
        <f t="array" ref="K2160">SUMPRODUCT(("var_ncap"=[1]OUT_TransportEnergyCons!$B$4:$B$10000)*1,("-"=[1]OUT_TransportEnergyCons!$C$4:$C$10000)*1,ISNUMBER(SEARCH("T_C*ICE*nga*ext",[1]OUT_TransportEnergyCons!$A$4:$A$10000))*1,[1]OUT_TransportEnergyCons!I$4:I$10000)</f>
        <v>0</v>
      </c>
      <c r="L2160" s="1" cm="1">
        <f t="array" ref="L2160">SUMPRODUCT(("var_ncap"=[1]OUT_TransportEnergyCons!$B$4:$B$10000)*1,("-"=[1]OUT_TransportEnergyCons!$C$4:$C$10000)*1,ISNUMBER(SEARCH("T_C*ICE*nga*ext",[1]OUT_TransportEnergyCons!$A$4:$A$10000))*1,[1]OUT_TransportEnergyCons!J$4:J$10000)</f>
        <v>0</v>
      </c>
      <c r="M2160" s="1" cm="1">
        <f t="array" ref="M2160">SUMPRODUCT(("var_ncap"=[1]OUT_TransportEnergyCons!$B$4:$B$10000)*1,("-"=[1]OUT_TransportEnergyCons!$C$4:$C$10000)*1,ISNUMBER(SEARCH("T_C*ICE*nga*ext",[1]OUT_TransportEnergyCons!$A$4:$A$10000))*1,[1]OUT_TransportEnergyCons!K$4:K$10000)</f>
        <v>0</v>
      </c>
      <c r="N2160" s="1" cm="1">
        <f t="array" ref="N2160">SUMPRODUCT(("var_ncap"=[1]OUT_TransportEnergyCons!$B$4:$B$10000)*1,("-"=[1]OUT_TransportEnergyCons!$C$4:$C$10000)*1,ISNUMBER(SEARCH("T_C*ICE*nga*ext",[1]OUT_TransportEnergyCons!$A$4:$A$10000))*1,[1]OUT_TransportEnergyCons!L$4:L$10000)</f>
        <v>0</v>
      </c>
      <c r="O2160" s="1" cm="1">
        <f t="array" ref="O2160">SUMPRODUCT(("var_ncap"=[1]OUT_TransportEnergyCons!$B$4:$B$10000)*1,("-"=[1]OUT_TransportEnergyCons!$C$4:$C$10000)*1,ISNUMBER(SEARCH("T_C*ICE*nga*ext",[1]OUT_TransportEnergyCons!$A$4:$A$10000))*1,[1]OUT_TransportEnergyCons!M$4:M$10000)</f>
        <v>0</v>
      </c>
      <c r="P2160" s="1" cm="1">
        <f t="array" ref="P2160">SUMPRODUCT(("var_ncap"=[1]OUT_TransportEnergyCons!$B$4:$B$10000)*1,("-"=[1]OUT_TransportEnergyCons!$C$4:$C$10000)*1,ISNUMBER(SEARCH("T_C*ICE*nga*ext",[1]OUT_TransportEnergyCons!$A$4:$A$10000))*1,[1]OUT_TransportEnergyCons!N$4:N$10000)</f>
        <v>0</v>
      </c>
      <c r="Q2160" s="1" cm="1">
        <f t="array" ref="Q2160">SUMPRODUCT(("var_ncap"=[1]OUT_TransportEnergyCons!$B$4:$B$10000)*1,("-"=[1]OUT_TransportEnergyCons!$C$4:$C$10000)*1,ISNUMBER(SEARCH("T_C*ICE*nga*ext",[1]OUT_TransportEnergyCons!$A$4:$A$10000))*1,[1]OUT_TransportEnergyCons!O$4:O$10000)</f>
        <v>0</v>
      </c>
      <c r="S2160" s="3"/>
    </row>
    <row r="2161" spans="2:19" x14ac:dyDescent="0.5">
      <c r="B2161" s="5" t="str">
        <f t="shared" si="2242"/>
        <v>SPS1</v>
      </c>
      <c r="C2161" s="5" t="str">
        <f t="shared" si="2243"/>
        <v>CH</v>
      </c>
      <c r="D2161" t="s">
        <v>2290</v>
      </c>
      <c r="E2161" t="str">
        <f t="shared" si="2244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2.78945648241943E-6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2.6989938178065501E-6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6.2227727065062896E-7</v>
      </c>
      <c r="J2161" s="1" cm="1">
        <f t="array" ref="J2161">SUMPRODUCT(("var_ncap"=[1]OUT_TransportEnergyCons!$B$4:$B$10000)*1,("-"=[1]OUT_TransportEnergyCons!$C$4:$C$10000)*1,ISNUMBER(SEARCH("T_C*ICE*nga*s1",[1]OUT_TransportEnergyCons!$A$4:$A$10000))*1,[1]OUT_TransportEnergyCons!H$4:H$10000)</f>
        <v>3.1770741857620801E-6</v>
      </c>
      <c r="K2161" s="1" cm="1">
        <f t="array" ref="K2161">SUMPRODUCT(("var_ncap"=[1]OUT_TransportEnergyCons!$B$4:$B$10000)*1,("-"=[1]OUT_TransportEnergyCons!$C$4:$C$10000)*1,ISNUMBER(SEARCH("T_C*ICE*nga*s1",[1]OUT_TransportEnergyCons!$A$4:$A$10000))*1,[1]OUT_TransportEnergyCons!I$4:I$10000)</f>
        <v>2.3449365016272901E-6</v>
      </c>
      <c r="L2161" s="1" cm="1">
        <f t="array" ref="L2161">SUMPRODUCT(("var_ncap"=[1]OUT_TransportEnergyCons!$B$4:$B$10000)*1,("-"=[1]OUT_TransportEnergyCons!$C$4:$C$10000)*1,ISNUMBER(SEARCH("T_C*ICE*nga*s1",[1]OUT_TransportEnergyCons!$A$4:$A$10000))*1,[1]OUT_TransportEnergyCons!J$4:J$10000)</f>
        <v>1.8841309871792101E-6</v>
      </c>
      <c r="M2161" s="1" cm="1">
        <f t="array" ref="M2161">SUMPRODUCT(("var_ncap"=[1]OUT_TransportEnergyCons!$B$4:$B$10000)*1,("-"=[1]OUT_TransportEnergyCons!$C$4:$C$10000)*1,ISNUMBER(SEARCH("T_C*ICE*nga*s1",[1]OUT_TransportEnergyCons!$A$4:$A$10000))*1,[1]OUT_TransportEnergyCons!K$4:K$10000)</f>
        <v>2.5459738702169202E-6</v>
      </c>
      <c r="N2161" s="1" cm="1">
        <f t="array" ref="N2161">SUMPRODUCT(("var_ncap"=[1]OUT_TransportEnergyCons!$B$4:$B$10000)*1,("-"=[1]OUT_TransportEnergyCons!$C$4:$C$10000)*1,ISNUMBER(SEARCH("T_C*ICE*nga*s1",[1]OUT_TransportEnergyCons!$A$4:$A$10000))*1,[1]OUT_TransportEnergyCons!L$4:L$10000)</f>
        <v>2.1479929027473599E-6</v>
      </c>
      <c r="O2161" s="1" cm="1">
        <f t="array" ref="O2161">SUMPRODUCT(("var_ncap"=[1]OUT_TransportEnergyCons!$B$4:$B$10000)*1,("-"=[1]OUT_TransportEnergyCons!$C$4:$C$10000)*1,ISNUMBER(SEARCH("T_C*ICE*nga*s1",[1]OUT_TransportEnergyCons!$A$4:$A$10000))*1,[1]OUT_TransportEnergyCons!M$4:M$10000)</f>
        <v>2.0634039604809499E-6</v>
      </c>
      <c r="P2161" s="1" cm="1">
        <f t="array" ref="P2161">SUMPRODUCT(("var_ncap"=[1]OUT_TransportEnergyCons!$B$4:$B$10000)*1,("-"=[1]OUT_TransportEnergyCons!$C$4:$C$10000)*1,ISNUMBER(SEARCH("T_C*ICE*nga*s1",[1]OUT_TransportEnergyCons!$A$4:$A$10000))*1,[1]OUT_TransportEnergyCons!N$4:N$10000)</f>
        <v>2.2803674087472399E-6</v>
      </c>
      <c r="Q2161" s="1" cm="1">
        <f t="array" ref="Q2161">SUMPRODUCT(("var_ncap"=[1]OUT_TransportEnergyCons!$B$4:$B$10000)*1,("-"=[1]OUT_TransportEnergyCons!$C$4:$C$10000)*1,ISNUMBER(SEARCH("T_C*ICE*nga*s1",[1]OUT_TransportEnergyCons!$A$4:$A$10000))*1,[1]OUT_TransportEnergyCons!O$4:O$10000)</f>
        <v>2.13081982163595E-6</v>
      </c>
      <c r="S2161" s="3"/>
    </row>
    <row r="2162" spans="2:19" x14ac:dyDescent="0.5">
      <c r="B2162" s="5" t="str">
        <f t="shared" si="2242"/>
        <v>SPS1</v>
      </c>
      <c r="C2162" s="5" t="str">
        <f t="shared" si="2243"/>
        <v>CH</v>
      </c>
      <c r="D2162" t="s">
        <v>2291</v>
      </c>
      <c r="E2162" t="str">
        <f t="shared" si="2244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1.6991392156578001E-6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2.9518176718219702E-6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7.4253246669437603E-7</v>
      </c>
      <c r="J2162" s="1" cm="1">
        <f t="array" ref="J2162">SUMPRODUCT(("var_ncap"=[1]OUT_TransportEnergyCons!$B$4:$B$10000)*1,("-"=[1]OUT_TransportEnergyCons!$C$4:$C$10000)*1,ISNUMBER(SEARCH("T_C*ICE*nga*s2",[1]OUT_TransportEnergyCons!$A$4:$A$10000))*1,[1]OUT_TransportEnergyCons!H$4:H$10000)</f>
        <v>3.7089477922416499E-6</v>
      </c>
      <c r="K2162" s="1" cm="1">
        <f t="array" ref="K2162">SUMPRODUCT(("var_ncap"=[1]OUT_TransportEnergyCons!$B$4:$B$10000)*1,("-"=[1]OUT_TransportEnergyCons!$C$4:$C$10000)*1,ISNUMBER(SEARCH("T_C*ICE*nga*s2",[1]OUT_TransportEnergyCons!$A$4:$A$10000))*1,[1]OUT_TransportEnergyCons!I$4:I$10000)</f>
        <v>2.6244597575754001E-6</v>
      </c>
      <c r="L2162" s="1" cm="1">
        <f t="array" ref="L2162">SUMPRODUCT(("var_ncap"=[1]OUT_TransportEnergyCons!$B$4:$B$10000)*1,("-"=[1]OUT_TransportEnergyCons!$C$4:$C$10000)*1,ISNUMBER(SEARCH("T_C*ICE*nga*s2",[1]OUT_TransportEnergyCons!$A$4:$A$10000))*1,[1]OUT_TransportEnergyCons!J$4:J$10000)</f>
        <v>2.2210433298306E-6</v>
      </c>
      <c r="M2162" s="1" cm="1">
        <f t="array" ref="M2162">SUMPRODUCT(("var_ncap"=[1]OUT_TransportEnergyCons!$B$4:$B$10000)*1,("-"=[1]OUT_TransportEnergyCons!$C$4:$C$10000)*1,ISNUMBER(SEARCH("T_C*ICE*nga*s2",[1]OUT_TransportEnergyCons!$A$4:$A$10000))*1,[1]OUT_TransportEnergyCons!K$4:K$10000)</f>
        <v>2.8304981460864902E-6</v>
      </c>
      <c r="N2162" s="1" cm="1">
        <f t="array" ref="N2162">SUMPRODUCT(("var_ncap"=[1]OUT_TransportEnergyCons!$B$4:$B$10000)*1,("-"=[1]OUT_TransportEnergyCons!$C$4:$C$10000)*1,ISNUMBER(SEARCH("T_C*ICE*nga*s2",[1]OUT_TransportEnergyCons!$A$4:$A$10000))*1,[1]OUT_TransportEnergyCons!L$4:L$10000)</f>
        <v>2.4463663983026701E-6</v>
      </c>
      <c r="O2162" s="1" cm="1">
        <f t="array" ref="O2162">SUMPRODUCT(("var_ncap"=[1]OUT_TransportEnergyCons!$B$4:$B$10000)*1,("-"=[1]OUT_TransportEnergyCons!$C$4:$C$10000)*1,ISNUMBER(SEARCH("T_C*ICE*nga*s2",[1]OUT_TransportEnergyCons!$A$4:$A$10000))*1,[1]OUT_TransportEnergyCons!M$4:M$10000)</f>
        <v>2.3386403170628202E-6</v>
      </c>
      <c r="P2162" s="1" cm="1">
        <f t="array" ref="P2162">SUMPRODUCT(("var_ncap"=[1]OUT_TransportEnergyCons!$B$4:$B$10000)*1,("-"=[1]OUT_TransportEnergyCons!$C$4:$C$10000)*1,ISNUMBER(SEARCH("T_C*ICE*nga*s2",[1]OUT_TransportEnergyCons!$A$4:$A$10000))*1,[1]OUT_TransportEnergyCons!N$4:N$10000)</f>
        <v>2.5584514519405199E-6</v>
      </c>
      <c r="Q2162" s="1" cm="1">
        <f t="array" ref="Q2162">SUMPRODUCT(("var_ncap"=[1]OUT_TransportEnergyCons!$B$4:$B$10000)*1,("-"=[1]OUT_TransportEnergyCons!$C$4:$C$10000)*1,ISNUMBER(SEARCH("T_C*ICE*nga*s2",[1]OUT_TransportEnergyCons!$A$4:$A$10000))*1,[1]OUT_TransportEnergyCons!O$4:O$10000)</f>
        <v>2.13490182965501E-6</v>
      </c>
      <c r="S2162" s="3"/>
    </row>
    <row r="2163" spans="2:19" x14ac:dyDescent="0.5">
      <c r="B2163" s="5" t="str">
        <f t="shared" si="2242"/>
        <v>SPS1</v>
      </c>
      <c r="C2163" s="5" t="str">
        <f t="shared" si="2243"/>
        <v>CH</v>
      </c>
      <c r="D2163" t="s">
        <v>2292</v>
      </c>
      <c r="E2163" t="str">
        <f t="shared" si="2244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2.0782725311059101E-6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2.4471590620120101E-6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7.9362337880367503E-7</v>
      </c>
      <c r="J2163" s="1" cm="1">
        <f t="array" ref="J2163">SUMPRODUCT(("var_ncap"=[1]OUT_TransportEnergyCons!$B$4:$B$10000)*1,("-"=[1]OUT_TransportEnergyCons!$C$4:$C$10000)*1,ISNUMBER(SEARCH("T_C*ICE*nga*s3",[1]OUT_TransportEnergyCons!$A$4:$A$10000))*1,[1]OUT_TransportEnergyCons!H$4:H$10000)</f>
        <v>4.4391670899902096E-6</v>
      </c>
      <c r="K2163" s="1" cm="1">
        <f t="array" ref="K2163">SUMPRODUCT(("var_ncap"=[1]OUT_TransportEnergyCons!$B$4:$B$10000)*1,("-"=[1]OUT_TransportEnergyCons!$C$4:$C$10000)*1,ISNUMBER(SEARCH("T_C*ICE*nga*s3",[1]OUT_TransportEnergyCons!$A$4:$A$10000))*1,[1]OUT_TransportEnergyCons!I$4:I$10000)</f>
        <v>2.9401763741477402E-6</v>
      </c>
      <c r="L2163" s="1" cm="1">
        <f t="array" ref="L2163">SUMPRODUCT(("var_ncap"=[1]OUT_TransportEnergyCons!$B$4:$B$10000)*1,("-"=[1]OUT_TransportEnergyCons!$C$4:$C$10000)*1,ISNUMBER(SEARCH("T_C*ICE*nga*s3",[1]OUT_TransportEnergyCons!$A$4:$A$10000))*1,[1]OUT_TransportEnergyCons!J$4:J$10000)</f>
        <v>2.6690511404226599E-6</v>
      </c>
      <c r="M2163" s="1" cm="1">
        <f t="array" ref="M2163">SUMPRODUCT(("var_ncap"=[1]OUT_TransportEnergyCons!$B$4:$B$10000)*1,("-"=[1]OUT_TransportEnergyCons!$C$4:$C$10000)*1,ISNUMBER(SEARCH("T_C*ICE*nga*s3",[1]OUT_TransportEnergyCons!$A$4:$A$10000))*1,[1]OUT_TransportEnergyCons!K$4:K$10000)</f>
        <v>3.5141610412592401E-6</v>
      </c>
      <c r="N2163" s="1" cm="1">
        <f t="array" ref="N2163">SUMPRODUCT(("var_ncap"=[1]OUT_TransportEnergyCons!$B$4:$B$10000)*1,("-"=[1]OUT_TransportEnergyCons!$C$4:$C$10000)*1,ISNUMBER(SEARCH("T_C*ICE*nga*s3",[1]OUT_TransportEnergyCons!$A$4:$A$10000))*1,[1]OUT_TransportEnergyCons!L$4:L$10000)</f>
        <v>2.9713378079283001E-6</v>
      </c>
      <c r="O2163" s="1" cm="1">
        <f t="array" ref="O2163">SUMPRODUCT(("var_ncap"=[1]OUT_TransportEnergyCons!$B$4:$B$10000)*1,("-"=[1]OUT_TransportEnergyCons!$C$4:$C$10000)*1,ISNUMBER(SEARCH("T_C*ICE*nga*s3",[1]OUT_TransportEnergyCons!$A$4:$A$10000))*1,[1]OUT_TransportEnergyCons!M$4:M$10000)</f>
        <v>2.6135484702568698E-6</v>
      </c>
      <c r="P2163" s="1" cm="1">
        <f t="array" ref="P2163">SUMPRODUCT(("var_ncap"=[1]OUT_TransportEnergyCons!$B$4:$B$10000)*1,("-"=[1]OUT_TransportEnergyCons!$C$4:$C$10000)*1,ISNUMBER(SEARCH("T_C*ICE*nga*s3",[1]OUT_TransportEnergyCons!$A$4:$A$10000))*1,[1]OUT_TransportEnergyCons!N$4:N$10000)</f>
        <v>2.88773369880164E-6</v>
      </c>
      <c r="Q2163" s="1" cm="1">
        <f t="array" ref="Q2163">SUMPRODUCT(("var_ncap"=[1]OUT_TransportEnergyCons!$B$4:$B$10000)*1,("-"=[1]OUT_TransportEnergyCons!$C$4:$C$10000)*1,ISNUMBER(SEARCH("T_C*ICE*nga*s3",[1]OUT_TransportEnergyCons!$A$4:$A$10000))*1,[1]OUT_TransportEnergyCons!O$4:O$10000)</f>
        <v>2.23911737479453E-6</v>
      </c>
      <c r="S2163" s="3"/>
    </row>
    <row r="2164" spans="2:19" x14ac:dyDescent="0.5">
      <c r="B2164" s="5" t="str">
        <f t="shared" si="2242"/>
        <v>SPS1</v>
      </c>
      <c r="C2164" s="5" t="str">
        <f t="shared" si="2243"/>
        <v>CH</v>
      </c>
      <c r="D2164" t="s">
        <v>2293</v>
      </c>
      <c r="E2164" t="str">
        <f t="shared" si="2244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2.0941462325963201E-6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7.0155252821685401E-6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8.5990157380262905E-7</v>
      </c>
      <c r="J2164" s="1" cm="1">
        <f t="array" ref="J2164">SUMPRODUCT(("var_ncap"=[1]OUT_TransportEnergyCons!$B$4:$B$10000)*1,("-"=[1]OUT_TransportEnergyCons!$C$4:$C$10000)*1,ISNUMBER(SEARCH("T_C*ICE*nga*s4",[1]OUT_TransportEnergyCons!$A$4:$A$10000))*1,[1]OUT_TransportEnergyCons!H$4:H$10000)</f>
        <v>5.3440892559614602E-6</v>
      </c>
      <c r="K2164" s="1" cm="1">
        <f t="array" ref="K2164">SUMPRODUCT(("var_ncap"=[1]OUT_TransportEnergyCons!$B$4:$B$10000)*1,("-"=[1]OUT_TransportEnergyCons!$C$4:$C$10000)*1,ISNUMBER(SEARCH("T_C*ICE*nga*s4",[1]OUT_TransportEnergyCons!$A$4:$A$10000))*1,[1]OUT_TransportEnergyCons!I$4:I$10000)</f>
        <v>3.4641230892787401E-6</v>
      </c>
      <c r="L2164" s="1" cm="1">
        <f t="array" ref="L2164">SUMPRODUCT(("var_ncap"=[1]OUT_TransportEnergyCons!$B$4:$B$10000)*1,("-"=[1]OUT_TransportEnergyCons!$C$4:$C$10000)*1,ISNUMBER(SEARCH("T_C*ICE*nga*s4",[1]OUT_TransportEnergyCons!$A$4:$A$10000))*1,[1]OUT_TransportEnergyCons!J$4:J$10000)</f>
        <v>3.09351129725054E-6</v>
      </c>
      <c r="M2164" s="1" cm="1">
        <f t="array" ref="M2164">SUMPRODUCT(("var_ncap"=[1]OUT_TransportEnergyCons!$B$4:$B$10000)*1,("-"=[1]OUT_TransportEnergyCons!$C$4:$C$10000)*1,ISNUMBER(SEARCH("T_C*ICE*nga*s4",[1]OUT_TransportEnergyCons!$A$4:$A$10000))*1,[1]OUT_TransportEnergyCons!K$4:K$10000)</f>
        <v>4.1331491324795098E-6</v>
      </c>
      <c r="N2164" s="1" cm="1">
        <f t="array" ref="N2164">SUMPRODUCT(("var_ncap"=[1]OUT_TransportEnergyCons!$B$4:$B$10000)*1,("-"=[1]OUT_TransportEnergyCons!$C$4:$C$10000)*1,ISNUMBER(SEARCH("T_C*ICE*nga*s4",[1]OUT_TransportEnergyCons!$A$4:$A$10000))*1,[1]OUT_TransportEnergyCons!L$4:L$10000)</f>
        <v>3.3394149010190302E-6</v>
      </c>
      <c r="O2164" s="1" cm="1">
        <f t="array" ref="O2164">SUMPRODUCT(("var_ncap"=[1]OUT_TransportEnergyCons!$B$4:$B$10000)*1,("-"=[1]OUT_TransportEnergyCons!$C$4:$C$10000)*1,ISNUMBER(SEARCH("T_C*ICE*nga*s4",[1]OUT_TransportEnergyCons!$A$4:$A$10000))*1,[1]OUT_TransportEnergyCons!M$4:M$10000)</f>
        <v>2.6500549022505502E-6</v>
      </c>
      <c r="P2164" s="1" cm="1">
        <f t="array" ref="P2164">SUMPRODUCT(("var_ncap"=[1]OUT_TransportEnergyCons!$B$4:$B$10000)*1,("-"=[1]OUT_TransportEnergyCons!$C$4:$C$10000)*1,ISNUMBER(SEARCH("T_C*ICE*nga*s4",[1]OUT_TransportEnergyCons!$A$4:$A$10000))*1,[1]OUT_TransportEnergyCons!N$4:N$10000)</f>
        <v>2.8353794292961301E-6</v>
      </c>
      <c r="Q2164" s="1" cm="1">
        <f t="array" ref="Q2164">SUMPRODUCT(("var_ncap"=[1]OUT_TransportEnergyCons!$B$4:$B$10000)*1,("-"=[1]OUT_TransportEnergyCons!$C$4:$C$10000)*1,ISNUMBER(SEARCH("T_C*ICE*nga*s4",[1]OUT_TransportEnergyCons!$A$4:$A$10000))*1,[1]OUT_TransportEnergyCons!O$4:O$10000)</f>
        <v>2.4353741715715198E-6</v>
      </c>
      <c r="S2164" s="3"/>
    </row>
    <row r="2165" spans="2:19" x14ac:dyDescent="0.5">
      <c r="B2165" s="5" t="str">
        <f>'SPS1'!B1953</f>
        <v>SPS1</v>
      </c>
      <c r="C2165" s="5" t="str">
        <f>'SPS1'!C1953</f>
        <v>CH</v>
      </c>
      <c r="D2165" s="2" t="s">
        <v>2294</v>
      </c>
      <c r="E2165" s="2" t="s">
        <v>1999</v>
      </c>
      <c r="F2165" s="3">
        <f t="shared" ref="F2165:K2165" si="2245">SUM(F2166:F2188)</f>
        <v>0</v>
      </c>
      <c r="G2165" s="3">
        <f t="shared" si="2245"/>
        <v>0.74103303812044352</v>
      </c>
      <c r="H2165" s="3">
        <f t="shared" si="2245"/>
        <v>1.5690342965022956</v>
      </c>
      <c r="I2165" s="3">
        <f t="shared" si="2245"/>
        <v>5.6974705682928777</v>
      </c>
      <c r="J2165" s="3">
        <f t="shared" si="2245"/>
        <v>4.943615176420515</v>
      </c>
      <c r="K2165" s="3">
        <f t="shared" si="2245"/>
        <v>2.1749475689441007</v>
      </c>
      <c r="L2165" s="3">
        <f t="shared" ref="L2165:O2165" si="2246">SUM(L2166:L2188)</f>
        <v>3.5039369515482668</v>
      </c>
      <c r="M2165" s="3">
        <f t="shared" si="2246"/>
        <v>4.0871169496388777</v>
      </c>
      <c r="N2165" s="3">
        <f t="shared" si="2246"/>
        <v>2.7684110947329374</v>
      </c>
      <c r="O2165" s="3">
        <f t="shared" si="2246"/>
        <v>4.7563102404257105</v>
      </c>
      <c r="P2165" s="3">
        <f>SUM(P2166:P2188)</f>
        <v>3.544400577943819</v>
      </c>
      <c r="Q2165" s="3">
        <f>SUM(Q2166:Q2188)</f>
        <v>4.0470271882906506</v>
      </c>
      <c r="S2165" s="3"/>
    </row>
    <row r="2166" spans="2:19" x14ac:dyDescent="0.5">
      <c r="B2166" s="5" t="str">
        <f t="shared" ref="B2166:B2197" si="2247">B2165</f>
        <v>SPS1</v>
      </c>
      <c r="C2166" s="5" t="str">
        <f t="shared" ref="C2166:C2197" si="2248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(SUMPRODUCT(("var_ncap"=[1]OUT_TransportEnergyCons!$B$4:$B$10000)*1,ISNUMBER(SEARCH("T_B_u*bev*ext",[1]OUT_TransportEnergyCons!$A$4:$A$10000))*1,[1]OUT_TransportEnergyCons!H$4:H$10000))*1000</f>
        <v>0</v>
      </c>
      <c r="K2166" s="1" cm="1">
        <f t="array" ref="K2166">(SUMPRODUCT(("var_ncap"=[1]OUT_TransportEnergyCons!$B$4:$B$10000)*1,ISNUMBER(SEARCH("T_B_u*bev*ext",[1]OUT_TransportEnergyCons!$A$4:$A$10000))*1,[1]OUT_TransportEnergyCons!I$4:I$10000))*1000</f>
        <v>0</v>
      </c>
      <c r="L2166" s="1" cm="1">
        <f t="array" ref="L2166">(SUMPRODUCT(("var_ncap"=[1]OUT_TransportEnergyCons!$B$4:$B$10000)*1,ISNUMBER(SEARCH("T_B_u*bev*ext",[1]OUT_TransportEnergyCons!$A$4:$A$10000))*1,[1]OUT_TransportEnergyCons!J$4:J$10000))*1000</f>
        <v>0</v>
      </c>
      <c r="M2166" s="1" cm="1">
        <f t="array" ref="M2166">(SUMPRODUCT(("var_ncap"=[1]OUT_TransportEnergyCons!$B$4:$B$10000)*1,ISNUMBER(SEARCH("T_B_u*bev*ext",[1]OUT_TransportEnergyCons!$A$4:$A$10000))*1,[1]OUT_TransportEnergyCons!K$4:K$10000))*1000</f>
        <v>0</v>
      </c>
      <c r="N2166" s="1" cm="1">
        <f t="array" ref="N2166">(SUMPRODUCT(("var_ncap"=[1]OUT_TransportEnergyCons!$B$4:$B$10000)*1,ISNUMBER(SEARCH("T_B_u*bev*ext",[1]OUT_TransportEnergyCons!$A$4:$A$10000))*1,[1]OUT_TransportEnergyCons!L$4:L$10000))*1000</f>
        <v>0</v>
      </c>
      <c r="O2166" s="1" cm="1">
        <f t="array" ref="O2166">(SUMPRODUCT(("var_ncap"=[1]OUT_TransportEnergyCons!$B$4:$B$10000)*1,ISNUMBER(SEARCH("T_B_u*bev*ext",[1]OUT_TransportEnergyCons!$A$4:$A$10000))*1,[1]OUT_TransportEnergyCons!M$4:M$10000))*1000</f>
        <v>0</v>
      </c>
      <c r="P2166" s="1" cm="1">
        <f t="array" ref="P2166">(SUMPRODUCT(("var_ncap"=[1]OUT_TransportEnergyCons!$B$4:$B$10000)*1,ISNUMBER(SEARCH("T_B_u*bev*ext",[1]OUT_TransportEnergyCons!$A$4:$A$10000))*1,[1]OUT_TransportEnergyCons!N$4:N$10000))*1000</f>
        <v>0</v>
      </c>
      <c r="Q2166" s="1" cm="1">
        <f t="array" ref="Q2166">(SUMPRODUCT(("var_ncap"=[1]OUT_TransportEnergyCons!$B$4:$B$10000)*1,ISNUMBER(SEARCH("T_B_u*bev*ext",[1]OUT_TransportEnergyCons!$A$4:$A$10000))*1,[1]OUT_TransportEnergyCons!O$4:O$10000))*1000</f>
        <v>0</v>
      </c>
      <c r="S2166" s="3"/>
    </row>
    <row r="2167" spans="2:19" x14ac:dyDescent="0.5">
      <c r="B2167" s="5" t="str">
        <f t="shared" si="2247"/>
        <v>SPS1</v>
      </c>
      <c r="C2167" s="5" t="str">
        <f t="shared" si="2248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5.4909545221567893E-3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6.9185333047021005E-3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2.5597815980495202</v>
      </c>
      <c r="J2167" s="1" cm="1">
        <f t="array" ref="J2167">(SUMPRODUCT(("var_ncap"=[1]OUT_TransportEnergyCons!$B$4:$B$10000)*1,ISNUMBER(SEARCH("T_B_u*bev*s1",[1]OUT_TransportEnergyCons!$A$4:$A$10000))*1,[1]OUT_TransportEnergyCons!H$4:H$10000))*1000</f>
        <v>2.6232929899905799</v>
      </c>
      <c r="K2167" s="1" cm="1">
        <f t="array" ref="K2167">(SUMPRODUCT(("var_ncap"=[1]OUT_TransportEnergyCons!$B$4:$B$10000)*1,ISNUMBER(SEARCH("T_B_u*bev*s1",[1]OUT_TransportEnergyCons!$A$4:$A$10000))*1,[1]OUT_TransportEnergyCons!I$4:I$10000))*1000</f>
        <v>0.10160705676185601</v>
      </c>
      <c r="L2167" s="1" cm="1">
        <f t="array" ref="L2167">(SUMPRODUCT(("var_ncap"=[1]OUT_TransportEnergyCons!$B$4:$B$10000)*1,ISNUMBER(SEARCH("T_B_u*bev*s1",[1]OUT_TransportEnergyCons!$A$4:$A$10000))*1,[1]OUT_TransportEnergyCons!J$4:J$10000))*1000</f>
        <v>1.3698267215797499</v>
      </c>
      <c r="M2167" s="1" cm="1">
        <f t="array" ref="M2167">(SUMPRODUCT(("var_ncap"=[1]OUT_TransportEnergyCons!$B$4:$B$10000)*1,ISNUMBER(SEARCH("T_B_u*bev*s1",[1]OUT_TransportEnergyCons!$A$4:$A$10000))*1,[1]OUT_TransportEnergyCons!K$4:K$10000))*1000</f>
        <v>1.5370711158164501</v>
      </c>
      <c r="N2167" s="1" cm="1">
        <f t="array" ref="N2167">(SUMPRODUCT(("var_ncap"=[1]OUT_TransportEnergyCons!$B$4:$B$10000)*1,ISNUMBER(SEARCH("T_B_u*bev*s1",[1]OUT_TransportEnergyCons!$A$4:$A$10000))*1,[1]OUT_TransportEnergyCons!L$4:L$10000))*1000</f>
        <v>0.88687035280223692</v>
      </c>
      <c r="O2167" s="1" cm="1">
        <f t="array" ref="O2167">(SUMPRODUCT(("var_ncap"=[1]OUT_TransportEnergyCons!$B$4:$B$10000)*1,ISNUMBER(SEARCH("T_B_u*bev*s1",[1]OUT_TransportEnergyCons!$A$4:$A$10000))*1,[1]OUT_TransportEnergyCons!M$4:M$10000))*1000</f>
        <v>1.40034917969065</v>
      </c>
      <c r="P2167" s="1" cm="1">
        <f t="array" ref="P2167">(SUMPRODUCT(("var_ncap"=[1]OUT_TransportEnergyCons!$B$4:$B$10000)*1,ISNUMBER(SEARCH("T_B_u*bev*s1",[1]OUT_TransportEnergyCons!$A$4:$A$10000))*1,[1]OUT_TransportEnergyCons!N$4:N$10000))*1000</f>
        <v>0.74214657728118505</v>
      </c>
      <c r="Q2167" s="1" cm="1">
        <f t="array" ref="Q2167">(SUMPRODUCT(("var_ncap"=[1]OUT_TransportEnergyCons!$B$4:$B$10000)*1,ISNUMBER(SEARCH("T_B_u*bev*s1",[1]OUT_TransportEnergyCons!$A$4:$A$10000))*1,[1]OUT_TransportEnergyCons!O$4:O$10000))*1000</f>
        <v>0.10477613739004001</v>
      </c>
      <c r="S2167" s="3"/>
    </row>
    <row r="2168" spans="2:19" x14ac:dyDescent="0.5">
      <c r="B2168" s="5" t="str">
        <f t="shared" si="2247"/>
        <v>SPS1</v>
      </c>
      <c r="C2168" s="5" t="str">
        <f t="shared" si="2248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1.3435012691550999E-3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4.8760873522869395E-3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0.74198230422980704</v>
      </c>
      <c r="J2168" s="1" cm="1">
        <f t="array" ref="J2168">(SUMPRODUCT(("var_ncap"=[1]OUT_TransportEnergyCons!$B$4:$B$10000)*1,ISNUMBER(SEARCH("T_B_u*bev*s2",[1]OUT_TransportEnergyCons!$A$4:$A$10000))*1,[1]OUT_TransportEnergyCons!H$4:H$10000))*1000</f>
        <v>0.707291756392876</v>
      </c>
      <c r="K2168" s="1" cm="1">
        <f t="array" ref="K2168">(SUMPRODUCT(("var_ncap"=[1]OUT_TransportEnergyCons!$B$4:$B$10000)*1,ISNUMBER(SEARCH("T_B_u*bev*s2",[1]OUT_TransportEnergyCons!$A$4:$A$10000))*1,[1]OUT_TransportEnergyCons!I$4:I$10000))*1000</f>
        <v>0.105988977824282</v>
      </c>
      <c r="L2168" s="1" cm="1">
        <f t="array" ref="L2168">(SUMPRODUCT(("var_ncap"=[1]OUT_TransportEnergyCons!$B$4:$B$10000)*1,ISNUMBER(SEARCH("T_B_u*bev*s2",[1]OUT_TransportEnergyCons!$A$4:$A$10000))*1,[1]OUT_TransportEnergyCons!J$4:J$10000))*1000</f>
        <v>0.36892837692415498</v>
      </c>
      <c r="M2168" s="1" cm="1">
        <f t="array" ref="M2168">(SUMPRODUCT(("var_ncap"=[1]OUT_TransportEnergyCons!$B$4:$B$10000)*1,ISNUMBER(SEARCH("T_B_u*bev*s2",[1]OUT_TransportEnergyCons!$A$4:$A$10000))*1,[1]OUT_TransportEnergyCons!K$4:K$10000))*1000</f>
        <v>0.46211609465732401</v>
      </c>
      <c r="N2168" s="1" cm="1">
        <f t="array" ref="N2168">(SUMPRODUCT(("var_ncap"=[1]OUT_TransportEnergyCons!$B$4:$B$10000)*1,ISNUMBER(SEARCH("T_B_u*bev*s2",[1]OUT_TransportEnergyCons!$A$4:$A$10000))*1,[1]OUT_TransportEnergyCons!L$4:L$10000))*1000</f>
        <v>0.25918391758467696</v>
      </c>
      <c r="O2168" s="1" cm="1">
        <f t="array" ref="O2168">(SUMPRODUCT(("var_ncap"=[1]OUT_TransportEnergyCons!$B$4:$B$10000)*1,ISNUMBER(SEARCH("T_B_u*bev*s2",[1]OUT_TransportEnergyCons!$A$4:$A$10000))*1,[1]OUT_TransportEnergyCons!M$4:M$10000))*1000</f>
        <v>0.41079115731133903</v>
      </c>
      <c r="P2168" s="1" cm="1">
        <f t="array" ref="P2168">(SUMPRODUCT(("var_ncap"=[1]OUT_TransportEnergyCons!$B$4:$B$10000)*1,ISNUMBER(SEARCH("T_B_u*bev*s2",[1]OUT_TransportEnergyCons!$A$4:$A$10000))*1,[1]OUT_TransportEnergyCons!N$4:N$10000))*1000</f>
        <v>0.47138036850798204</v>
      </c>
      <c r="Q2168" s="1" cm="1">
        <f t="array" ref="Q2168">(SUMPRODUCT(("var_ncap"=[1]OUT_TransportEnergyCons!$B$4:$B$10000)*1,ISNUMBER(SEARCH("T_B_u*bev*s2",[1]OUT_TransportEnergyCons!$A$4:$A$10000))*1,[1]OUT_TransportEnergyCons!O$4:O$10000))*1000</f>
        <v>0.182032569599202</v>
      </c>
      <c r="S2168" s="3"/>
    </row>
    <row r="2169" spans="2:19" x14ac:dyDescent="0.5">
      <c r="B2169" s="5" t="str">
        <f t="shared" si="2247"/>
        <v>SPS1</v>
      </c>
      <c r="C2169" s="5" t="str">
        <f t="shared" si="2248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7.5332090251727395E-4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1.6335729862149901E-3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1.9597904422678498</v>
      </c>
      <c r="J2169" s="1" cm="1">
        <f t="array" ref="J2169">(SUMPRODUCT(("var_ncap"=[1]OUT_TransportEnergyCons!$B$4:$B$10000)*1,ISNUMBER(SEARCH("T_B_u*bev*s3",[1]OUT_TransportEnergyCons!$A$4:$A$10000))*1,[1]OUT_TransportEnergyCons!H$4:H$10000))*1000</f>
        <v>0.39277307913921</v>
      </c>
      <c r="K2169" s="1" cm="1">
        <f t="array" ref="K2169">(SUMPRODUCT(("var_ncap"=[1]OUT_TransportEnergyCons!$B$4:$B$10000)*1,ISNUMBER(SEARCH("T_B_u*bev*s3",[1]OUT_TransportEnergyCons!$A$4:$A$10000))*1,[1]OUT_TransportEnergyCons!I$4:I$10000))*1000</f>
        <v>1.3810329292692201</v>
      </c>
      <c r="L2169" s="1" cm="1">
        <f t="array" ref="L2169">(SUMPRODUCT(("var_ncap"=[1]OUT_TransportEnergyCons!$B$4:$B$10000)*1,ISNUMBER(SEARCH("T_B_u*bev*s3",[1]OUT_TransportEnergyCons!$A$4:$A$10000))*1,[1]OUT_TransportEnergyCons!J$4:J$10000))*1000</f>
        <v>0.39732602633398001</v>
      </c>
      <c r="M2169" s="1" cm="1">
        <f t="array" ref="M2169">(SUMPRODUCT(("var_ncap"=[1]OUT_TransportEnergyCons!$B$4:$B$10000)*1,ISNUMBER(SEARCH("T_B_u*bev*s3",[1]OUT_TransportEnergyCons!$A$4:$A$10000))*1,[1]OUT_TransportEnergyCons!K$4:K$10000))*1000</f>
        <v>1.0877724870694201</v>
      </c>
      <c r="N2169" s="1" cm="1">
        <f t="array" ref="N2169">(SUMPRODUCT(("var_ncap"=[1]OUT_TransportEnergyCons!$B$4:$B$10000)*1,ISNUMBER(SEARCH("T_B_u*bev*s3",[1]OUT_TransportEnergyCons!$A$4:$A$10000))*1,[1]OUT_TransportEnergyCons!L$4:L$10000))*1000</f>
        <v>0.218038649225723</v>
      </c>
      <c r="O2169" s="1" cm="1">
        <f t="array" ref="O2169">(SUMPRODUCT(("var_ncap"=[1]OUT_TransportEnergyCons!$B$4:$B$10000)*1,ISNUMBER(SEARCH("T_B_u*bev*s3",[1]OUT_TransportEnergyCons!$A$4:$A$10000))*1,[1]OUT_TransportEnergyCons!M$4:M$10000))*1000</f>
        <v>1.1472286598400498</v>
      </c>
      <c r="P2169" s="1" cm="1">
        <f t="array" ref="P2169">(SUMPRODUCT(("var_ncap"=[1]OUT_TransportEnergyCons!$B$4:$B$10000)*1,ISNUMBER(SEARCH("T_B_u*bev*s3",[1]OUT_TransportEnergyCons!$A$4:$A$10000))*1,[1]OUT_TransportEnergyCons!N$4:N$10000))*1000</f>
        <v>0.91897618285036198</v>
      </c>
      <c r="Q2169" s="1" cm="1">
        <f t="array" ref="Q2169">(SUMPRODUCT(("var_ncap"=[1]OUT_TransportEnergyCons!$B$4:$B$10000)*1,ISNUMBER(SEARCH("T_B_u*bev*s3",[1]OUT_TransportEnergyCons!$A$4:$A$10000))*1,[1]OUT_TransportEnergyCons!O$4:O$10000))*1000</f>
        <v>1.6526006194299798</v>
      </c>
      <c r="S2169" s="3"/>
    </row>
    <row r="2170" spans="2:19" x14ac:dyDescent="0.5">
      <c r="B2170" s="5" t="str">
        <f t="shared" si="2247"/>
        <v>SPS1</v>
      </c>
      <c r="C2170" s="5" t="str">
        <f t="shared" si="2248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2.2397730362282202E-4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2.3014779607534401E-4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2.3346791094456E-4</v>
      </c>
      <c r="J2170" s="1" cm="1">
        <f t="array" ref="J2170">(SUMPRODUCT(("var_ncap"=[1]OUT_TransportEnergyCons!$B$4:$B$10000)*1,ISNUMBER(SEARCH("T_B_u*bev*s4",[1]OUT_TransportEnergyCons!$A$4:$A$10000))*1,[1]OUT_TransportEnergyCons!H$4:H$10000))*1000</f>
        <v>4.04388295095782E-4</v>
      </c>
      <c r="K2170" s="1" cm="1">
        <f t="array" ref="K2170">(SUMPRODUCT(("var_ncap"=[1]OUT_TransportEnergyCons!$B$4:$B$10000)*1,ISNUMBER(SEARCH("T_B_u*bev*s4",[1]OUT_TransportEnergyCons!$A$4:$A$10000))*1,[1]OUT_TransportEnergyCons!I$4:I$10000))*1000</f>
        <v>3.9910324082609701E-4</v>
      </c>
      <c r="L2170" s="1" cm="1">
        <f t="array" ref="L2170">(SUMPRODUCT(("var_ncap"=[1]OUT_TransportEnergyCons!$B$4:$B$10000)*1,ISNUMBER(SEARCH("T_B_u*bev*s4",[1]OUT_TransportEnergyCons!$A$4:$A$10000))*1,[1]OUT_TransportEnergyCons!J$4:J$10000))*1000</f>
        <v>4.6920747974061103E-4</v>
      </c>
      <c r="M2170" s="1" cm="1">
        <f t="array" ref="M2170">(SUMPRODUCT(("var_ncap"=[1]OUT_TransportEnergyCons!$B$4:$B$10000)*1,ISNUMBER(SEARCH("T_B_u*bev*s4",[1]OUT_TransportEnergyCons!$A$4:$A$10000))*1,[1]OUT_TransportEnergyCons!K$4:K$10000))*1000</f>
        <v>6.7417950222960297E-4</v>
      </c>
      <c r="N2170" s="1" cm="1">
        <f t="array" ref="N2170">(SUMPRODUCT(("var_ncap"=[1]OUT_TransportEnergyCons!$B$4:$B$10000)*1,ISNUMBER(SEARCH("T_B_u*bev*s4",[1]OUT_TransportEnergyCons!$A$4:$A$10000))*1,[1]OUT_TransportEnergyCons!L$4:L$10000))*1000</f>
        <v>6.0676668198648108E-4</v>
      </c>
      <c r="O2170" s="1" cm="1">
        <f t="array" ref="O2170">(SUMPRODUCT(("var_ncap"=[1]OUT_TransportEnergyCons!$B$4:$B$10000)*1,ISNUMBER(SEARCH("T_B_u*bev*s4",[1]OUT_TransportEnergyCons!$A$4:$A$10000))*1,[1]OUT_TransportEnergyCons!M$4:M$10000))*1000</f>
        <v>8.0839928853744904E-4</v>
      </c>
      <c r="P2170" s="1" cm="1">
        <f t="array" ref="P2170">(SUMPRODUCT(("var_ncap"=[1]OUT_TransportEnergyCons!$B$4:$B$10000)*1,ISNUMBER(SEARCH("T_B_u*bev*s4",[1]OUT_TransportEnergyCons!$A$4:$A$10000))*1,[1]OUT_TransportEnergyCons!N$4:N$10000))*1000</f>
        <v>8.1994746792003899E-4</v>
      </c>
      <c r="Q2170" s="1" cm="1">
        <f t="array" ref="Q2170">(SUMPRODUCT(("var_ncap"=[1]OUT_TransportEnergyCons!$B$4:$B$10000)*1,ISNUMBER(SEARCH("T_B_u*bev*s4",[1]OUT_TransportEnergyCons!$A$4:$A$10000))*1,[1]OUT_TransportEnergyCons!O$4:O$10000))*1000</f>
        <v>1.19374558658641E-3</v>
      </c>
      <c r="S2170" s="3"/>
    </row>
    <row r="2171" spans="2:19" x14ac:dyDescent="0.5">
      <c r="B2171" s="5" t="str">
        <f t="shared" si="2247"/>
        <v>SPS1</v>
      </c>
      <c r="C2171" s="5" t="str">
        <f t="shared" si="2248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2.69253907750555E-5</v>
      </c>
      <c r="J2171" s="1" cm="1">
        <f t="array" ref="J2171">(SUMPRODUCT(("var_ncap"=[1]OUT_TransportEnergyCons!$B$4:$B$10000)*1,ISNUMBER(SEARCH("T_B_u*h2o*s1",[1]OUT_TransportEnergyCons!$A$4:$A$10000))*1,[1]OUT_TransportEnergyCons!H$4:H$10000))*1000</f>
        <v>1.2331128657841399E-5</v>
      </c>
      <c r="K2171" s="1" cm="1">
        <f t="array" ref="K2171">(SUMPRODUCT(("var_ncap"=[1]OUT_TransportEnergyCons!$B$4:$B$10000)*1,ISNUMBER(SEARCH("T_B_u*h2o*s1",[1]OUT_TransportEnergyCons!$A$4:$A$10000))*1,[1]OUT_TransportEnergyCons!I$4:I$10000))*1000</f>
        <v>0</v>
      </c>
      <c r="L2171" s="1" cm="1">
        <f t="array" ref="L2171">(SUMPRODUCT(("var_ncap"=[1]OUT_TransportEnergyCons!$B$4:$B$10000)*1,ISNUMBER(SEARCH("T_B_u*h2o*s1",[1]OUT_TransportEnergyCons!$A$4:$A$10000))*1,[1]OUT_TransportEnergyCons!J$4:J$10000))*1000</f>
        <v>1.0974502231815601E-5</v>
      </c>
      <c r="M2171" s="1" cm="1">
        <f t="array" ref="M2171">(SUMPRODUCT(("var_ncap"=[1]OUT_TransportEnergyCons!$B$4:$B$10000)*1,ISNUMBER(SEARCH("T_B_u*h2o*s1",[1]OUT_TransportEnergyCons!$A$4:$A$10000))*1,[1]OUT_TransportEnergyCons!K$4:K$10000))*1000</f>
        <v>0</v>
      </c>
      <c r="N2171" s="1" cm="1">
        <f t="array" ref="N2171">(SUMPRODUCT(("var_ncap"=[1]OUT_TransportEnergyCons!$B$4:$B$10000)*1,ISNUMBER(SEARCH("T_B_u*h2o*s1",[1]OUT_TransportEnergyCons!$A$4:$A$10000))*1,[1]OUT_TransportEnergyCons!L$4:L$10000))*1000</f>
        <v>1.13791882320879E-5</v>
      </c>
      <c r="O2171" s="1" cm="1">
        <f t="array" ref="O2171">(SUMPRODUCT(("var_ncap"=[1]OUT_TransportEnergyCons!$B$4:$B$10000)*1,ISNUMBER(SEARCH("T_B_u*h2o*s1",[1]OUT_TransportEnergyCons!$A$4:$A$10000))*1,[1]OUT_TransportEnergyCons!M$4:M$10000))*1000</f>
        <v>1.17439919356298E-5</v>
      </c>
      <c r="P2171" s="1" cm="1">
        <f t="array" ref="P2171">(SUMPRODUCT(("var_ncap"=[1]OUT_TransportEnergyCons!$B$4:$B$10000)*1,ISNUMBER(SEARCH("T_B_u*h2o*s1",[1]OUT_TransportEnergyCons!$A$4:$A$10000))*1,[1]OUT_TransportEnergyCons!N$4:N$10000))*1000</f>
        <v>0</v>
      </c>
      <c r="Q2171" s="1" cm="1">
        <f t="array" ref="Q2171">(SUMPRODUCT(("var_ncap"=[1]OUT_TransportEnergyCons!$B$4:$B$10000)*1,ISNUMBER(SEARCH("T_B_u*h2o*s1",[1]OUT_TransportEnergyCons!$A$4:$A$10000))*1,[1]OUT_TransportEnergyCons!O$4:O$10000))*1000</f>
        <v>1.4666339833909201E-5</v>
      </c>
      <c r="S2171" s="3"/>
    </row>
    <row r="2172" spans="2:19" x14ac:dyDescent="0.5">
      <c r="B2172" s="5" t="str">
        <f t="shared" si="2247"/>
        <v>SPS1</v>
      </c>
      <c r="C2172" s="5" t="str">
        <f t="shared" si="2248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1.13481920822735E-5</v>
      </c>
      <c r="J2172" s="1" cm="1">
        <f t="array" ref="J2172">(SUMPRODUCT(("var_ncap"=[1]OUT_TransportEnergyCons!$B$4:$B$10000)*1,ISNUMBER(SEARCH("T_B_u*h2o*s2",[1]OUT_TransportEnergyCons!$A$4:$A$10000))*1,[1]OUT_TransportEnergyCons!H$4:H$10000))*1000</f>
        <v>0</v>
      </c>
      <c r="K2172" s="1" cm="1">
        <f t="array" ref="K2172">(SUMPRODUCT(("var_ncap"=[1]OUT_TransportEnergyCons!$B$4:$B$10000)*1,ISNUMBER(SEARCH("T_B_u*h2o*s2",[1]OUT_TransportEnergyCons!$A$4:$A$10000))*1,[1]OUT_TransportEnergyCons!I$4:I$10000))*1000</f>
        <v>0</v>
      </c>
      <c r="L2172" s="1" cm="1">
        <f t="array" ref="L2172">(SUMPRODUCT(("var_ncap"=[1]OUT_TransportEnergyCons!$B$4:$B$10000)*1,ISNUMBER(SEARCH("T_B_u*h2o*s2",[1]OUT_TransportEnergyCons!$A$4:$A$10000))*1,[1]OUT_TransportEnergyCons!J$4:J$10000))*1000</f>
        <v>0</v>
      </c>
      <c r="M2172" s="1" cm="1">
        <f t="array" ref="M2172">(SUMPRODUCT(("var_ncap"=[1]OUT_TransportEnergyCons!$B$4:$B$10000)*1,ISNUMBER(SEARCH("T_B_u*h2o*s2",[1]OUT_TransportEnergyCons!$A$4:$A$10000))*1,[1]OUT_TransportEnergyCons!K$4:K$10000))*1000</f>
        <v>0</v>
      </c>
      <c r="N2172" s="1" cm="1">
        <f t="array" ref="N2172">(SUMPRODUCT(("var_ncap"=[1]OUT_TransportEnergyCons!$B$4:$B$10000)*1,ISNUMBER(SEARCH("T_B_u*h2o*s2",[1]OUT_TransportEnergyCons!$A$4:$A$10000))*1,[1]OUT_TransportEnergyCons!L$4:L$10000))*1000</f>
        <v>0</v>
      </c>
      <c r="O2172" s="1" cm="1">
        <f t="array" ref="O2172">(SUMPRODUCT(("var_ncap"=[1]OUT_TransportEnergyCons!$B$4:$B$10000)*1,ISNUMBER(SEARCH("T_B_u*h2o*s2",[1]OUT_TransportEnergyCons!$A$4:$A$10000))*1,[1]OUT_TransportEnergyCons!M$4:M$10000))*1000</f>
        <v>0</v>
      </c>
      <c r="P2172" s="1" cm="1">
        <f t="array" ref="P2172">(SUMPRODUCT(("var_ncap"=[1]OUT_TransportEnergyCons!$B$4:$B$10000)*1,ISNUMBER(SEARCH("T_B_u*h2o*s2",[1]OUT_TransportEnergyCons!$A$4:$A$10000))*1,[1]OUT_TransportEnergyCons!N$4:N$10000))*1000</f>
        <v>0</v>
      </c>
      <c r="Q2172" s="1" cm="1">
        <f t="array" ref="Q2172">(SUMPRODUCT(("var_ncap"=[1]OUT_TransportEnergyCons!$B$4:$B$10000)*1,ISNUMBER(SEARCH("T_B_u*h2o*s2",[1]OUT_TransportEnergyCons!$A$4:$A$10000))*1,[1]OUT_TransportEnergyCons!O$4:O$10000))*1000</f>
        <v>0</v>
      </c>
      <c r="S2172" s="3"/>
    </row>
    <row r="2173" spans="2:19" x14ac:dyDescent="0.5">
      <c r="B2173" s="5" t="str">
        <f t="shared" si="2247"/>
        <v>SPS1</v>
      </c>
      <c r="C2173" s="5" t="str">
        <f t="shared" si="2248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1.00366067818199E-5</v>
      </c>
      <c r="J2173" s="1" cm="1">
        <f t="array" ref="J2173">(SUMPRODUCT(("var_ncap"=[1]OUT_TransportEnergyCons!$B$4:$B$10000)*1,ISNUMBER(SEARCH("T_B_u*h2o*s3",[1]OUT_TransportEnergyCons!$A$4:$A$10000))*1,[1]OUT_TransportEnergyCons!H$4:H$10000))*1000</f>
        <v>0</v>
      </c>
      <c r="K2173" s="1" cm="1">
        <f t="array" ref="K2173">(SUMPRODUCT(("var_ncap"=[1]OUT_TransportEnergyCons!$B$4:$B$10000)*1,ISNUMBER(SEARCH("T_B_u*h2o*s3",[1]OUT_TransportEnergyCons!$A$4:$A$10000))*1,[1]OUT_TransportEnergyCons!I$4:I$10000))*1000</f>
        <v>0</v>
      </c>
      <c r="L2173" s="1" cm="1">
        <f t="array" ref="L2173">(SUMPRODUCT(("var_ncap"=[1]OUT_TransportEnergyCons!$B$4:$B$10000)*1,ISNUMBER(SEARCH("T_B_u*h2o*s3",[1]OUT_TransportEnergyCons!$A$4:$A$10000))*1,[1]OUT_TransportEnergyCons!J$4:J$10000))*1000</f>
        <v>0</v>
      </c>
      <c r="M2173" s="1" cm="1">
        <f t="array" ref="M2173">(SUMPRODUCT(("var_ncap"=[1]OUT_TransportEnergyCons!$B$4:$B$10000)*1,ISNUMBER(SEARCH("T_B_u*h2o*s3",[1]OUT_TransportEnergyCons!$A$4:$A$10000))*1,[1]OUT_TransportEnergyCons!K$4:K$10000))*1000</f>
        <v>0</v>
      </c>
      <c r="N2173" s="1" cm="1">
        <f t="array" ref="N2173">(SUMPRODUCT(("var_ncap"=[1]OUT_TransportEnergyCons!$B$4:$B$10000)*1,ISNUMBER(SEARCH("T_B_u*h2o*s3",[1]OUT_TransportEnergyCons!$A$4:$A$10000))*1,[1]OUT_TransportEnergyCons!L$4:L$10000))*1000</f>
        <v>0</v>
      </c>
      <c r="O2173" s="1" cm="1">
        <f t="array" ref="O2173">(SUMPRODUCT(("var_ncap"=[1]OUT_TransportEnergyCons!$B$4:$B$10000)*1,ISNUMBER(SEARCH("T_B_u*h2o*s3",[1]OUT_TransportEnergyCons!$A$4:$A$10000))*1,[1]OUT_TransportEnergyCons!M$4:M$10000))*1000</f>
        <v>0</v>
      </c>
      <c r="P2173" s="1" cm="1">
        <f t="array" ref="P2173">(SUMPRODUCT(("var_ncap"=[1]OUT_TransportEnergyCons!$B$4:$B$10000)*1,ISNUMBER(SEARCH("T_B_u*h2o*s3",[1]OUT_TransportEnergyCons!$A$4:$A$10000))*1,[1]OUT_TransportEnergyCons!N$4:N$10000))*1000</f>
        <v>0</v>
      </c>
      <c r="Q2173" s="1" cm="1">
        <f t="array" ref="Q2173">(SUMPRODUCT(("var_ncap"=[1]OUT_TransportEnergyCons!$B$4:$B$10000)*1,ISNUMBER(SEARCH("T_B_u*h2o*s3",[1]OUT_TransportEnergyCons!$A$4:$A$10000))*1,[1]OUT_TransportEnergyCons!O$4:O$10000))*1000</f>
        <v>0</v>
      </c>
      <c r="S2173" s="3"/>
    </row>
    <row r="2174" spans="2:19" x14ac:dyDescent="0.5">
      <c r="B2174" s="5" t="str">
        <f t="shared" si="2247"/>
        <v>SPS1</v>
      </c>
      <c r="C2174" s="5" t="str">
        <f t="shared" si="2248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(SUMPRODUCT(("var_ncap"=[1]OUT_TransportEnergyCons!$B$4:$B$10000)*1,ISNUMBER(SEARCH("T_B_u*h2o*s4",[1]OUT_TransportEnergyCons!$A$4:$A$10000))*1,[1]OUT_TransportEnergyCons!H$4:H$10000))*1000</f>
        <v>0</v>
      </c>
      <c r="K2174" s="1" cm="1">
        <f t="array" ref="K2174">(SUMPRODUCT(("var_ncap"=[1]OUT_TransportEnergyCons!$B$4:$B$10000)*1,ISNUMBER(SEARCH("T_B_u*h2o*s4",[1]OUT_TransportEnergyCons!$A$4:$A$10000))*1,[1]OUT_TransportEnergyCons!I$4:I$10000))*1000</f>
        <v>0</v>
      </c>
      <c r="L2174" s="1" cm="1">
        <f t="array" ref="L2174">(SUMPRODUCT(("var_ncap"=[1]OUT_TransportEnergyCons!$B$4:$B$10000)*1,ISNUMBER(SEARCH("T_B_u*h2o*s4",[1]OUT_TransportEnergyCons!$A$4:$A$10000))*1,[1]OUT_TransportEnergyCons!J$4:J$10000))*1000</f>
        <v>0</v>
      </c>
      <c r="M2174" s="1" cm="1">
        <f t="array" ref="M2174">(SUMPRODUCT(("var_ncap"=[1]OUT_TransportEnergyCons!$B$4:$B$10000)*1,ISNUMBER(SEARCH("T_B_u*h2o*s4",[1]OUT_TransportEnergyCons!$A$4:$A$10000))*1,[1]OUT_TransportEnergyCons!K$4:K$10000))*1000</f>
        <v>0</v>
      </c>
      <c r="N2174" s="1" cm="1">
        <f t="array" ref="N2174">(SUMPRODUCT(("var_ncap"=[1]OUT_TransportEnergyCons!$B$4:$B$10000)*1,ISNUMBER(SEARCH("T_B_u*h2o*s4",[1]OUT_TransportEnergyCons!$A$4:$A$10000))*1,[1]OUT_TransportEnergyCons!L$4:L$10000))*1000</f>
        <v>0</v>
      </c>
      <c r="O2174" s="1" cm="1">
        <f t="array" ref="O2174">(SUMPRODUCT(("var_ncap"=[1]OUT_TransportEnergyCons!$B$4:$B$10000)*1,ISNUMBER(SEARCH("T_B_u*h2o*s4",[1]OUT_TransportEnergyCons!$A$4:$A$10000))*1,[1]OUT_TransportEnergyCons!M$4:M$10000))*1000</f>
        <v>0</v>
      </c>
      <c r="P2174" s="1" cm="1">
        <f t="array" ref="P2174">(SUMPRODUCT(("var_ncap"=[1]OUT_TransportEnergyCons!$B$4:$B$10000)*1,ISNUMBER(SEARCH("T_B_u*h2o*s4",[1]OUT_TransportEnergyCons!$A$4:$A$10000))*1,[1]OUT_TransportEnergyCons!N$4:N$10000))*1000</f>
        <v>0</v>
      </c>
      <c r="Q2174" s="1" cm="1">
        <f t="array" ref="Q2174">(SUMPRODUCT(("var_ncap"=[1]OUT_TransportEnergyCons!$B$4:$B$10000)*1,ISNUMBER(SEARCH("T_B_u*h2o*s4",[1]OUT_TransportEnergyCons!$A$4:$A$10000))*1,[1]OUT_TransportEnergyCons!O$4:O$10000))*1000</f>
        <v>0</v>
      </c>
      <c r="S2174" s="3"/>
    </row>
    <row r="2175" spans="2:19" x14ac:dyDescent="0.5">
      <c r="B2175" s="5" t="str">
        <f t="shared" si="2247"/>
        <v>SPS1</v>
      </c>
      <c r="C2175" s="5" t="str">
        <f t="shared" si="2248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1.15061577779529E-2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1.5385840630694199E-3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5.8843856891957491E-4</v>
      </c>
      <c r="J2175" s="1" cm="1">
        <f t="array" ref="J2175">(SUMPRODUCT(("var_ncap"=[1]OUT_TransportEnergyCons!$B$4:$B$10000)*1,ISNUMBER(SEARCH("T_B_u*hyb*DSL*s1",[1]OUT_TransportEnergyCons!$A$4:$A$10000))*1,[1]OUT_TransportEnergyCons!H$4:H$10000))*1000</f>
        <v>2.2707904070412002E-3</v>
      </c>
      <c r="K2175" s="1" cm="1">
        <f t="array" ref="K2175">(SUMPRODUCT(("var_ncap"=[1]OUT_TransportEnergyCons!$B$4:$B$10000)*1,ISNUMBER(SEARCH("T_B_u*hyb*DSL*s1",[1]OUT_TransportEnergyCons!$A$4:$A$10000))*1,[1]OUT_TransportEnergyCons!I$4:I$10000))*1000</f>
        <v>2.1626478274407199E-3</v>
      </c>
      <c r="L2175" s="1" cm="1">
        <f t="array" ref="L2175">(SUMPRODUCT(("var_ncap"=[1]OUT_TransportEnergyCons!$B$4:$B$10000)*1,ISNUMBER(SEARCH("T_B_u*hyb*DSL*s1",[1]OUT_TransportEnergyCons!$A$4:$A$10000))*1,[1]OUT_TransportEnergyCons!J$4:J$10000))*1000</f>
        <v>5.8338903899786297E-3</v>
      </c>
      <c r="M2175" s="1" cm="1">
        <f t="array" ref="M2175">(SUMPRODUCT(("var_ncap"=[1]OUT_TransportEnergyCons!$B$4:$B$10000)*1,ISNUMBER(SEARCH("T_B_u*hyb*DSL*s1",[1]OUT_TransportEnergyCons!$A$4:$A$10000))*1,[1]OUT_TransportEnergyCons!K$4:K$10000))*1000</f>
        <v>1.62212511657608E-2</v>
      </c>
      <c r="N2175" s="1" cm="1">
        <f t="array" ref="N2175">(SUMPRODUCT(("var_ncap"=[1]OUT_TransportEnergyCons!$B$4:$B$10000)*1,ISNUMBER(SEARCH("T_B_u*hyb*DSL*s1",[1]OUT_TransportEnergyCons!$A$4:$A$10000))*1,[1]OUT_TransportEnergyCons!L$4:L$10000))*1000</f>
        <v>2.2436379241341699E-2</v>
      </c>
      <c r="O2175" s="1" cm="1">
        <f t="array" ref="O2175">(SUMPRODUCT(("var_ncap"=[1]OUT_TransportEnergyCons!$B$4:$B$10000)*1,ISNUMBER(SEARCH("T_B_u*hyb*DSL*s1",[1]OUT_TransportEnergyCons!$A$4:$A$10000))*1,[1]OUT_TransportEnergyCons!M$4:M$10000))*1000</f>
        <v>0.102080010558714</v>
      </c>
      <c r="P2175" s="1" cm="1">
        <f t="array" ref="P2175">(SUMPRODUCT(("var_ncap"=[1]OUT_TransportEnergyCons!$B$4:$B$10000)*1,ISNUMBER(SEARCH("T_B_u*hyb*DSL*s1",[1]OUT_TransportEnergyCons!$A$4:$A$10000))*1,[1]OUT_TransportEnergyCons!N$4:N$10000))*1000</f>
        <v>0.98312321711910511</v>
      </c>
      <c r="Q2175" s="1" cm="1">
        <f t="array" ref="Q2175">(SUMPRODUCT(("var_ncap"=[1]OUT_TransportEnergyCons!$B$4:$B$10000)*1,ISNUMBER(SEARCH("T_B_u*hyb*DSL*s1",[1]OUT_TransportEnergyCons!$A$4:$A$10000))*1,[1]OUT_TransportEnergyCons!O$4:O$10000))*1000</f>
        <v>0.74808692671245491</v>
      </c>
      <c r="S2175" s="3"/>
    </row>
    <row r="2176" spans="2:19" x14ac:dyDescent="0.5">
      <c r="B2176" s="5" t="str">
        <f t="shared" si="2247"/>
        <v>SPS1</v>
      </c>
      <c r="C2176" s="5" t="str">
        <f t="shared" si="2248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1.0807692924722301E-3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6.7121101826753398E-4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5.2075070517141806E-4</v>
      </c>
      <c r="J2176" s="1" cm="1">
        <f t="array" ref="J2176">(SUMPRODUCT(("var_ncap"=[1]OUT_TransportEnergyCons!$B$4:$B$10000)*1,ISNUMBER(SEARCH("T_B_u*hyb*DSL*s2",[1]OUT_TransportEnergyCons!$A$4:$A$10000))*1,[1]OUT_TransportEnergyCons!H$4:H$10000))*1000</f>
        <v>1.4124005595020999E-3</v>
      </c>
      <c r="K2176" s="1" cm="1">
        <f t="array" ref="K2176">(SUMPRODUCT(("var_ncap"=[1]OUT_TransportEnergyCons!$B$4:$B$10000)*1,ISNUMBER(SEARCH("T_B_u*hyb*DSL*s2",[1]OUT_TransportEnergyCons!$A$4:$A$10000))*1,[1]OUT_TransportEnergyCons!I$4:I$10000))*1000</f>
        <v>1.49535521642858E-3</v>
      </c>
      <c r="L2176" s="1" cm="1">
        <f t="array" ref="L2176">(SUMPRODUCT(("var_ncap"=[1]OUT_TransportEnergyCons!$B$4:$B$10000)*1,ISNUMBER(SEARCH("T_B_u*hyb*DSL*s2",[1]OUT_TransportEnergyCons!$A$4:$A$10000))*1,[1]OUT_TransportEnergyCons!J$4:J$10000))*1000</f>
        <v>2.8965367240821101E-3</v>
      </c>
      <c r="M2176" s="1" cm="1">
        <f t="array" ref="M2176">(SUMPRODUCT(("var_ncap"=[1]OUT_TransportEnergyCons!$B$4:$B$10000)*1,ISNUMBER(SEARCH("T_B_u*hyb*DSL*s2",[1]OUT_TransportEnergyCons!$A$4:$A$10000))*1,[1]OUT_TransportEnergyCons!K$4:K$10000))*1000</f>
        <v>5.3366699892376497E-3</v>
      </c>
      <c r="N2176" s="1" cm="1">
        <f t="array" ref="N2176">(SUMPRODUCT(("var_ncap"=[1]OUT_TransportEnergyCons!$B$4:$B$10000)*1,ISNUMBER(SEARCH("T_B_u*hyb*DSL*s2",[1]OUT_TransportEnergyCons!$A$4:$A$10000))*1,[1]OUT_TransportEnergyCons!L$4:L$10000))*1000</f>
        <v>6.0674187911380194E-3</v>
      </c>
      <c r="O2176" s="1" cm="1">
        <f t="array" ref="O2176">(SUMPRODUCT(("var_ncap"=[1]OUT_TransportEnergyCons!$B$4:$B$10000)*1,ISNUMBER(SEARCH("T_B_u*hyb*DSL*s2",[1]OUT_TransportEnergyCons!$A$4:$A$10000))*1,[1]OUT_TransportEnergyCons!M$4:M$10000))*1000</f>
        <v>1.11034883601404E-2</v>
      </c>
      <c r="P2176" s="1" cm="1">
        <f t="array" ref="P2176">(SUMPRODUCT(("var_ncap"=[1]OUT_TransportEnergyCons!$B$4:$B$10000)*1,ISNUMBER(SEARCH("T_B_u*hyb*DSL*s2",[1]OUT_TransportEnergyCons!$A$4:$A$10000))*1,[1]OUT_TransportEnergyCons!N$4:N$10000))*1000</f>
        <v>1.3949108485725299E-2</v>
      </c>
      <c r="Q2176" s="1" cm="1">
        <f t="array" ref="Q2176">(SUMPRODUCT(("var_ncap"=[1]OUT_TransportEnergyCons!$B$4:$B$10000)*1,ISNUMBER(SEARCH("T_B_u*hyb*DSL*s2",[1]OUT_TransportEnergyCons!$A$4:$A$10000))*1,[1]OUT_TransportEnergyCons!O$4:O$10000))*1000</f>
        <v>3.6911080755483799E-2</v>
      </c>
      <c r="S2176" s="3"/>
    </row>
    <row r="2177" spans="2:19" x14ac:dyDescent="0.5">
      <c r="B2177" s="5" t="str">
        <f t="shared" si="2247"/>
        <v>SPS1</v>
      </c>
      <c r="C2177" s="5" t="str">
        <f t="shared" si="2248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6.8998076521750093E-2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0.84030425045303903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0.43448490877123896</v>
      </c>
      <c r="J2177" s="1" cm="1">
        <f t="array" ref="J2177">(SUMPRODUCT(("var_ncap"=[1]OUT_TransportEnergyCons!$B$4:$B$10000)*1,ISNUMBER(SEARCH("T_B_u*hyb*DSL*s3",[1]OUT_TransportEnergyCons!$A$4:$A$10000))*1,[1]OUT_TransportEnergyCons!H$4:H$10000))*1000</f>
        <v>1.2160746834243998</v>
      </c>
      <c r="K2177" s="1" cm="1">
        <f t="array" ref="K2177">(SUMPRODUCT(("var_ncap"=[1]OUT_TransportEnergyCons!$B$4:$B$10000)*1,ISNUMBER(SEARCH("T_B_u*hyb*DSL*s3",[1]OUT_TransportEnergyCons!$A$4:$A$10000))*1,[1]OUT_TransportEnergyCons!I$4:I$10000))*1000</f>
        <v>0.58217831446030999</v>
      </c>
      <c r="L2177" s="1" cm="1">
        <f t="array" ref="L2177">(SUMPRODUCT(("var_ncap"=[1]OUT_TransportEnergyCons!$B$4:$B$10000)*1,ISNUMBER(SEARCH("T_B_u*hyb*DSL*s3",[1]OUT_TransportEnergyCons!$A$4:$A$10000))*1,[1]OUT_TransportEnergyCons!J$4:J$10000))*1000</f>
        <v>1.35854856740466</v>
      </c>
      <c r="M2177" s="1" cm="1">
        <f t="array" ref="M2177">(SUMPRODUCT(("var_ncap"=[1]OUT_TransportEnergyCons!$B$4:$B$10000)*1,ISNUMBER(SEARCH("T_B_u*hyb*DSL*s3",[1]OUT_TransportEnergyCons!$A$4:$A$10000))*1,[1]OUT_TransportEnergyCons!K$4:K$10000))*1000</f>
        <v>0.97778917738829496</v>
      </c>
      <c r="N2177" s="1" cm="1">
        <f t="array" ref="N2177">(SUMPRODUCT(("var_ncap"=[1]OUT_TransportEnergyCons!$B$4:$B$10000)*1,ISNUMBER(SEARCH("T_B_u*hyb*DSL*s3",[1]OUT_TransportEnergyCons!$A$4:$A$10000))*1,[1]OUT_TransportEnergyCons!L$4:L$10000))*1000</f>
        <v>1.37507586408281</v>
      </c>
      <c r="O2177" s="1" cm="1">
        <f t="array" ref="O2177">(SUMPRODUCT(("var_ncap"=[1]OUT_TransportEnergyCons!$B$4:$B$10000)*1,ISNUMBER(SEARCH("T_B_u*hyb*DSL*s3",[1]OUT_TransportEnergyCons!$A$4:$A$10000))*1,[1]OUT_TransportEnergyCons!M$4:M$10000))*1000</f>
        <v>1.6837645414933</v>
      </c>
      <c r="P2177" s="1" cm="1">
        <f t="array" ref="P2177">(SUMPRODUCT(("var_ncap"=[1]OUT_TransportEnergyCons!$B$4:$B$10000)*1,ISNUMBER(SEARCH("T_B_u*hyb*DSL*s3",[1]OUT_TransportEnergyCons!$A$4:$A$10000))*1,[1]OUT_TransportEnergyCons!N$4:N$10000))*1000</f>
        <v>0.413834892454925</v>
      </c>
      <c r="Q2177" s="1" cm="1">
        <f t="array" ref="Q2177">(SUMPRODUCT(("var_ncap"=[1]OUT_TransportEnergyCons!$B$4:$B$10000)*1,ISNUMBER(SEARCH("T_B_u*hyb*DSL*s3",[1]OUT_TransportEnergyCons!$A$4:$A$10000))*1,[1]OUT_TransportEnergyCons!O$4:O$10000))*1000</f>
        <v>1.32116085414135</v>
      </c>
      <c r="S2177" s="3"/>
    </row>
    <row r="2178" spans="2:19" x14ac:dyDescent="0.5">
      <c r="B2178" s="5" t="str">
        <f t="shared" si="2247"/>
        <v>SPS1</v>
      </c>
      <c r="C2178" s="5" t="str">
        <f t="shared" si="2248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4.57085150030734E-5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3.8635960197362402E-5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2.9479642909752901E-5</v>
      </c>
      <c r="J2178" s="1" cm="1">
        <f t="array" ref="J2178">(SUMPRODUCT(("var_ncap"=[1]OUT_TransportEnergyCons!$B$4:$B$10000)*1,ISNUMBER(SEARCH("T_B_u*hyb*DSL*s4",[1]OUT_TransportEnergyCons!$A$4:$A$10000))*1,[1]OUT_TransportEnergyCons!H$4:H$10000))*1000</f>
        <v>7.2360805152750697E-5</v>
      </c>
      <c r="K2178" s="1" cm="1">
        <f t="array" ref="K2178">(SUMPRODUCT(("var_ncap"=[1]OUT_TransportEnergyCons!$B$4:$B$10000)*1,ISNUMBER(SEARCH("T_B_u*hyb*DSL*s4",[1]OUT_TransportEnergyCons!$A$4:$A$10000))*1,[1]OUT_TransportEnergyCons!I$4:I$10000))*1000</f>
        <v>7.0378832939638197E-5</v>
      </c>
      <c r="L2178" s="1" cm="1">
        <f t="array" ref="L2178">(SUMPRODUCT(("var_ncap"=[1]OUT_TransportEnergyCons!$B$4:$B$10000)*1,ISNUMBER(SEARCH("T_B_u*hyb*DSL*s4",[1]OUT_TransportEnergyCons!$A$4:$A$10000))*1,[1]OUT_TransportEnergyCons!J$4:J$10000))*1000</f>
        <v>8.369637828598429E-5</v>
      </c>
      <c r="M2178" s="1" cm="1">
        <f t="array" ref="M2178">(SUMPRODUCT(("var_ncap"=[1]OUT_TransportEnergyCons!$B$4:$B$10000)*1,ISNUMBER(SEARCH("T_B_u*hyb*DSL*s4",[1]OUT_TransportEnergyCons!$A$4:$A$10000))*1,[1]OUT_TransportEnergyCons!K$4:K$10000))*1000</f>
        <v>1.10999456578933E-4</v>
      </c>
      <c r="N2178" s="1" cm="1">
        <f t="array" ref="N2178">(SUMPRODUCT(("var_ncap"=[1]OUT_TransportEnergyCons!$B$4:$B$10000)*1,ISNUMBER(SEARCH("T_B_u*hyb*DSL*s4",[1]OUT_TransportEnergyCons!$A$4:$A$10000))*1,[1]OUT_TransportEnergyCons!L$4:L$10000))*1000</f>
        <v>9.2497053939268192E-5</v>
      </c>
      <c r="O2178" s="1" cm="1">
        <f t="array" ref="O2178">(SUMPRODUCT(("var_ncap"=[1]OUT_TransportEnergyCons!$B$4:$B$10000)*1,ISNUMBER(SEARCH("T_B_u*hyb*DSL*s4",[1]OUT_TransportEnergyCons!$A$4:$A$10000))*1,[1]OUT_TransportEnergyCons!M$4:M$10000))*1000</f>
        <v>1.4758068492849098E-4</v>
      </c>
      <c r="P2178" s="1" cm="1">
        <f t="array" ref="P2178">(SUMPRODUCT(("var_ncap"=[1]OUT_TransportEnergyCons!$B$4:$B$10000)*1,ISNUMBER(SEARCH("T_B_u*hyb*DSL*s4",[1]OUT_TransportEnergyCons!$A$4:$A$10000))*1,[1]OUT_TransportEnergyCons!N$4:N$10000))*1000</f>
        <v>1.5627670547636299E-4</v>
      </c>
      <c r="Q2178" s="1" cm="1">
        <f t="array" ref="Q2178">(SUMPRODUCT(("var_ncap"=[1]OUT_TransportEnergyCons!$B$4:$B$10000)*1,ISNUMBER(SEARCH("T_B_u*hyb*DSL*s4",[1]OUT_TransportEnergyCons!$A$4:$A$10000))*1,[1]OUT_TransportEnergyCons!O$4:O$10000))*1000</f>
        <v>2.21689858826762E-4</v>
      </c>
      <c r="S2178" s="3"/>
    </row>
    <row r="2179" spans="2:19" x14ac:dyDescent="0.5">
      <c r="B2179" s="5" t="str">
        <f t="shared" si="2247"/>
        <v>SPS1</v>
      </c>
      <c r="C2179" s="5" t="str">
        <f t="shared" si="2248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(SUMPRODUCT(("var_ncap"=[1]OUT_TransportEnergyCons!$B$4:$B$10000)*1,ISNUMBER(SEARCH("T_B_u*ICE*DSL*ext",[1]OUT_TransportEnergyCons!$A$4:$A$10000))*1,[1]OUT_TransportEnergyCons!H$4:H$10000))*1000</f>
        <v>0</v>
      </c>
      <c r="K2179" s="1" cm="1">
        <f t="array" ref="K2179">(SUMPRODUCT(("var_ncap"=[1]OUT_TransportEnergyCons!$B$4:$B$10000)*1,ISNUMBER(SEARCH("T_B_u*ICE*DSL*ext",[1]OUT_TransportEnergyCons!$A$4:$A$10000))*1,[1]OUT_TransportEnergyCons!I$4:I$10000))*1000</f>
        <v>0</v>
      </c>
      <c r="L2179" s="1" cm="1">
        <f t="array" ref="L2179">(SUMPRODUCT(("var_ncap"=[1]OUT_TransportEnergyCons!$B$4:$B$10000)*1,ISNUMBER(SEARCH("T_B_u*ICE*DSL*ext",[1]OUT_TransportEnergyCons!$A$4:$A$10000))*1,[1]OUT_TransportEnergyCons!J$4:J$10000))*1000</f>
        <v>0</v>
      </c>
      <c r="M2179" s="1" cm="1">
        <f t="array" ref="M2179">(SUMPRODUCT(("var_ncap"=[1]OUT_TransportEnergyCons!$B$4:$B$10000)*1,ISNUMBER(SEARCH("T_B_u*ICE*DSL*ext",[1]OUT_TransportEnergyCons!$A$4:$A$10000))*1,[1]OUT_TransportEnergyCons!K$4:K$10000))*1000</f>
        <v>0</v>
      </c>
      <c r="N2179" s="1" cm="1">
        <f t="array" ref="N2179">(SUMPRODUCT(("var_ncap"=[1]OUT_TransportEnergyCons!$B$4:$B$10000)*1,ISNUMBER(SEARCH("T_B_u*ICE*DSL*ext",[1]OUT_TransportEnergyCons!$A$4:$A$10000))*1,[1]OUT_TransportEnergyCons!L$4:L$10000))*1000</f>
        <v>0</v>
      </c>
      <c r="O2179" s="1" cm="1">
        <f t="array" ref="O2179">(SUMPRODUCT(("var_ncap"=[1]OUT_TransportEnergyCons!$B$4:$B$10000)*1,ISNUMBER(SEARCH("T_B_u*ICE*DSL*ext",[1]OUT_TransportEnergyCons!$A$4:$A$10000))*1,[1]OUT_TransportEnergyCons!M$4:M$10000))*1000</f>
        <v>0</v>
      </c>
      <c r="P2179" s="1" cm="1">
        <f t="array" ref="P2179">(SUMPRODUCT(("var_ncap"=[1]OUT_TransportEnergyCons!$B$4:$B$10000)*1,ISNUMBER(SEARCH("T_B_u*ICE*DSL*ext",[1]OUT_TransportEnergyCons!$A$4:$A$10000))*1,[1]OUT_TransportEnergyCons!N$4:N$10000))*1000</f>
        <v>0</v>
      </c>
      <c r="Q2179" s="1" cm="1">
        <f t="array" ref="Q2179">(SUMPRODUCT(("var_ncap"=[1]OUT_TransportEnergyCons!$B$4:$B$10000)*1,ISNUMBER(SEARCH("T_B_u*ICE*DSL*ext",[1]OUT_TransportEnergyCons!$A$4:$A$10000))*1,[1]OUT_TransportEnergyCons!O$4:O$10000))*1000</f>
        <v>0</v>
      </c>
      <c r="S2179" s="3"/>
    </row>
    <row r="2180" spans="2:19" x14ac:dyDescent="0.5">
      <c r="B2180" s="5" t="str">
        <f t="shared" si="2247"/>
        <v>SPS1</v>
      </c>
      <c r="C2180" s="5" t="str">
        <f t="shared" si="2248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0.63790687838787696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0.52347339385273906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(SUMPRODUCT(("var_ncap"=[1]OUT_TransportEnergyCons!$B$4:$B$10000)*1,ISNUMBER(SEARCH("T_B_u*ICE*DSL*s1",[1]OUT_TransportEnergyCons!$A$4:$A$10000))*1,[1]OUT_TransportEnergyCons!H$4:H$10000))*1000</f>
        <v>0</v>
      </c>
      <c r="K2180" s="1" cm="1">
        <f t="array" ref="K2180">(SUMPRODUCT(("var_ncap"=[1]OUT_TransportEnergyCons!$B$4:$B$10000)*1,ISNUMBER(SEARCH("T_B_u*ICE*DSL*s1",[1]OUT_TransportEnergyCons!$A$4:$A$10000))*1,[1]OUT_TransportEnergyCons!I$4:I$10000))*1000</f>
        <v>0</v>
      </c>
      <c r="L2180" s="1" cm="1">
        <f t="array" ref="L2180">(SUMPRODUCT(("var_ncap"=[1]OUT_TransportEnergyCons!$B$4:$B$10000)*1,ISNUMBER(SEARCH("T_B_u*ICE*DSL*s1",[1]OUT_TransportEnergyCons!$A$4:$A$10000))*1,[1]OUT_TransportEnergyCons!J$4:J$10000))*1000</f>
        <v>0</v>
      </c>
      <c r="M2180" s="1" cm="1">
        <f t="array" ref="M2180">(SUMPRODUCT(("var_ncap"=[1]OUT_TransportEnergyCons!$B$4:$B$10000)*1,ISNUMBER(SEARCH("T_B_u*ICE*DSL*s1",[1]OUT_TransportEnergyCons!$A$4:$A$10000))*1,[1]OUT_TransportEnergyCons!K$4:K$10000))*1000</f>
        <v>1.0514929120631401E-5</v>
      </c>
      <c r="N2180" s="1" cm="1">
        <f t="array" ref="N2180">(SUMPRODUCT(("var_ncap"=[1]OUT_TransportEnergyCons!$B$4:$B$10000)*1,ISNUMBER(SEARCH("T_B_u*ICE*DSL*s1",[1]OUT_TransportEnergyCons!$A$4:$A$10000))*1,[1]OUT_TransportEnergyCons!L$4:L$10000))*1000</f>
        <v>1.24068052793582E-5</v>
      </c>
      <c r="O2180" s="1" cm="1">
        <f t="array" ref="O2180">(SUMPRODUCT(("var_ncap"=[1]OUT_TransportEnergyCons!$B$4:$B$10000)*1,ISNUMBER(SEARCH("T_B_u*ICE*DSL*s1",[1]OUT_TransportEnergyCons!$A$4:$A$10000))*1,[1]OUT_TransportEnergyCons!M$4:M$10000))*1000</f>
        <v>1.08629782351492E-5</v>
      </c>
      <c r="P2180" s="1" cm="1">
        <f t="array" ref="P2180">(SUMPRODUCT(("var_ncap"=[1]OUT_TransportEnergyCons!$B$4:$B$10000)*1,ISNUMBER(SEARCH("T_B_u*ICE*DSL*s1",[1]OUT_TransportEnergyCons!$A$4:$A$10000))*1,[1]OUT_TransportEnergyCons!N$4:N$10000))*1000</f>
        <v>0</v>
      </c>
      <c r="Q2180" s="1" cm="1">
        <f t="array" ref="Q2180">(SUMPRODUCT(("var_ncap"=[1]OUT_TransportEnergyCons!$B$4:$B$10000)*1,ISNUMBER(SEARCH("T_B_u*ICE*DSL*s1",[1]OUT_TransportEnergyCons!$A$4:$A$10000))*1,[1]OUT_TransportEnergyCons!O$4:O$10000))*1000</f>
        <v>1.19405046198766E-5</v>
      </c>
      <c r="S2180" s="3"/>
    </row>
    <row r="2181" spans="2:19" x14ac:dyDescent="0.5">
      <c r="B2181" s="5" t="str">
        <f t="shared" si="2247"/>
        <v>SPS1</v>
      </c>
      <c r="C2181" s="5" t="str">
        <f t="shared" si="2248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1.0584564692594401E-2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0.15790250256803301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(SUMPRODUCT(("var_ncap"=[1]OUT_TransportEnergyCons!$B$4:$B$10000)*1,ISNUMBER(SEARCH("T_B_u*ICE*DSL*s2",[1]OUT_TransportEnergyCons!$A$4:$A$10000))*1,[1]OUT_TransportEnergyCons!H$4:H$10000))*1000</f>
        <v>0</v>
      </c>
      <c r="K2181" s="1" cm="1">
        <f t="array" ref="K2181">(SUMPRODUCT(("var_ncap"=[1]OUT_TransportEnergyCons!$B$4:$B$10000)*1,ISNUMBER(SEARCH("T_B_u*ICE*DSL*s2",[1]OUT_TransportEnergyCons!$A$4:$A$10000))*1,[1]OUT_TransportEnergyCons!I$4:I$10000))*1000</f>
        <v>0</v>
      </c>
      <c r="L2181" s="1" cm="1">
        <f t="array" ref="L2181">(SUMPRODUCT(("var_ncap"=[1]OUT_TransportEnergyCons!$B$4:$B$10000)*1,ISNUMBER(SEARCH("T_B_u*ICE*DSL*s2",[1]OUT_TransportEnergyCons!$A$4:$A$10000))*1,[1]OUT_TransportEnergyCons!J$4:J$10000))*1000</f>
        <v>0</v>
      </c>
      <c r="M2181" s="1" cm="1">
        <f t="array" ref="M2181">(SUMPRODUCT(("var_ncap"=[1]OUT_TransportEnergyCons!$B$4:$B$10000)*1,ISNUMBER(SEARCH("T_B_u*ICE*DSL*s2",[1]OUT_TransportEnergyCons!$A$4:$A$10000))*1,[1]OUT_TransportEnergyCons!K$4:K$10000))*1000</f>
        <v>0</v>
      </c>
      <c r="N2181" s="1" cm="1">
        <f t="array" ref="N2181">(SUMPRODUCT(("var_ncap"=[1]OUT_TransportEnergyCons!$B$4:$B$10000)*1,ISNUMBER(SEARCH("T_B_u*ICE*DSL*s2",[1]OUT_TransportEnergyCons!$A$4:$A$10000))*1,[1]OUT_TransportEnergyCons!L$4:L$10000))*1000</f>
        <v>0</v>
      </c>
      <c r="O2181" s="1" cm="1">
        <f t="array" ref="O2181">(SUMPRODUCT(("var_ncap"=[1]OUT_TransportEnergyCons!$B$4:$B$10000)*1,ISNUMBER(SEARCH("T_B_u*ICE*DSL*s2",[1]OUT_TransportEnergyCons!$A$4:$A$10000))*1,[1]OUT_TransportEnergyCons!M$4:M$10000))*1000</f>
        <v>0</v>
      </c>
      <c r="P2181" s="1" cm="1">
        <f t="array" ref="P2181">(SUMPRODUCT(("var_ncap"=[1]OUT_TransportEnergyCons!$B$4:$B$10000)*1,ISNUMBER(SEARCH("T_B_u*ICE*DSL*s2",[1]OUT_TransportEnergyCons!$A$4:$A$10000))*1,[1]OUT_TransportEnergyCons!N$4:N$10000))*1000</f>
        <v>0</v>
      </c>
      <c r="Q2181" s="1" cm="1">
        <f t="array" ref="Q2181">(SUMPRODUCT(("var_ncap"=[1]OUT_TransportEnergyCons!$B$4:$B$10000)*1,ISNUMBER(SEARCH("T_B_u*ICE*DSL*s2",[1]OUT_TransportEnergyCons!$A$4:$A$10000))*1,[1]OUT_TransportEnergyCons!O$4:O$10000))*1000</f>
        <v>0</v>
      </c>
      <c r="S2181" s="3"/>
    </row>
    <row r="2182" spans="2:19" x14ac:dyDescent="0.5">
      <c r="B2182" s="5" t="str">
        <f t="shared" si="2247"/>
        <v>SPS1</v>
      </c>
      <c r="C2182" s="5" t="str">
        <f t="shared" si="2248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2.5290199828676301E-3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4.2547107374406599E-4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(SUMPRODUCT(("var_ncap"=[1]OUT_TransportEnergyCons!$B$4:$B$10000)*1,ISNUMBER(SEARCH("T_B_u*ICE*DSL*s3",[1]OUT_TransportEnergyCons!$A$4:$A$10000))*1,[1]OUT_TransportEnergyCons!H$4:H$10000))*1000</f>
        <v>0</v>
      </c>
      <c r="K2182" s="1" cm="1">
        <f t="array" ref="K2182">(SUMPRODUCT(("var_ncap"=[1]OUT_TransportEnergyCons!$B$4:$B$10000)*1,ISNUMBER(SEARCH("T_B_u*ICE*DSL*s3",[1]OUT_TransportEnergyCons!$A$4:$A$10000))*1,[1]OUT_TransportEnergyCons!I$4:I$10000))*1000</f>
        <v>0</v>
      </c>
      <c r="L2182" s="1" cm="1">
        <f t="array" ref="L2182">(SUMPRODUCT(("var_ncap"=[1]OUT_TransportEnergyCons!$B$4:$B$10000)*1,ISNUMBER(SEARCH("T_B_u*ICE*DSL*s3",[1]OUT_TransportEnergyCons!$A$4:$A$10000))*1,[1]OUT_TransportEnergyCons!J$4:J$10000))*1000</f>
        <v>0</v>
      </c>
      <c r="M2182" s="1" cm="1">
        <f t="array" ref="M2182">(SUMPRODUCT(("var_ncap"=[1]OUT_TransportEnergyCons!$B$4:$B$10000)*1,ISNUMBER(SEARCH("T_B_u*ICE*DSL*s3",[1]OUT_TransportEnergyCons!$A$4:$A$10000))*1,[1]OUT_TransportEnergyCons!K$4:K$10000))*1000</f>
        <v>0</v>
      </c>
      <c r="N2182" s="1" cm="1">
        <f t="array" ref="N2182">(SUMPRODUCT(("var_ncap"=[1]OUT_TransportEnergyCons!$B$4:$B$10000)*1,ISNUMBER(SEARCH("T_B_u*ICE*DSL*s3",[1]OUT_TransportEnergyCons!$A$4:$A$10000))*1,[1]OUT_TransportEnergyCons!L$4:L$10000))*1000</f>
        <v>0</v>
      </c>
      <c r="O2182" s="1" cm="1">
        <f t="array" ref="O2182">(SUMPRODUCT(("var_ncap"=[1]OUT_TransportEnergyCons!$B$4:$B$10000)*1,ISNUMBER(SEARCH("T_B_u*ICE*DSL*s3",[1]OUT_TransportEnergyCons!$A$4:$A$10000))*1,[1]OUT_TransportEnergyCons!M$4:M$10000))*1000</f>
        <v>0</v>
      </c>
      <c r="P2182" s="1" cm="1">
        <f t="array" ref="P2182">(SUMPRODUCT(("var_ncap"=[1]OUT_TransportEnergyCons!$B$4:$B$10000)*1,ISNUMBER(SEARCH("T_B_u*ICE*DSL*s3",[1]OUT_TransportEnergyCons!$A$4:$A$10000))*1,[1]OUT_TransportEnergyCons!N$4:N$10000))*1000</f>
        <v>0</v>
      </c>
      <c r="Q2182" s="1" cm="1">
        <f t="array" ref="Q2182">(SUMPRODUCT(("var_ncap"=[1]OUT_TransportEnergyCons!$B$4:$B$10000)*1,ISNUMBER(SEARCH("T_B_u*ICE*DSL*s3",[1]OUT_TransportEnergyCons!$A$4:$A$10000))*1,[1]OUT_TransportEnergyCons!O$4:O$10000))*1000</f>
        <v>0</v>
      </c>
      <c r="S2182" s="3"/>
    </row>
    <row r="2183" spans="2:19" x14ac:dyDescent="0.5">
      <c r="B2183" s="5" t="str">
        <f t="shared" si="2247"/>
        <v>SPS1</v>
      </c>
      <c r="C2183" s="5" t="str">
        <f t="shared" si="2248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3.8771316754678197E-5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3.7235991862718103E-5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(SUMPRODUCT(("var_ncap"=[1]OUT_TransportEnergyCons!$B$4:$B$10000)*1,ISNUMBER(SEARCH("T_B_u*ICE*DSL*s4",[1]OUT_TransportEnergyCons!$A$4:$A$10000))*1,[1]OUT_TransportEnergyCons!H$4:H$10000))*1000</f>
        <v>0</v>
      </c>
      <c r="K2183" s="1" cm="1">
        <f t="array" ref="K2183">(SUMPRODUCT(("var_ncap"=[1]OUT_TransportEnergyCons!$B$4:$B$10000)*1,ISNUMBER(SEARCH("T_B_u*ICE*DSL*s4",[1]OUT_TransportEnergyCons!$A$4:$A$10000))*1,[1]OUT_TransportEnergyCons!I$4:I$10000))*1000</f>
        <v>0</v>
      </c>
      <c r="L2183" s="1" cm="1">
        <f t="array" ref="L2183">(SUMPRODUCT(("var_ncap"=[1]OUT_TransportEnergyCons!$B$4:$B$10000)*1,ISNUMBER(SEARCH("T_B_u*ICE*DSL*s4",[1]OUT_TransportEnergyCons!$A$4:$A$10000))*1,[1]OUT_TransportEnergyCons!J$4:J$10000))*1000</f>
        <v>0</v>
      </c>
      <c r="M2183" s="1" cm="1">
        <f t="array" ref="M2183">(SUMPRODUCT(("var_ncap"=[1]OUT_TransportEnergyCons!$B$4:$B$10000)*1,ISNUMBER(SEARCH("T_B_u*ICE*DSL*s4",[1]OUT_TransportEnergyCons!$A$4:$A$10000))*1,[1]OUT_TransportEnergyCons!K$4:K$10000))*1000</f>
        <v>0</v>
      </c>
      <c r="N2183" s="1" cm="1">
        <f t="array" ref="N2183">(SUMPRODUCT(("var_ncap"=[1]OUT_TransportEnergyCons!$B$4:$B$10000)*1,ISNUMBER(SEARCH("T_B_u*ICE*DSL*s4",[1]OUT_TransportEnergyCons!$A$4:$A$10000))*1,[1]OUT_TransportEnergyCons!L$4:L$10000))*1000</f>
        <v>0</v>
      </c>
      <c r="O2183" s="1" cm="1">
        <f t="array" ref="O2183">(SUMPRODUCT(("var_ncap"=[1]OUT_TransportEnergyCons!$B$4:$B$10000)*1,ISNUMBER(SEARCH("T_B_u*ICE*DSL*s4",[1]OUT_TransportEnergyCons!$A$4:$A$10000))*1,[1]OUT_TransportEnergyCons!M$4:M$10000))*1000</f>
        <v>0</v>
      </c>
      <c r="P2183" s="1" cm="1">
        <f t="array" ref="P2183">(SUMPRODUCT(("var_ncap"=[1]OUT_TransportEnergyCons!$B$4:$B$10000)*1,ISNUMBER(SEARCH("T_B_u*ICE*DSL*s4",[1]OUT_TransportEnergyCons!$A$4:$A$10000))*1,[1]OUT_TransportEnergyCons!N$4:N$10000))*1000</f>
        <v>0</v>
      </c>
      <c r="Q2183" s="1" cm="1">
        <f t="array" ref="Q2183">(SUMPRODUCT(("var_ncap"=[1]OUT_TransportEnergyCons!$B$4:$B$10000)*1,ISNUMBER(SEARCH("T_B_u*ICE*DSL*s4",[1]OUT_TransportEnergyCons!$A$4:$A$10000))*1,[1]OUT_TransportEnergyCons!O$4:O$10000))*1000</f>
        <v>0</v>
      </c>
      <c r="S2183" s="3"/>
    </row>
    <row r="2184" spans="2:19" x14ac:dyDescent="0.5">
      <c r="B2184" s="5" t="str">
        <f t="shared" si="2247"/>
        <v>SPS1</v>
      </c>
      <c r="C2184" s="5" t="str">
        <f t="shared" si="2248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(SUMPRODUCT(("var_ncap"=[1]OUT_TransportEnergyCons!$B$4:$B$10000)*1,ISNUMBER(SEARCH("T_B_u*ICE*nga*ext",[1]OUT_TransportEnergyCons!$A$4:$A$10000))*1,[1]OUT_TransportEnergyCons!H$4:H$10000))*1000</f>
        <v>0</v>
      </c>
      <c r="K2184" s="1" cm="1">
        <f t="array" ref="K2184">(SUMPRODUCT(("var_ncap"=[1]OUT_TransportEnergyCons!$B$4:$B$10000)*1,ISNUMBER(SEARCH("T_B_u*ICE*nga*ext",[1]OUT_TransportEnergyCons!$A$4:$A$10000))*1,[1]OUT_TransportEnergyCons!I$4:I$10000))*1000</f>
        <v>0</v>
      </c>
      <c r="L2184" s="1" cm="1">
        <f t="array" ref="L2184">(SUMPRODUCT(("var_ncap"=[1]OUT_TransportEnergyCons!$B$4:$B$10000)*1,ISNUMBER(SEARCH("T_B_u*ICE*nga*ext",[1]OUT_TransportEnergyCons!$A$4:$A$10000))*1,[1]OUT_TransportEnergyCons!J$4:J$10000))*1000</f>
        <v>0</v>
      </c>
      <c r="M2184" s="1" cm="1">
        <f t="array" ref="M2184">(SUMPRODUCT(("var_ncap"=[1]OUT_TransportEnergyCons!$B$4:$B$10000)*1,ISNUMBER(SEARCH("T_B_u*ICE*nga*ext",[1]OUT_TransportEnergyCons!$A$4:$A$10000))*1,[1]OUT_TransportEnergyCons!K$4:K$10000))*1000</f>
        <v>0</v>
      </c>
      <c r="N2184" s="1" cm="1">
        <f t="array" ref="N2184">(SUMPRODUCT(("var_ncap"=[1]OUT_TransportEnergyCons!$B$4:$B$10000)*1,ISNUMBER(SEARCH("T_B_u*ICE*nga*ext",[1]OUT_TransportEnergyCons!$A$4:$A$10000))*1,[1]OUT_TransportEnergyCons!L$4:L$10000))*1000</f>
        <v>0</v>
      </c>
      <c r="O2184" s="1" cm="1">
        <f t="array" ref="O2184">(SUMPRODUCT(("var_ncap"=[1]OUT_TransportEnergyCons!$B$4:$B$10000)*1,ISNUMBER(SEARCH("T_B_u*ICE*nga*ext",[1]OUT_TransportEnergyCons!$A$4:$A$10000))*1,[1]OUT_TransportEnergyCons!M$4:M$10000))*1000</f>
        <v>0</v>
      </c>
      <c r="P2184" s="1" cm="1">
        <f t="array" ref="P2184">(SUMPRODUCT(("var_ncap"=[1]OUT_TransportEnergyCons!$B$4:$B$10000)*1,ISNUMBER(SEARCH("T_B_u*ICE*nga*ext",[1]OUT_TransportEnergyCons!$A$4:$A$10000))*1,[1]OUT_TransportEnergyCons!N$4:N$10000))*1000</f>
        <v>0</v>
      </c>
      <c r="Q2184" s="1" cm="1">
        <f t="array" ref="Q2184">(SUMPRODUCT(("var_ncap"=[1]OUT_TransportEnergyCons!$B$4:$B$10000)*1,ISNUMBER(SEARCH("T_B_u*ICE*nga*ext",[1]OUT_TransportEnergyCons!$A$4:$A$10000))*1,[1]OUT_TransportEnergyCons!O$4:O$10000))*1000</f>
        <v>0</v>
      </c>
      <c r="S2184" s="3"/>
    </row>
    <row r="2185" spans="2:19" x14ac:dyDescent="0.5">
      <c r="B2185" s="5" t="str">
        <f t="shared" si="2247"/>
        <v>SPS1</v>
      </c>
      <c r="C2185" s="5" t="str">
        <f t="shared" si="2248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3.1127030515773501E-4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2.6801238784836799E-3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1.0867956877623701E-5</v>
      </c>
      <c r="J2185" s="1" cm="1">
        <f t="array" ref="J2185">(SUMPRODUCT(("var_ncap"=[1]OUT_TransportEnergyCons!$B$4:$B$10000)*1,ISNUMBER(SEARCH("T_B_u*ICE*nga*s1",[1]OUT_TransportEnergyCons!$A$4:$A$10000))*1,[1]OUT_TransportEnergyCons!H$4:H$10000))*1000</f>
        <v>1.0396277999362E-5</v>
      </c>
      <c r="K2185" s="1" cm="1">
        <f t="array" ref="K2185">(SUMPRODUCT(("var_ncap"=[1]OUT_TransportEnergyCons!$B$4:$B$10000)*1,ISNUMBER(SEARCH("T_B_u*ICE*nga*s1",[1]OUT_TransportEnergyCons!$A$4:$A$10000))*1,[1]OUT_TransportEnergyCons!I$4:I$10000))*1000</f>
        <v>1.28055107976731E-5</v>
      </c>
      <c r="L2185" s="1" cm="1">
        <f t="array" ref="L2185">(SUMPRODUCT(("var_ncap"=[1]OUT_TransportEnergyCons!$B$4:$B$10000)*1,ISNUMBER(SEARCH("T_B_u*ICE*nga*s1",[1]OUT_TransportEnergyCons!$A$4:$A$10000))*1,[1]OUT_TransportEnergyCons!J$4:J$10000))*1000</f>
        <v>1.29538314021516E-5</v>
      </c>
      <c r="M2185" s="1" cm="1">
        <f t="array" ref="M2185">(SUMPRODUCT(("var_ncap"=[1]OUT_TransportEnergyCons!$B$4:$B$10000)*1,ISNUMBER(SEARCH("T_B_u*ICE*nga*s1",[1]OUT_TransportEnergyCons!$A$4:$A$10000))*1,[1]OUT_TransportEnergyCons!K$4:K$10000))*1000</f>
        <v>1.44596644609188E-5</v>
      </c>
      <c r="N2185" s="1" cm="1">
        <f t="array" ref="N2185">(SUMPRODUCT(("var_ncap"=[1]OUT_TransportEnergyCons!$B$4:$B$10000)*1,ISNUMBER(SEARCH("T_B_u*ICE*nga*s1",[1]OUT_TransportEnergyCons!$A$4:$A$10000))*1,[1]OUT_TransportEnergyCons!L$4:L$10000))*1000</f>
        <v>1.5463275573883097E-5</v>
      </c>
      <c r="O2185" s="1" cm="1">
        <f t="array" ref="O2185">(SUMPRODUCT(("var_ncap"=[1]OUT_TransportEnergyCons!$B$4:$B$10000)*1,ISNUMBER(SEARCH("T_B_u*ICE*nga*s1",[1]OUT_TransportEnergyCons!$A$4:$A$10000))*1,[1]OUT_TransportEnergyCons!M$4:M$10000))*1000</f>
        <v>1.4616227880896501E-5</v>
      </c>
      <c r="P2185" s="1" cm="1">
        <f t="array" ref="P2185">(SUMPRODUCT(("var_ncap"=[1]OUT_TransportEnergyCons!$B$4:$B$10000)*1,ISNUMBER(SEARCH("T_B_u*ICE*nga*s1",[1]OUT_TransportEnergyCons!$A$4:$A$10000))*1,[1]OUT_TransportEnergyCons!N$4:N$10000))*1000</f>
        <v>1.4007071138047E-5</v>
      </c>
      <c r="Q2185" s="1" cm="1">
        <f t="array" ref="Q2185">(SUMPRODUCT(("var_ncap"=[1]OUT_TransportEnergyCons!$B$4:$B$10000)*1,ISNUMBER(SEARCH("T_B_u*ICE*nga*s1",[1]OUT_TransportEnergyCons!$A$4:$A$10000))*1,[1]OUT_TransportEnergyCons!O$4:O$10000))*1000</f>
        <v>1.6957972272566501E-5</v>
      </c>
      <c r="S2185" s="3"/>
    </row>
    <row r="2186" spans="2:19" x14ac:dyDescent="0.5">
      <c r="B2186" s="5" t="str">
        <f t="shared" si="2247"/>
        <v>SPS1</v>
      </c>
      <c r="C2186" s="5" t="str">
        <f t="shared" si="2248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1.4439787523308801E-4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2.7967391827095598E-2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(SUMPRODUCT(("var_ncap"=[1]OUT_TransportEnergyCons!$B$4:$B$10000)*1,ISNUMBER(SEARCH("T_B_u*ICE*nga*s2",[1]OUT_TransportEnergyCons!$A$4:$A$10000))*1,[1]OUT_TransportEnergyCons!H$4:H$10000))*1000</f>
        <v>0</v>
      </c>
      <c r="K2186" s="1" cm="1">
        <f t="array" ref="K2186">(SUMPRODUCT(("var_ncap"=[1]OUT_TransportEnergyCons!$B$4:$B$10000)*1,ISNUMBER(SEARCH("T_B_u*ICE*nga*s2",[1]OUT_TransportEnergyCons!$A$4:$A$10000))*1,[1]OUT_TransportEnergyCons!I$4:I$10000))*1000</f>
        <v>0</v>
      </c>
      <c r="L2186" s="1" cm="1">
        <f t="array" ref="L2186">(SUMPRODUCT(("var_ncap"=[1]OUT_TransportEnergyCons!$B$4:$B$10000)*1,ISNUMBER(SEARCH("T_B_u*ICE*nga*s2",[1]OUT_TransportEnergyCons!$A$4:$A$10000))*1,[1]OUT_TransportEnergyCons!J$4:J$10000))*1000</f>
        <v>0</v>
      </c>
      <c r="M2186" s="1" cm="1">
        <f t="array" ref="M2186">(SUMPRODUCT(("var_ncap"=[1]OUT_TransportEnergyCons!$B$4:$B$10000)*1,ISNUMBER(SEARCH("T_B_u*ICE*nga*s2",[1]OUT_TransportEnergyCons!$A$4:$A$10000))*1,[1]OUT_TransportEnergyCons!K$4:K$10000))*1000</f>
        <v>0</v>
      </c>
      <c r="N2186" s="1" cm="1">
        <f t="array" ref="N2186">(SUMPRODUCT(("var_ncap"=[1]OUT_TransportEnergyCons!$B$4:$B$10000)*1,ISNUMBER(SEARCH("T_B_u*ICE*nga*s2",[1]OUT_TransportEnergyCons!$A$4:$A$10000))*1,[1]OUT_TransportEnergyCons!L$4:L$10000))*1000</f>
        <v>0</v>
      </c>
      <c r="O2186" s="1" cm="1">
        <f t="array" ref="O2186">(SUMPRODUCT(("var_ncap"=[1]OUT_TransportEnergyCons!$B$4:$B$10000)*1,ISNUMBER(SEARCH("T_B_u*ICE*nga*s2",[1]OUT_TransportEnergyCons!$A$4:$A$10000))*1,[1]OUT_TransportEnergyCons!M$4:M$10000))*1000</f>
        <v>0</v>
      </c>
      <c r="P2186" s="1" cm="1">
        <f t="array" ref="P2186">(SUMPRODUCT(("var_ncap"=[1]OUT_TransportEnergyCons!$B$4:$B$10000)*1,ISNUMBER(SEARCH("T_B_u*ICE*nga*s2",[1]OUT_TransportEnergyCons!$A$4:$A$10000))*1,[1]OUT_TransportEnergyCons!N$4:N$10000))*1000</f>
        <v>0</v>
      </c>
      <c r="Q2186" s="1" cm="1">
        <f t="array" ref="Q2186">(SUMPRODUCT(("var_ncap"=[1]OUT_TransportEnergyCons!$B$4:$B$10000)*1,ISNUMBER(SEARCH("T_B_u*ICE*nga*s2",[1]OUT_TransportEnergyCons!$A$4:$A$10000))*1,[1]OUT_TransportEnergyCons!O$4:O$10000))*1000</f>
        <v>0</v>
      </c>
      <c r="S2186" s="3"/>
    </row>
    <row r="2187" spans="2:19" x14ac:dyDescent="0.5">
      <c r="B2187" s="5" t="str">
        <f t="shared" si="2247"/>
        <v>SPS1</v>
      </c>
      <c r="C2187" s="5" t="str">
        <f t="shared" si="2248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6.5648414216518093E-5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3.1625450383193198E-4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(SUMPRODUCT(("var_ncap"=[1]OUT_TransportEnergyCons!$B$4:$B$10000)*1,ISNUMBER(SEARCH("T_B_u*ICE*nga*s3",[1]OUT_TransportEnergyCons!$A$4:$A$10000))*1,[1]OUT_TransportEnergyCons!H$4:H$10000))*1000</f>
        <v>0</v>
      </c>
      <c r="K2187" s="1" cm="1">
        <f t="array" ref="K2187">(SUMPRODUCT(("var_ncap"=[1]OUT_TransportEnergyCons!$B$4:$B$10000)*1,ISNUMBER(SEARCH("T_B_u*ICE*nga*s3",[1]OUT_TransportEnergyCons!$A$4:$A$10000))*1,[1]OUT_TransportEnergyCons!I$4:I$10000))*1000</f>
        <v>0</v>
      </c>
      <c r="L2187" s="1" cm="1">
        <f t="array" ref="L2187">(SUMPRODUCT(("var_ncap"=[1]OUT_TransportEnergyCons!$B$4:$B$10000)*1,ISNUMBER(SEARCH("T_B_u*ICE*nga*s3",[1]OUT_TransportEnergyCons!$A$4:$A$10000))*1,[1]OUT_TransportEnergyCons!J$4:J$10000))*1000</f>
        <v>0</v>
      </c>
      <c r="M2187" s="1" cm="1">
        <f t="array" ref="M2187">(SUMPRODUCT(("var_ncap"=[1]OUT_TransportEnergyCons!$B$4:$B$10000)*1,ISNUMBER(SEARCH("T_B_u*ICE*nga*s3",[1]OUT_TransportEnergyCons!$A$4:$A$10000))*1,[1]OUT_TransportEnergyCons!K$4:K$10000))*1000</f>
        <v>0</v>
      </c>
      <c r="N2187" s="1" cm="1">
        <f t="array" ref="N2187">(SUMPRODUCT(("var_ncap"=[1]OUT_TransportEnergyCons!$B$4:$B$10000)*1,ISNUMBER(SEARCH("T_B_u*ICE*nga*s3",[1]OUT_TransportEnergyCons!$A$4:$A$10000))*1,[1]OUT_TransportEnergyCons!L$4:L$10000))*1000</f>
        <v>0</v>
      </c>
      <c r="O2187" s="1" cm="1">
        <f t="array" ref="O2187">(SUMPRODUCT(("var_ncap"=[1]OUT_TransportEnergyCons!$B$4:$B$10000)*1,ISNUMBER(SEARCH("T_B_u*ICE*nga*s3",[1]OUT_TransportEnergyCons!$A$4:$A$10000))*1,[1]OUT_TransportEnergyCons!M$4:M$10000))*1000</f>
        <v>0</v>
      </c>
      <c r="P2187" s="1" cm="1">
        <f t="array" ref="P2187">(SUMPRODUCT(("var_ncap"=[1]OUT_TransportEnergyCons!$B$4:$B$10000)*1,ISNUMBER(SEARCH("T_B_u*ICE*nga*s3",[1]OUT_TransportEnergyCons!$A$4:$A$10000))*1,[1]OUT_TransportEnergyCons!N$4:N$10000))*1000</f>
        <v>0</v>
      </c>
      <c r="Q2187" s="1" cm="1">
        <f t="array" ref="Q2187">(SUMPRODUCT(("var_ncap"=[1]OUT_TransportEnergyCons!$B$4:$B$10000)*1,ISNUMBER(SEARCH("T_B_u*ICE*nga*s3",[1]OUT_TransportEnergyCons!$A$4:$A$10000))*1,[1]OUT_TransportEnergyCons!O$4:O$10000))*1000</f>
        <v>0</v>
      </c>
      <c r="S2187" s="3"/>
    </row>
    <row r="2188" spans="2:19" x14ac:dyDescent="0.5">
      <c r="B2188" s="5" t="str">
        <f t="shared" si="2247"/>
        <v>SPS1</v>
      </c>
      <c r="C2188" s="5" t="str">
        <f t="shared" si="2248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1.0021041112229501E-5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2.0899872652835902E-5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(SUMPRODUCT(("var_ncap"=[1]OUT_TransportEnergyCons!$B$4:$B$10000)*1,ISNUMBER(SEARCH("T_B_u*ICE*nga*s4",[1]OUT_TransportEnergyCons!$A$4:$A$10000))*1,[1]OUT_TransportEnergyCons!H$4:H$10000))*1000</f>
        <v>0</v>
      </c>
      <c r="K2188" s="1" cm="1">
        <f t="array" ref="K2188">(SUMPRODUCT(("var_ncap"=[1]OUT_TransportEnergyCons!$B$4:$B$10000)*1,ISNUMBER(SEARCH("T_B_u*ICE*nga*s4",[1]OUT_TransportEnergyCons!$A$4:$A$10000))*1,[1]OUT_TransportEnergyCons!I$4:I$10000))*1000</f>
        <v>0</v>
      </c>
      <c r="L2188" s="1" cm="1">
        <f t="array" ref="L2188">(SUMPRODUCT(("var_ncap"=[1]OUT_TransportEnergyCons!$B$4:$B$10000)*1,ISNUMBER(SEARCH("T_B_u*ICE*nga*s4",[1]OUT_TransportEnergyCons!$A$4:$A$10000))*1,[1]OUT_TransportEnergyCons!J$4:J$10000))*1000</f>
        <v>0</v>
      </c>
      <c r="M2188" s="1" cm="1">
        <f t="array" ref="M2188">(SUMPRODUCT(("var_ncap"=[1]OUT_TransportEnergyCons!$B$4:$B$10000)*1,ISNUMBER(SEARCH("T_B_u*ICE*nga*s4",[1]OUT_TransportEnergyCons!$A$4:$A$10000))*1,[1]OUT_TransportEnergyCons!K$4:K$10000))*1000</f>
        <v>0</v>
      </c>
      <c r="N2188" s="1" cm="1">
        <f t="array" ref="N2188">(SUMPRODUCT(("var_ncap"=[1]OUT_TransportEnergyCons!$B$4:$B$10000)*1,ISNUMBER(SEARCH("T_B_u*ICE*nga*s4",[1]OUT_TransportEnergyCons!$A$4:$A$10000))*1,[1]OUT_TransportEnergyCons!L$4:L$10000))*1000</f>
        <v>0</v>
      </c>
      <c r="O2188" s="1" cm="1">
        <f t="array" ref="O2188">(SUMPRODUCT(("var_ncap"=[1]OUT_TransportEnergyCons!$B$4:$B$10000)*1,ISNUMBER(SEARCH("T_B_u*ICE*nga*s4",[1]OUT_TransportEnergyCons!$A$4:$A$10000))*1,[1]OUT_TransportEnergyCons!M$4:M$10000))*1000</f>
        <v>0</v>
      </c>
      <c r="P2188" s="1" cm="1">
        <f t="array" ref="P2188">(SUMPRODUCT(("var_ncap"=[1]OUT_TransportEnergyCons!$B$4:$B$10000)*1,ISNUMBER(SEARCH("T_B_u*ICE*nga*s4",[1]OUT_TransportEnergyCons!$A$4:$A$10000))*1,[1]OUT_TransportEnergyCons!N$4:N$10000))*1000</f>
        <v>0</v>
      </c>
      <c r="Q2188" s="1" cm="1">
        <f t="array" ref="Q2188">(SUMPRODUCT(("var_ncap"=[1]OUT_TransportEnergyCons!$B$4:$B$10000)*1,ISNUMBER(SEARCH("T_B_u*ICE*nga*s4",[1]OUT_TransportEnergyCons!$A$4:$A$10000))*1,[1]OUT_TransportEnergyCons!O$4:O$10000))*1000</f>
        <v>0</v>
      </c>
      <c r="S2188" s="3"/>
    </row>
    <row r="2189" spans="2:19" x14ac:dyDescent="0.5">
      <c r="B2189" s="5" t="str">
        <f t="shared" si="2247"/>
        <v>SPS1</v>
      </c>
      <c r="C2189" s="5" t="str">
        <f t="shared" si="2248"/>
        <v>CH</v>
      </c>
      <c r="D2189" s="2" t="s">
        <v>2318</v>
      </c>
      <c r="E2189" s="2" t="s">
        <v>1999</v>
      </c>
      <c r="F2189" s="3">
        <f t="shared" ref="F2189:K2189" si="2249">SUM(F2190:F2212)</f>
        <v>0</v>
      </c>
      <c r="G2189" s="3">
        <f t="shared" si="2249"/>
        <v>0.50806827742458682</v>
      </c>
      <c r="H2189" s="3">
        <f t="shared" si="2249"/>
        <v>0.36457358939761181</v>
      </c>
      <c r="I2189" s="3">
        <f t="shared" si="2249"/>
        <v>2.757747797709603</v>
      </c>
      <c r="J2189" s="3">
        <f t="shared" si="2249"/>
        <v>1.5221570732151786</v>
      </c>
      <c r="K2189" s="3">
        <f t="shared" si="2249"/>
        <v>1.1761144447811409</v>
      </c>
      <c r="L2189" s="3">
        <f t="shared" ref="L2189:O2189" si="2250">SUM(L2190:L2212)</f>
        <v>1.0297769357954714</v>
      </c>
      <c r="M2189" s="3">
        <f t="shared" si="2250"/>
        <v>1.6002357176189754</v>
      </c>
      <c r="N2189" s="3">
        <f t="shared" si="2250"/>
        <v>1.0258595320848094</v>
      </c>
      <c r="O2189" s="3">
        <f t="shared" si="2250"/>
        <v>1.4465952534772226</v>
      </c>
      <c r="P2189" s="3">
        <f>SUM(P2190:P2212)</f>
        <v>1.6549824549270817</v>
      </c>
      <c r="Q2189" s="3">
        <f>SUM(Q2190:Q2212)</f>
        <v>0.87241657961798447</v>
      </c>
      <c r="S2189" s="3"/>
    </row>
    <row r="2190" spans="2:19" x14ac:dyDescent="0.5">
      <c r="B2190" s="5" t="str">
        <f t="shared" si="2247"/>
        <v>SPS1</v>
      </c>
      <c r="C2190" s="5" t="str">
        <f t="shared" si="2248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(SUMPRODUCT(("var_ncap"=[1]OUT_TransportEnergyCons!$B$4:$B$10000)*1,ISNUMBER(SEARCH("T_b_c*bev*ext",[1]OUT_TransportEnergyCons!$A$4:$A$10000))*1,[1]OUT_TransportEnergyCons!H$4:H$10000))*1000</f>
        <v>0</v>
      </c>
      <c r="K2190" s="1" cm="1">
        <f t="array" ref="K2190">(SUMPRODUCT(("var_ncap"=[1]OUT_TransportEnergyCons!$B$4:$B$10000)*1,ISNUMBER(SEARCH("T_b_c*bev*ext",[1]OUT_TransportEnergyCons!$A$4:$A$10000))*1,[1]OUT_TransportEnergyCons!I$4:I$10000))*1000</f>
        <v>0</v>
      </c>
      <c r="L2190" s="1" cm="1">
        <f t="array" ref="L2190">(SUMPRODUCT(("var_ncap"=[1]OUT_TransportEnergyCons!$B$4:$B$10000)*1,ISNUMBER(SEARCH("T_b_c*bev*ext",[1]OUT_TransportEnergyCons!$A$4:$A$10000))*1,[1]OUT_TransportEnergyCons!J$4:J$10000))*1000</f>
        <v>0</v>
      </c>
      <c r="M2190" s="1" cm="1">
        <f t="array" ref="M2190">(SUMPRODUCT(("var_ncap"=[1]OUT_TransportEnergyCons!$B$4:$B$10000)*1,ISNUMBER(SEARCH("T_b_c*bev*ext",[1]OUT_TransportEnergyCons!$A$4:$A$10000))*1,[1]OUT_TransportEnergyCons!K$4:K$10000))*1000</f>
        <v>0</v>
      </c>
      <c r="N2190" s="1" cm="1">
        <f t="array" ref="N2190">(SUMPRODUCT(("var_ncap"=[1]OUT_TransportEnergyCons!$B$4:$B$10000)*1,ISNUMBER(SEARCH("T_b_c*bev*ext",[1]OUT_TransportEnergyCons!$A$4:$A$10000))*1,[1]OUT_TransportEnergyCons!L$4:L$10000))*1000</f>
        <v>0</v>
      </c>
      <c r="O2190" s="1" cm="1">
        <f t="array" ref="O2190">(SUMPRODUCT(("var_ncap"=[1]OUT_TransportEnergyCons!$B$4:$B$10000)*1,ISNUMBER(SEARCH("T_b_c*bev*ext",[1]OUT_TransportEnergyCons!$A$4:$A$10000))*1,[1]OUT_TransportEnergyCons!M$4:M$10000))*1000</f>
        <v>0</v>
      </c>
      <c r="P2190" s="1" cm="1">
        <f t="array" ref="P2190">(SUMPRODUCT(("var_ncap"=[1]OUT_TransportEnergyCons!$B$4:$B$10000)*1,ISNUMBER(SEARCH("T_b_c*bev*ext",[1]OUT_TransportEnergyCons!$A$4:$A$10000))*1,[1]OUT_TransportEnergyCons!N$4:N$10000))*1000</f>
        <v>0</v>
      </c>
      <c r="Q2190" s="1" cm="1">
        <f t="array" ref="Q2190">(SUMPRODUCT(("var_ncap"=[1]OUT_TransportEnergyCons!$B$4:$B$10000)*1,ISNUMBER(SEARCH("T_b_c*bev*ext",[1]OUT_TransportEnergyCons!$A$4:$A$10000))*1,[1]OUT_TransportEnergyCons!O$4:O$10000))*1000</f>
        <v>0</v>
      </c>
      <c r="S2190" s="3"/>
    </row>
    <row r="2191" spans="2:19" x14ac:dyDescent="0.5">
      <c r="B2191" s="5" t="str">
        <f t="shared" si="2247"/>
        <v>SPS1</v>
      </c>
      <c r="C2191" s="5" t="str">
        <f t="shared" si="2248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1.07119676910034E-3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2.43672693938434E-3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1.4033820508731301</v>
      </c>
      <c r="J2191" s="1" cm="1">
        <f t="array" ref="J2191">(SUMPRODUCT(("var_ncap"=[1]OUT_TransportEnergyCons!$B$4:$B$10000)*1,ISNUMBER(SEARCH("T_b_c*bev*s1",[1]OUT_TransportEnergyCons!$A$4:$A$10000))*1,[1]OUT_TransportEnergyCons!H$4:H$10000))*1000</f>
        <v>1.3482618072554</v>
      </c>
      <c r="K2191" s="1" cm="1">
        <f t="array" ref="K2191">(SUMPRODUCT(("var_ncap"=[1]OUT_TransportEnergyCons!$B$4:$B$10000)*1,ISNUMBER(SEARCH("T_b_c*bev*s1",[1]OUT_TransportEnergyCons!$A$4:$A$10000))*1,[1]OUT_TransportEnergyCons!I$4:I$10000))*1000</f>
        <v>2.9919033318777599E-2</v>
      </c>
      <c r="L2191" s="1" cm="1">
        <f t="array" ref="L2191">(SUMPRODUCT(("var_ncap"=[1]OUT_TransportEnergyCons!$B$4:$B$10000)*1,ISNUMBER(SEARCH("T_b_c*bev*s1",[1]OUT_TransportEnergyCons!$A$4:$A$10000))*1,[1]OUT_TransportEnergyCons!J$4:J$10000))*1000</f>
        <v>0.64010549928607596</v>
      </c>
      <c r="M2191" s="1" cm="1">
        <f t="array" ref="M2191">(SUMPRODUCT(("var_ncap"=[1]OUT_TransportEnergyCons!$B$4:$B$10000)*1,ISNUMBER(SEARCH("T_b_c*bev*s1",[1]OUT_TransportEnergyCons!$A$4:$A$10000))*1,[1]OUT_TransportEnergyCons!K$4:K$10000))*1000</f>
        <v>0.70077276062134397</v>
      </c>
      <c r="N2191" s="1" cm="1">
        <f t="array" ref="N2191">(SUMPRODUCT(("var_ncap"=[1]OUT_TransportEnergyCons!$B$4:$B$10000)*1,ISNUMBER(SEARCH("T_b_c*bev*s1",[1]OUT_TransportEnergyCons!$A$4:$A$10000))*1,[1]OUT_TransportEnergyCons!L$4:L$10000))*1000</f>
        <v>0.37375502972526897</v>
      </c>
      <c r="O2191" s="1" cm="1">
        <f t="array" ref="O2191">(SUMPRODUCT(("var_ncap"=[1]OUT_TransportEnergyCons!$B$4:$B$10000)*1,ISNUMBER(SEARCH("T_b_c*bev*s1",[1]OUT_TransportEnergyCons!$A$4:$A$10000))*1,[1]OUT_TransportEnergyCons!M$4:M$10000))*1000</f>
        <v>0.62732820705525405</v>
      </c>
      <c r="P2191" s="1" cm="1">
        <f t="array" ref="P2191">(SUMPRODUCT(("var_ncap"=[1]OUT_TransportEnergyCons!$B$4:$B$10000)*1,ISNUMBER(SEARCH("T_b_c*bev*s1",[1]OUT_TransportEnergyCons!$A$4:$A$10000))*1,[1]OUT_TransportEnergyCons!N$4:N$10000))*1000</f>
        <v>0.70205289868614196</v>
      </c>
      <c r="Q2191" s="1" cm="1">
        <f t="array" ref="Q2191">(SUMPRODUCT(("var_ncap"=[1]OUT_TransportEnergyCons!$B$4:$B$10000)*1,ISNUMBER(SEARCH("T_b_c*bev*s1",[1]OUT_TransportEnergyCons!$A$4:$A$10000))*1,[1]OUT_TransportEnergyCons!O$4:O$10000))*1000</f>
        <v>0.21482199112844302</v>
      </c>
      <c r="S2191" s="3"/>
    </row>
    <row r="2192" spans="2:19" x14ac:dyDescent="0.5">
      <c r="B2192" s="5" t="str">
        <f t="shared" si="2247"/>
        <v>SPS1</v>
      </c>
      <c r="C2192" s="5" t="str">
        <f t="shared" si="2248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6.1939574887289199E-4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1.75773719157034E-3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0.59388529477650409</v>
      </c>
      <c r="J2192" s="1" cm="1">
        <f t="array" ref="J2192">(SUMPRODUCT(("var_ncap"=[1]OUT_TransportEnergyCons!$B$4:$B$10000)*1,ISNUMBER(SEARCH("T_b_c*bev*s2",[1]OUT_TransportEnergyCons!$A$4:$A$10000))*1,[1]OUT_TransportEnergyCons!H$4:H$10000))*1000</f>
        <v>2.4392929797302402E-2</v>
      </c>
      <c r="K2192" s="1" cm="1">
        <f t="array" ref="K2192">(SUMPRODUCT(("var_ncap"=[1]OUT_TransportEnergyCons!$B$4:$B$10000)*1,ISNUMBER(SEARCH("T_b_c*bev*s2",[1]OUT_TransportEnergyCons!$A$4:$A$10000))*1,[1]OUT_TransportEnergyCons!I$4:I$10000))*1000</f>
        <v>0.46940258364281301</v>
      </c>
      <c r="L2192" s="1" cm="1">
        <f t="array" ref="L2192">(SUMPRODUCT(("var_ncap"=[1]OUT_TransportEnergyCons!$B$4:$B$10000)*1,ISNUMBER(SEARCH("T_b_c*bev*s2",[1]OUT_TransportEnergyCons!$A$4:$A$10000))*1,[1]OUT_TransportEnergyCons!J$4:J$10000))*1000</f>
        <v>0.14267455799878301</v>
      </c>
      <c r="M2192" s="1" cm="1">
        <f t="array" ref="M2192">(SUMPRODUCT(("var_ncap"=[1]OUT_TransportEnergyCons!$B$4:$B$10000)*1,ISNUMBER(SEARCH("T_b_c*bev*s2",[1]OUT_TransportEnergyCons!$A$4:$A$10000))*1,[1]OUT_TransportEnergyCons!K$4:K$10000))*1000</f>
        <v>0.33335643942194204</v>
      </c>
      <c r="N2192" s="1" cm="1">
        <f t="array" ref="N2192">(SUMPRODUCT(("var_ncap"=[1]OUT_TransportEnergyCons!$B$4:$B$10000)*1,ISNUMBER(SEARCH("T_b_c*bev*s2",[1]OUT_TransportEnergyCons!$A$4:$A$10000))*1,[1]OUT_TransportEnergyCons!L$4:L$10000))*1000</f>
        <v>0.22368559450973702</v>
      </c>
      <c r="O2192" s="1" cm="1">
        <f t="array" ref="O2192">(SUMPRODUCT(("var_ncap"=[1]OUT_TransportEnergyCons!$B$4:$B$10000)*1,ISNUMBER(SEARCH("T_b_c*bev*s2",[1]OUT_TransportEnergyCons!$A$4:$A$10000))*1,[1]OUT_TransportEnergyCons!M$4:M$10000))*1000</f>
        <v>0.21847553400920702</v>
      </c>
      <c r="P2192" s="1" cm="1">
        <f t="array" ref="P2192">(SUMPRODUCT(("var_ncap"=[1]OUT_TransportEnergyCons!$B$4:$B$10000)*1,ISNUMBER(SEARCH("T_b_c*bev*s2",[1]OUT_TransportEnergyCons!$A$4:$A$10000))*1,[1]OUT_TransportEnergyCons!N$4:N$10000))*1000</f>
        <v>0.29592779141638698</v>
      </c>
      <c r="Q2192" s="1" cm="1">
        <f t="array" ref="Q2192">(SUMPRODUCT(("var_ncap"=[1]OUT_TransportEnergyCons!$B$4:$B$10000)*1,ISNUMBER(SEARCH("T_b_c*bev*s2",[1]OUT_TransportEnergyCons!$A$4:$A$10000))*1,[1]OUT_TransportEnergyCons!O$4:O$10000))*1000</f>
        <v>9.1128017744784795E-2</v>
      </c>
      <c r="S2192" s="3"/>
    </row>
    <row r="2193" spans="2:19" x14ac:dyDescent="0.5">
      <c r="B2193" s="5" t="str">
        <f t="shared" si="2247"/>
        <v>SPS1</v>
      </c>
      <c r="C2193" s="5" t="str">
        <f t="shared" si="2248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2.9776402435736899E-4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4.7418498030486902E-4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1.7127916558973201E-3</v>
      </c>
      <c r="J2193" s="1" cm="1">
        <f t="array" ref="J2193">(SUMPRODUCT(("var_ncap"=[1]OUT_TransportEnergyCons!$B$4:$B$10000)*1,ISNUMBER(SEARCH("T_b_c*bev*s3",[1]OUT_TransportEnergyCons!$A$4:$A$10000))*1,[1]OUT_TransportEnergyCons!H$4:H$10000))*1000</f>
        <v>5.2209229842430701E-3</v>
      </c>
      <c r="K2193" s="1" cm="1">
        <f t="array" ref="K2193">(SUMPRODUCT(("var_ncap"=[1]OUT_TransportEnergyCons!$B$4:$B$10000)*1,ISNUMBER(SEARCH("T_b_c*bev*s3",[1]OUT_TransportEnergyCons!$A$4:$A$10000))*1,[1]OUT_TransportEnergyCons!I$4:I$10000))*1000</f>
        <v>5.4122167396843199E-3</v>
      </c>
      <c r="L2193" s="1" cm="1">
        <f t="array" ref="L2193">(SUMPRODUCT(("var_ncap"=[1]OUT_TransportEnergyCons!$B$4:$B$10000)*1,ISNUMBER(SEARCH("T_b_c*bev*s3",[1]OUT_TransportEnergyCons!$A$4:$A$10000))*1,[1]OUT_TransportEnergyCons!J$4:J$10000))*1000</f>
        <v>9.5509997179673289E-3</v>
      </c>
      <c r="M2193" s="1" cm="1">
        <f t="array" ref="M2193">(SUMPRODUCT(("var_ncap"=[1]OUT_TransportEnergyCons!$B$4:$B$10000)*1,ISNUMBER(SEARCH("T_b_c*bev*s3",[1]OUT_TransportEnergyCons!$A$4:$A$10000))*1,[1]OUT_TransportEnergyCons!K$4:K$10000))*1000</f>
        <v>1.1552674462837701E-2</v>
      </c>
      <c r="N2193" s="1" cm="1">
        <f t="array" ref="N2193">(SUMPRODUCT(("var_ncap"=[1]OUT_TransportEnergyCons!$B$4:$B$10000)*1,ISNUMBER(SEARCH("T_b_c*bev*s3",[1]OUT_TransportEnergyCons!$A$4:$A$10000))*1,[1]OUT_TransportEnergyCons!L$4:L$10000))*1000</f>
        <v>1.1951770431146799E-2</v>
      </c>
      <c r="O2193" s="1" cm="1">
        <f t="array" ref="O2193">(SUMPRODUCT(("var_ncap"=[1]OUT_TransportEnergyCons!$B$4:$B$10000)*1,ISNUMBER(SEARCH("T_b_c*bev*s3",[1]OUT_TransportEnergyCons!$A$4:$A$10000))*1,[1]OUT_TransportEnergyCons!M$4:M$10000))*1000</f>
        <v>2.6616607151702103E-2</v>
      </c>
      <c r="P2193" s="1" cm="1">
        <f t="array" ref="P2193">(SUMPRODUCT(("var_ncap"=[1]OUT_TransportEnergyCons!$B$4:$B$10000)*1,ISNUMBER(SEARCH("T_b_c*bev*s3",[1]OUT_TransportEnergyCons!$A$4:$A$10000))*1,[1]OUT_TransportEnergyCons!N$4:N$10000))*1000</f>
        <v>3.2066665689118798E-2</v>
      </c>
      <c r="Q2193" s="1" cm="1">
        <f t="array" ref="Q2193">(SUMPRODUCT(("var_ncap"=[1]OUT_TransportEnergyCons!$B$4:$B$10000)*1,ISNUMBER(SEARCH("T_b_c*bev*s3",[1]OUT_TransportEnergyCons!$A$4:$A$10000))*1,[1]OUT_TransportEnergyCons!O$4:O$10000))*1000</f>
        <v>0.101593006880369</v>
      </c>
      <c r="S2193" s="3"/>
    </row>
    <row r="2194" spans="2:19" x14ac:dyDescent="0.5">
      <c r="B2194" s="5" t="str">
        <f t="shared" si="2247"/>
        <v>SPS1</v>
      </c>
      <c r="C2194" s="5" t="str">
        <f t="shared" si="2248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1.7586284452120201E-4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1.6921637854101201E-4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2.1947746271649699E-4</v>
      </c>
      <c r="J2194" s="1" cm="1">
        <f t="array" ref="J2194">(SUMPRODUCT(("var_ncap"=[1]OUT_TransportEnergyCons!$B$4:$B$10000)*1,ISNUMBER(SEARCH("T_b_c*bev*s4",[1]OUT_TransportEnergyCons!$A$4:$A$10000))*1,[1]OUT_TransportEnergyCons!H$4:H$10000))*1000</f>
        <v>3.4217167220199399E-4</v>
      </c>
      <c r="K2194" s="1" cm="1">
        <f t="array" ref="K2194">(SUMPRODUCT(("var_ncap"=[1]OUT_TransportEnergyCons!$B$4:$B$10000)*1,ISNUMBER(SEARCH("T_b_c*bev*s4",[1]OUT_TransportEnergyCons!$A$4:$A$10000))*1,[1]OUT_TransportEnergyCons!I$4:I$10000))*1000</f>
        <v>3.7638045131514801E-4</v>
      </c>
      <c r="L2194" s="1" cm="1">
        <f t="array" ref="L2194">(SUMPRODUCT(("var_ncap"=[1]OUT_TransportEnergyCons!$B$4:$B$10000)*1,ISNUMBER(SEARCH("T_b_c*bev*s4",[1]OUT_TransportEnergyCons!$A$4:$A$10000))*1,[1]OUT_TransportEnergyCons!J$4:J$10000))*1000</f>
        <v>4.3577815591146901E-4</v>
      </c>
      <c r="M2194" s="1" cm="1">
        <f t="array" ref="M2194">(SUMPRODUCT(("var_ncap"=[1]OUT_TransportEnergyCons!$B$4:$B$10000)*1,ISNUMBER(SEARCH("T_b_c*bev*s4",[1]OUT_TransportEnergyCons!$A$4:$A$10000))*1,[1]OUT_TransportEnergyCons!K$4:K$10000))*1000</f>
        <v>5.65231569215937E-4</v>
      </c>
      <c r="N2194" s="1" cm="1">
        <f t="array" ref="N2194">(SUMPRODUCT(("var_ncap"=[1]OUT_TransportEnergyCons!$B$4:$B$10000)*1,ISNUMBER(SEARCH("T_b_c*bev*s4",[1]OUT_TransportEnergyCons!$A$4:$A$10000))*1,[1]OUT_TransportEnergyCons!L$4:L$10000))*1000</f>
        <v>5.6828467640803295E-4</v>
      </c>
      <c r="O2194" s="1" cm="1">
        <f t="array" ref="O2194">(SUMPRODUCT(("var_ncap"=[1]OUT_TransportEnergyCons!$B$4:$B$10000)*1,ISNUMBER(SEARCH("T_b_c*bev*s4",[1]OUT_TransportEnergyCons!$A$4:$A$10000))*1,[1]OUT_TransportEnergyCons!M$4:M$10000))*1000</f>
        <v>6.9276985706855901E-4</v>
      </c>
      <c r="P2194" s="1" cm="1">
        <f t="array" ref="P2194">(SUMPRODUCT(("var_ncap"=[1]OUT_TransportEnergyCons!$B$4:$B$10000)*1,ISNUMBER(SEARCH("T_b_c*bev*s4",[1]OUT_TransportEnergyCons!$A$4:$A$10000))*1,[1]OUT_TransportEnergyCons!N$4:N$10000))*1000</f>
        <v>7.5336803546280004E-4</v>
      </c>
      <c r="Q2194" s="1" cm="1">
        <f t="array" ref="Q2194">(SUMPRODUCT(("var_ncap"=[1]OUT_TransportEnergyCons!$B$4:$B$10000)*1,ISNUMBER(SEARCH("T_b_c*bev*s4",[1]OUT_TransportEnergyCons!$A$4:$A$10000))*1,[1]OUT_TransportEnergyCons!O$4:O$10000))*1000</f>
        <v>1.0354531168851602E-3</v>
      </c>
      <c r="S2194" s="3"/>
    </row>
    <row r="2195" spans="2:19" x14ac:dyDescent="0.5">
      <c r="B2195" s="5" t="str">
        <f t="shared" si="2247"/>
        <v>SPS1</v>
      </c>
      <c r="C2195" s="5" t="str">
        <f t="shared" si="2248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1.2182062605028401E-5</v>
      </c>
      <c r="J2195" s="1" cm="1">
        <f t="array" ref="J2195">(SUMPRODUCT(("var_ncap"=[1]OUT_TransportEnergyCons!$B$4:$B$10000)*1,ISNUMBER(SEARCH("T_b_c*h2o*s1",[1]OUT_TransportEnergyCons!$A$4:$A$10000))*1,[1]OUT_TransportEnergyCons!H$4:H$10000))*1000</f>
        <v>0</v>
      </c>
      <c r="K2195" s="1" cm="1">
        <f t="array" ref="K2195">(SUMPRODUCT(("var_ncap"=[1]OUT_TransportEnergyCons!$B$4:$B$10000)*1,ISNUMBER(SEARCH("T_b_c*h2o*s1",[1]OUT_TransportEnergyCons!$A$4:$A$10000))*1,[1]OUT_TransportEnergyCons!I$4:I$10000))*1000</f>
        <v>0</v>
      </c>
      <c r="L2195" s="1" cm="1">
        <f t="array" ref="L2195">(SUMPRODUCT(("var_ncap"=[1]OUT_TransportEnergyCons!$B$4:$B$10000)*1,ISNUMBER(SEARCH("T_b_c*h2o*s1",[1]OUT_TransportEnergyCons!$A$4:$A$10000))*1,[1]OUT_TransportEnergyCons!J$4:J$10000))*1000</f>
        <v>0</v>
      </c>
      <c r="M2195" s="1" cm="1">
        <f t="array" ref="M2195">(SUMPRODUCT(("var_ncap"=[1]OUT_TransportEnergyCons!$B$4:$B$10000)*1,ISNUMBER(SEARCH("T_b_c*h2o*s1",[1]OUT_TransportEnergyCons!$A$4:$A$10000))*1,[1]OUT_TransportEnergyCons!K$4:K$10000))*1000</f>
        <v>0</v>
      </c>
      <c r="N2195" s="1" cm="1">
        <f t="array" ref="N2195">(SUMPRODUCT(("var_ncap"=[1]OUT_TransportEnergyCons!$B$4:$B$10000)*1,ISNUMBER(SEARCH("T_b_c*h2o*s1",[1]OUT_TransportEnergyCons!$A$4:$A$10000))*1,[1]OUT_TransportEnergyCons!L$4:L$10000))*1000</f>
        <v>0</v>
      </c>
      <c r="O2195" s="1" cm="1">
        <f t="array" ref="O2195">(SUMPRODUCT(("var_ncap"=[1]OUT_TransportEnergyCons!$B$4:$B$10000)*1,ISNUMBER(SEARCH("T_b_c*h2o*s1",[1]OUT_TransportEnergyCons!$A$4:$A$10000))*1,[1]OUT_TransportEnergyCons!M$4:M$10000))*1000</f>
        <v>0</v>
      </c>
      <c r="P2195" s="1" cm="1">
        <f t="array" ref="P2195">(SUMPRODUCT(("var_ncap"=[1]OUT_TransportEnergyCons!$B$4:$B$10000)*1,ISNUMBER(SEARCH("T_b_c*h2o*s1",[1]OUT_TransportEnergyCons!$A$4:$A$10000))*1,[1]OUT_TransportEnergyCons!N$4:N$10000))*1000</f>
        <v>0</v>
      </c>
      <c r="Q2195" s="1" cm="1">
        <f t="array" ref="Q2195">(SUMPRODUCT(("var_ncap"=[1]OUT_TransportEnergyCons!$B$4:$B$10000)*1,ISNUMBER(SEARCH("T_b_c*h2o*s1",[1]OUT_TransportEnergyCons!$A$4:$A$10000))*1,[1]OUT_TransportEnergyCons!O$4:O$10000))*1000</f>
        <v>0</v>
      </c>
      <c r="S2195" s="3"/>
    </row>
    <row r="2196" spans="2:19" x14ac:dyDescent="0.5">
      <c r="B2196" s="5" t="str">
        <f t="shared" si="2247"/>
        <v>SPS1</v>
      </c>
      <c r="C2196" s="5" t="str">
        <f t="shared" si="2248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1.2503233194081101E-5</v>
      </c>
      <c r="J2196" s="1" cm="1">
        <f t="array" ref="J2196">(SUMPRODUCT(("var_ncap"=[1]OUT_TransportEnergyCons!$B$4:$B$10000)*1,ISNUMBER(SEARCH("T_b_c*h2o*s2",[1]OUT_TransportEnergyCons!$A$4:$A$10000))*1,[1]OUT_TransportEnergyCons!H$4:H$10000))*1000</f>
        <v>0</v>
      </c>
      <c r="K2196" s="1" cm="1">
        <f t="array" ref="K2196">(SUMPRODUCT(("var_ncap"=[1]OUT_TransportEnergyCons!$B$4:$B$10000)*1,ISNUMBER(SEARCH("T_b_c*h2o*s2",[1]OUT_TransportEnergyCons!$A$4:$A$10000))*1,[1]OUT_TransportEnergyCons!I$4:I$10000))*1000</f>
        <v>0</v>
      </c>
      <c r="L2196" s="1" cm="1">
        <f t="array" ref="L2196">(SUMPRODUCT(("var_ncap"=[1]OUT_TransportEnergyCons!$B$4:$B$10000)*1,ISNUMBER(SEARCH("T_b_c*h2o*s2",[1]OUT_TransportEnergyCons!$A$4:$A$10000))*1,[1]OUT_TransportEnergyCons!J$4:J$10000))*1000</f>
        <v>0</v>
      </c>
      <c r="M2196" s="1" cm="1">
        <f t="array" ref="M2196">(SUMPRODUCT(("var_ncap"=[1]OUT_TransportEnergyCons!$B$4:$B$10000)*1,ISNUMBER(SEARCH("T_b_c*h2o*s2",[1]OUT_TransportEnergyCons!$A$4:$A$10000))*1,[1]OUT_TransportEnergyCons!K$4:K$10000))*1000</f>
        <v>0</v>
      </c>
      <c r="N2196" s="1" cm="1">
        <f t="array" ref="N2196">(SUMPRODUCT(("var_ncap"=[1]OUT_TransportEnergyCons!$B$4:$B$10000)*1,ISNUMBER(SEARCH("T_b_c*h2o*s2",[1]OUT_TransportEnergyCons!$A$4:$A$10000))*1,[1]OUT_TransportEnergyCons!L$4:L$10000))*1000</f>
        <v>0</v>
      </c>
      <c r="O2196" s="1" cm="1">
        <f t="array" ref="O2196">(SUMPRODUCT(("var_ncap"=[1]OUT_TransportEnergyCons!$B$4:$B$10000)*1,ISNUMBER(SEARCH("T_b_c*h2o*s2",[1]OUT_TransportEnergyCons!$A$4:$A$10000))*1,[1]OUT_TransportEnergyCons!M$4:M$10000))*1000</f>
        <v>0</v>
      </c>
      <c r="P2196" s="1" cm="1">
        <f t="array" ref="P2196">(SUMPRODUCT(("var_ncap"=[1]OUT_TransportEnergyCons!$B$4:$B$10000)*1,ISNUMBER(SEARCH("T_b_c*h2o*s2",[1]OUT_TransportEnergyCons!$A$4:$A$10000))*1,[1]OUT_TransportEnergyCons!N$4:N$10000))*1000</f>
        <v>0</v>
      </c>
      <c r="Q2196" s="1" cm="1">
        <f t="array" ref="Q2196">(SUMPRODUCT(("var_ncap"=[1]OUT_TransportEnergyCons!$B$4:$B$10000)*1,ISNUMBER(SEARCH("T_b_c*h2o*s2",[1]OUT_TransportEnergyCons!$A$4:$A$10000))*1,[1]OUT_TransportEnergyCons!O$4:O$10000))*1000</f>
        <v>0</v>
      </c>
      <c r="S2196" s="3"/>
    </row>
    <row r="2197" spans="2:19" x14ac:dyDescent="0.5">
      <c r="B2197" s="5" t="str">
        <f t="shared" si="2247"/>
        <v>SPS1</v>
      </c>
      <c r="C2197" s="5" t="str">
        <f t="shared" si="2248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1.402189246994E-5</v>
      </c>
      <c r="J2197" s="1" cm="1">
        <f t="array" ref="J2197">(SUMPRODUCT(("var_ncap"=[1]OUT_TransportEnergyCons!$B$4:$B$10000)*1,ISNUMBER(SEARCH("T_b_c*h2o*s3",[1]OUT_TransportEnergyCons!$A$4:$A$10000))*1,[1]OUT_TransportEnergyCons!H$4:H$10000))*1000</f>
        <v>0</v>
      </c>
      <c r="K2197" s="1" cm="1">
        <f t="array" ref="K2197">(SUMPRODUCT(("var_ncap"=[1]OUT_TransportEnergyCons!$B$4:$B$10000)*1,ISNUMBER(SEARCH("T_b_c*h2o*s3",[1]OUT_TransportEnergyCons!$A$4:$A$10000))*1,[1]OUT_TransportEnergyCons!I$4:I$10000))*1000</f>
        <v>0</v>
      </c>
      <c r="L2197" s="1" cm="1">
        <f t="array" ref="L2197">(SUMPRODUCT(("var_ncap"=[1]OUT_TransportEnergyCons!$B$4:$B$10000)*1,ISNUMBER(SEARCH("T_b_c*h2o*s3",[1]OUT_TransportEnergyCons!$A$4:$A$10000))*1,[1]OUT_TransportEnergyCons!J$4:J$10000))*1000</f>
        <v>0</v>
      </c>
      <c r="M2197" s="1" cm="1">
        <f t="array" ref="M2197">(SUMPRODUCT(("var_ncap"=[1]OUT_TransportEnergyCons!$B$4:$B$10000)*1,ISNUMBER(SEARCH("T_b_c*h2o*s3",[1]OUT_TransportEnergyCons!$A$4:$A$10000))*1,[1]OUT_TransportEnergyCons!K$4:K$10000))*1000</f>
        <v>0</v>
      </c>
      <c r="N2197" s="1" cm="1">
        <f t="array" ref="N2197">(SUMPRODUCT(("var_ncap"=[1]OUT_TransportEnergyCons!$B$4:$B$10000)*1,ISNUMBER(SEARCH("T_b_c*h2o*s3",[1]OUT_TransportEnergyCons!$A$4:$A$10000))*1,[1]OUT_TransportEnergyCons!L$4:L$10000))*1000</f>
        <v>0</v>
      </c>
      <c r="O2197" s="1" cm="1">
        <f t="array" ref="O2197">(SUMPRODUCT(("var_ncap"=[1]OUT_TransportEnergyCons!$B$4:$B$10000)*1,ISNUMBER(SEARCH("T_b_c*h2o*s3",[1]OUT_TransportEnergyCons!$A$4:$A$10000))*1,[1]OUT_TransportEnergyCons!M$4:M$10000))*1000</f>
        <v>0</v>
      </c>
      <c r="P2197" s="1" cm="1">
        <f t="array" ref="P2197">(SUMPRODUCT(("var_ncap"=[1]OUT_TransportEnergyCons!$B$4:$B$10000)*1,ISNUMBER(SEARCH("T_b_c*h2o*s3",[1]OUT_TransportEnergyCons!$A$4:$A$10000))*1,[1]OUT_TransportEnergyCons!N$4:N$10000))*1000</f>
        <v>0</v>
      </c>
      <c r="Q2197" s="1" cm="1">
        <f t="array" ref="Q2197">(SUMPRODUCT(("var_ncap"=[1]OUT_TransportEnergyCons!$B$4:$B$10000)*1,ISNUMBER(SEARCH("T_b_c*h2o*s3",[1]OUT_TransportEnergyCons!$A$4:$A$10000))*1,[1]OUT_TransportEnergyCons!O$4:O$10000))*1000</f>
        <v>0</v>
      </c>
      <c r="S2197" s="3"/>
    </row>
    <row r="2198" spans="2:19" x14ac:dyDescent="0.5">
      <c r="B2198" s="5" t="str">
        <f t="shared" ref="B2198:B2232" si="2251">B2197</f>
        <v>SPS1</v>
      </c>
      <c r="C2198" s="5" t="str">
        <f t="shared" ref="C2198:C2232" si="2252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(SUMPRODUCT(("var_ncap"=[1]OUT_TransportEnergyCons!$B$4:$B$10000)*1,ISNUMBER(SEARCH("T_b_c*h2o*s4",[1]OUT_TransportEnergyCons!$A$4:$A$10000))*1,[1]OUT_TransportEnergyCons!H$4:H$10000))*1000</f>
        <v>0</v>
      </c>
      <c r="K2198" s="1" cm="1">
        <f t="array" ref="K2198">(SUMPRODUCT(("var_ncap"=[1]OUT_TransportEnergyCons!$B$4:$B$10000)*1,ISNUMBER(SEARCH("T_b_c*h2o*s4",[1]OUT_TransportEnergyCons!$A$4:$A$10000))*1,[1]OUT_TransportEnergyCons!I$4:I$10000))*1000</f>
        <v>0</v>
      </c>
      <c r="L2198" s="1" cm="1">
        <f t="array" ref="L2198">(SUMPRODUCT(("var_ncap"=[1]OUT_TransportEnergyCons!$B$4:$B$10000)*1,ISNUMBER(SEARCH("T_b_c*h2o*s4",[1]OUT_TransportEnergyCons!$A$4:$A$10000))*1,[1]OUT_TransportEnergyCons!J$4:J$10000))*1000</f>
        <v>0</v>
      </c>
      <c r="M2198" s="1" cm="1">
        <f t="array" ref="M2198">(SUMPRODUCT(("var_ncap"=[1]OUT_TransportEnergyCons!$B$4:$B$10000)*1,ISNUMBER(SEARCH("T_b_c*h2o*s4",[1]OUT_TransportEnergyCons!$A$4:$A$10000))*1,[1]OUT_TransportEnergyCons!K$4:K$10000))*1000</f>
        <v>0</v>
      </c>
      <c r="N2198" s="1" cm="1">
        <f t="array" ref="N2198">(SUMPRODUCT(("var_ncap"=[1]OUT_TransportEnergyCons!$B$4:$B$10000)*1,ISNUMBER(SEARCH("T_b_c*h2o*s4",[1]OUT_TransportEnergyCons!$A$4:$A$10000))*1,[1]OUT_TransportEnergyCons!L$4:L$10000))*1000</f>
        <v>0</v>
      </c>
      <c r="O2198" s="1" cm="1">
        <f t="array" ref="O2198">(SUMPRODUCT(("var_ncap"=[1]OUT_TransportEnergyCons!$B$4:$B$10000)*1,ISNUMBER(SEARCH("T_b_c*h2o*s4",[1]OUT_TransportEnergyCons!$A$4:$A$10000))*1,[1]OUT_TransportEnergyCons!M$4:M$10000))*1000</f>
        <v>0</v>
      </c>
      <c r="P2198" s="1" cm="1">
        <f t="array" ref="P2198">(SUMPRODUCT(("var_ncap"=[1]OUT_TransportEnergyCons!$B$4:$B$10000)*1,ISNUMBER(SEARCH("T_b_c*h2o*s4",[1]OUT_TransportEnergyCons!$A$4:$A$10000))*1,[1]OUT_TransportEnergyCons!N$4:N$10000))*1000</f>
        <v>0</v>
      </c>
      <c r="Q2198" s="1" cm="1">
        <f t="array" ref="Q2198">(SUMPRODUCT(("var_ncap"=[1]OUT_TransportEnergyCons!$B$4:$B$10000)*1,ISNUMBER(SEARCH("T_b_c*h2o*s4",[1]OUT_TransportEnergyCons!$A$4:$A$10000))*1,[1]OUT_TransportEnergyCons!O$4:O$10000))*1000</f>
        <v>0</v>
      </c>
      <c r="S2198" s="3"/>
    </row>
    <row r="2199" spans="2:19" x14ac:dyDescent="0.5">
      <c r="B2199" s="5" t="str">
        <f t="shared" si="2251"/>
        <v>SPS1</v>
      </c>
      <c r="C2199" s="5" t="str">
        <f t="shared" si="2252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5.5651774801828398E-3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1.6957209166213101E-3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1.8146369521945501E-3</v>
      </c>
      <c r="J2199" s="1" cm="1">
        <f t="array" ref="J2199">(SUMPRODUCT(("var_ncap"=[1]OUT_TransportEnergyCons!$B$4:$B$10000)*1,ISNUMBER(SEARCH("T_b_c*hyb*DSL*s1",[1]OUT_TransportEnergyCons!$A$4:$A$10000))*1,[1]OUT_TransportEnergyCons!H$4:H$10000))*1000</f>
        <v>2.2796794658911299E-2</v>
      </c>
      <c r="K2199" s="1" cm="1">
        <f t="array" ref="K2199">(SUMPRODUCT(("var_ncap"=[1]OUT_TransportEnergyCons!$B$4:$B$10000)*1,ISNUMBER(SEARCH("T_b_c*hyb*DSL*s1",[1]OUT_TransportEnergyCons!$A$4:$A$10000))*1,[1]OUT_TransportEnergyCons!I$4:I$10000))*1000</f>
        <v>7.4434088352158794E-3</v>
      </c>
      <c r="L2199" s="1" cm="1">
        <f t="array" ref="L2199">(SUMPRODUCT(("var_ncap"=[1]OUT_TransportEnergyCons!$B$4:$B$10000)*1,ISNUMBER(SEARCH("T_b_c*hyb*DSL*s1",[1]OUT_TransportEnergyCons!$A$4:$A$10000))*1,[1]OUT_TransportEnergyCons!J$4:J$10000))*1000</f>
        <v>2.8128592981712299E-2</v>
      </c>
      <c r="M2199" s="1" cm="1">
        <f t="array" ref="M2199">(SUMPRODUCT(("var_ncap"=[1]OUT_TransportEnergyCons!$B$4:$B$10000)*1,ISNUMBER(SEARCH("T_b_c*hyb*DSL*s1",[1]OUT_TransportEnergyCons!$A$4:$A$10000))*1,[1]OUT_TransportEnergyCons!K$4:K$10000))*1000</f>
        <v>5.40061587039984E-2</v>
      </c>
      <c r="N2199" s="1" cm="1">
        <f t="array" ref="N2199">(SUMPRODUCT(("var_ncap"=[1]OUT_TransportEnergyCons!$B$4:$B$10000)*1,ISNUMBER(SEARCH("T_b_c*hyb*DSL*s1",[1]OUT_TransportEnergyCons!$A$4:$A$10000))*1,[1]OUT_TransportEnergyCons!L$4:L$10000))*1000</f>
        <v>5.7137055382053298E-2</v>
      </c>
      <c r="O2199" s="1" cm="1">
        <f t="array" ref="O2199">(SUMPRODUCT(("var_ncap"=[1]OUT_TransportEnergyCons!$B$4:$B$10000)*1,ISNUMBER(SEARCH("T_b_c*hyb*DSL*s1",[1]OUT_TransportEnergyCons!$A$4:$A$10000))*1,[1]OUT_TransportEnergyCons!M$4:M$10000))*1000</f>
        <v>0.110901036856005</v>
      </c>
      <c r="P2199" s="1" cm="1">
        <f t="array" ref="P2199">(SUMPRODUCT(("var_ncap"=[1]OUT_TransportEnergyCons!$B$4:$B$10000)*1,ISNUMBER(SEARCH("T_b_c*hyb*DSL*s1",[1]OUT_TransportEnergyCons!$A$4:$A$10000))*1,[1]OUT_TransportEnergyCons!N$4:N$10000))*1000</f>
        <v>8.3070222399628704E-2</v>
      </c>
      <c r="Q2199" s="1" cm="1">
        <f t="array" ref="Q2199">(SUMPRODUCT(("var_ncap"=[1]OUT_TransportEnergyCons!$B$4:$B$10000)*1,ISNUMBER(SEARCH("T_b_c*hyb*DSL*s1",[1]OUT_TransportEnergyCons!$A$4:$A$10000))*1,[1]OUT_TransportEnergyCons!O$4:O$10000))*1000</f>
        <v>0.14161512907424498</v>
      </c>
      <c r="S2199" s="3"/>
    </row>
    <row r="2200" spans="2:19" x14ac:dyDescent="0.5">
      <c r="B2200" s="5" t="str">
        <f t="shared" si="2251"/>
        <v>SPS1</v>
      </c>
      <c r="C2200" s="5" t="str">
        <f t="shared" si="2252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1.0978376272621901E-3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0.14970390773336698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0.499052171274663</v>
      </c>
      <c r="J2200" s="1" cm="1">
        <f t="array" ref="J2200">(SUMPRODUCT(("var_ncap"=[1]OUT_TransportEnergyCons!$B$4:$B$10000)*1,ISNUMBER(SEARCH("T_b_c*hyb*DSL*s2",[1]OUT_TransportEnergyCons!$A$4:$A$10000))*1,[1]OUT_TransportEnergyCons!H$4:H$10000))*1000</f>
        <v>5.5737304009037203E-2</v>
      </c>
      <c r="K2200" s="1" cm="1">
        <f t="array" ref="K2200">(SUMPRODUCT(("var_ncap"=[1]OUT_TransportEnergyCons!$B$4:$B$10000)*1,ISNUMBER(SEARCH("T_b_c*hyb*DSL*s2",[1]OUT_TransportEnergyCons!$A$4:$A$10000))*1,[1]OUT_TransportEnergyCons!I$4:I$10000))*1000</f>
        <v>0.47185334075669699</v>
      </c>
      <c r="L2200" s="1" cm="1">
        <f t="array" ref="L2200">(SUMPRODUCT(("var_ncap"=[1]OUT_TransportEnergyCons!$B$4:$B$10000)*1,ISNUMBER(SEARCH("T_b_c*hyb*DSL*s2",[1]OUT_TransportEnergyCons!$A$4:$A$10000))*1,[1]OUT_TransportEnergyCons!J$4:J$10000))*1000</f>
        <v>0.128602802654569</v>
      </c>
      <c r="M2200" s="1" cm="1">
        <f t="array" ref="M2200">(SUMPRODUCT(("var_ncap"=[1]OUT_TransportEnergyCons!$B$4:$B$10000)*1,ISNUMBER(SEARCH("T_b_c*hyb*DSL*s2",[1]OUT_TransportEnergyCons!$A$4:$A$10000))*1,[1]OUT_TransportEnergyCons!K$4:K$10000))*1000</f>
        <v>0.33195595789478799</v>
      </c>
      <c r="N2200" s="1" cm="1">
        <f t="array" ref="N2200">(SUMPRODUCT(("var_ncap"=[1]OUT_TransportEnergyCons!$B$4:$B$10000)*1,ISNUMBER(SEARCH("T_b_c*hyb*DSL*s2",[1]OUT_TransportEnergyCons!$A$4:$A$10000))*1,[1]OUT_TransportEnergyCons!L$4:L$10000))*1000</f>
        <v>0.286170940227786</v>
      </c>
      <c r="O2200" s="1" cm="1">
        <f t="array" ref="O2200">(SUMPRODUCT(("var_ncap"=[1]OUT_TransportEnergyCons!$B$4:$B$10000)*1,ISNUMBER(SEARCH("T_b_c*hyb*DSL*s2",[1]OUT_TransportEnergyCons!$A$4:$A$10000))*1,[1]OUT_TransportEnergyCons!M$4:M$10000))*1000</f>
        <v>0.26719712369611803</v>
      </c>
      <c r="P2200" s="1" cm="1">
        <f t="array" ref="P2200">(SUMPRODUCT(("var_ncap"=[1]OUT_TransportEnergyCons!$B$4:$B$10000)*1,ISNUMBER(SEARCH("T_b_c*hyb*DSL*s2",[1]OUT_TransportEnergyCons!$A$4:$A$10000))*1,[1]OUT_TransportEnergyCons!N$4:N$10000))*1000</f>
        <v>0.50102510929038202</v>
      </c>
      <c r="Q2200" s="1" cm="1">
        <f t="array" ref="Q2200">(SUMPRODUCT(("var_ncap"=[1]OUT_TransportEnergyCons!$B$4:$B$10000)*1,ISNUMBER(SEARCH("T_b_c*hyb*DSL*s2",[1]OUT_TransportEnergyCons!$A$4:$A$10000))*1,[1]OUT_TransportEnergyCons!O$4:O$10000))*1000</f>
        <v>0.193829276677499</v>
      </c>
      <c r="S2200" s="3"/>
    </row>
    <row r="2201" spans="2:19" x14ac:dyDescent="0.5">
      <c r="B2201" s="5" t="str">
        <f t="shared" si="2251"/>
        <v>SPS1</v>
      </c>
      <c r="C2201" s="5" t="str">
        <f t="shared" si="2252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4.9131130234857101E-4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6.0356154160340798E-3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0.25757828042097397</v>
      </c>
      <c r="J2201" s="1" cm="1">
        <f t="array" ref="J2201">(SUMPRODUCT(("var_ncap"=[1]OUT_TransportEnergyCons!$B$4:$B$10000)*1,ISNUMBER(SEARCH("T_b_c*hyb*DSL*s3",[1]OUT_TransportEnergyCons!$A$4:$A$10000))*1,[1]OUT_TransportEnergyCons!H$4:H$10000))*1000</f>
        <v>6.5311286521006096E-2</v>
      </c>
      <c r="K2201" s="1" cm="1">
        <f t="array" ref="K2201">(SUMPRODUCT(("var_ncap"=[1]OUT_TransportEnergyCons!$B$4:$B$10000)*1,ISNUMBER(SEARCH("T_b_c*hyb*DSL*s3",[1]OUT_TransportEnergyCons!$A$4:$A$10000))*1,[1]OUT_TransportEnergyCons!I$4:I$10000))*1000</f>
        <v>0.19160381676261901</v>
      </c>
      <c r="L2201" s="1" cm="1">
        <f t="array" ref="L2201">(SUMPRODUCT(("var_ncap"=[1]OUT_TransportEnergyCons!$B$4:$B$10000)*1,ISNUMBER(SEARCH("T_b_c*hyb*DSL*s3",[1]OUT_TransportEnergyCons!$A$4:$A$10000))*1,[1]OUT_TransportEnergyCons!J$4:J$10000))*1000</f>
        <v>8.0157057788204603E-2</v>
      </c>
      <c r="M2201" s="1" cm="1">
        <f t="array" ref="M2201">(SUMPRODUCT(("var_ncap"=[1]OUT_TransportEnergyCons!$B$4:$B$10000)*1,ISNUMBER(SEARCH("T_b_c*hyb*DSL*s3",[1]OUT_TransportEnergyCons!$A$4:$A$10000))*1,[1]OUT_TransportEnergyCons!K$4:K$10000))*1000</f>
        <v>0.167877376040794</v>
      </c>
      <c r="N2201" s="1" cm="1">
        <f t="array" ref="N2201">(SUMPRODUCT(("var_ncap"=[1]OUT_TransportEnergyCons!$B$4:$B$10000)*1,ISNUMBER(SEARCH("T_b_c*hyb*DSL*s3",[1]OUT_TransportEnergyCons!$A$4:$A$10000))*1,[1]OUT_TransportEnergyCons!L$4:L$10000))*1000</f>
        <v>7.2442334141859813E-2</v>
      </c>
      <c r="O2201" s="1" cm="1">
        <f t="array" ref="O2201">(SUMPRODUCT(("var_ncap"=[1]OUT_TransportEnergyCons!$B$4:$B$10000)*1,ISNUMBER(SEARCH("T_b_c*hyb*DSL*s3",[1]OUT_TransportEnergyCons!$A$4:$A$10000))*1,[1]OUT_TransportEnergyCons!M$4:M$10000))*1000</f>
        <v>0.19519242978755499</v>
      </c>
      <c r="P2201" s="1" cm="1">
        <f t="array" ref="P2201">(SUMPRODUCT(("var_ncap"=[1]OUT_TransportEnergyCons!$B$4:$B$10000)*1,ISNUMBER(SEARCH("T_b_c*hyb*DSL*s3",[1]OUT_TransportEnergyCons!$A$4:$A$10000))*1,[1]OUT_TransportEnergyCons!N$4:N$10000))*1000</f>
        <v>3.9881513843274499E-2</v>
      </c>
      <c r="Q2201" s="1" cm="1">
        <f t="array" ref="Q2201">(SUMPRODUCT(("var_ncap"=[1]OUT_TransportEnergyCons!$B$4:$B$10000)*1,ISNUMBER(SEARCH("T_b_c*hyb*DSL*s3",[1]OUT_TransportEnergyCons!$A$4:$A$10000))*1,[1]OUT_TransportEnergyCons!O$4:O$10000))*1000</f>
        <v>0.128115688495063</v>
      </c>
      <c r="S2201" s="3"/>
    </row>
    <row r="2202" spans="2:19" x14ac:dyDescent="0.5">
      <c r="B2202" s="5" t="str">
        <f t="shared" si="2251"/>
        <v>SPS1</v>
      </c>
      <c r="C2202" s="5" t="str">
        <f t="shared" si="2252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7.6243163248699899E-5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6.3514821912054803E-5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6.4387105254310305E-5</v>
      </c>
      <c r="J2202" s="1" cm="1">
        <f t="array" ref="J2202">(SUMPRODUCT(("var_ncap"=[1]OUT_TransportEnergyCons!$B$4:$B$10000)*1,ISNUMBER(SEARCH("T_b_c*hyb*DSL*s4",[1]OUT_TransportEnergyCons!$A$4:$A$10000))*1,[1]OUT_TransportEnergyCons!H$4:H$10000))*1000</f>
        <v>9.3856317076162991E-5</v>
      </c>
      <c r="K2202" s="1" cm="1">
        <f t="array" ref="K2202">(SUMPRODUCT(("var_ncap"=[1]OUT_TransportEnergyCons!$B$4:$B$10000)*1,ISNUMBER(SEARCH("T_b_c*hyb*DSL*s4",[1]OUT_TransportEnergyCons!$A$4:$A$10000))*1,[1]OUT_TransportEnergyCons!I$4:I$10000))*1000</f>
        <v>1.03664274018921E-4</v>
      </c>
      <c r="L2202" s="1" cm="1">
        <f t="array" ref="L2202">(SUMPRODUCT(("var_ncap"=[1]OUT_TransportEnergyCons!$B$4:$B$10000)*1,ISNUMBER(SEARCH("T_b_c*hyb*DSL*s4",[1]OUT_TransportEnergyCons!$A$4:$A$10000))*1,[1]OUT_TransportEnergyCons!J$4:J$10000))*1000</f>
        <v>1.21647212247614E-4</v>
      </c>
      <c r="M2202" s="1" cm="1">
        <f t="array" ref="M2202">(SUMPRODUCT(("var_ncap"=[1]OUT_TransportEnergyCons!$B$4:$B$10000)*1,ISNUMBER(SEARCH("T_b_c*hyb*DSL*s4",[1]OUT_TransportEnergyCons!$A$4:$A$10000))*1,[1]OUT_TransportEnergyCons!K$4:K$10000))*1000</f>
        <v>1.4911890405536597E-4</v>
      </c>
      <c r="N2202" s="1" cm="1">
        <f t="array" ref="N2202">(SUMPRODUCT(("var_ncap"=[1]OUT_TransportEnergyCons!$B$4:$B$10000)*1,ISNUMBER(SEARCH("T_b_c*hyb*DSL*s4",[1]OUT_TransportEnergyCons!$A$4:$A$10000))*1,[1]OUT_TransportEnergyCons!L$4:L$10000))*1000</f>
        <v>1.4852299054952402E-4</v>
      </c>
      <c r="O2202" s="1" cm="1">
        <f t="array" ref="O2202">(SUMPRODUCT(("var_ncap"=[1]OUT_TransportEnergyCons!$B$4:$B$10000)*1,ISNUMBER(SEARCH("T_b_c*hyb*DSL*s4",[1]OUT_TransportEnergyCons!$A$4:$A$10000))*1,[1]OUT_TransportEnergyCons!M$4:M$10000))*1000</f>
        <v>1.9154506431284801E-4</v>
      </c>
      <c r="P2202" s="1" cm="1">
        <f t="array" ref="P2202">(SUMPRODUCT(("var_ncap"=[1]OUT_TransportEnergyCons!$B$4:$B$10000)*1,ISNUMBER(SEARCH("T_b_c*hyb*DSL*s4",[1]OUT_TransportEnergyCons!$A$4:$A$10000))*1,[1]OUT_TransportEnergyCons!N$4:N$10000))*1000</f>
        <v>2.04885566685937E-4</v>
      </c>
      <c r="Q2202" s="1" cm="1">
        <f t="array" ref="Q2202">(SUMPRODUCT(("var_ncap"=[1]OUT_TransportEnergyCons!$B$4:$B$10000)*1,ISNUMBER(SEARCH("T_b_c*hyb*DSL*s4",[1]OUT_TransportEnergyCons!$A$4:$A$10000))*1,[1]OUT_TransportEnergyCons!O$4:O$10000))*1000</f>
        <v>2.78016500695585E-4</v>
      </c>
      <c r="S2202" s="3"/>
    </row>
    <row r="2203" spans="2:19" x14ac:dyDescent="0.5">
      <c r="B2203" s="5" t="str">
        <f t="shared" si="2251"/>
        <v>SPS1</v>
      </c>
      <c r="C2203" s="5" t="str">
        <f t="shared" si="2252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(SUMPRODUCT(("var_ncap"=[1]OUT_TransportEnergyCons!$B$4:$B$10000)*1,ISNUMBER(SEARCH("T_b_c*ICE*DSL*ext",[1]OUT_TransportEnergyCons!$A$4:$A$10000))*1,[1]OUT_TransportEnergyCons!H$4:H$10000))*1000</f>
        <v>0</v>
      </c>
      <c r="K2203" s="1" cm="1">
        <f t="array" ref="K2203">(SUMPRODUCT(("var_ncap"=[1]OUT_TransportEnergyCons!$B$4:$B$10000)*1,ISNUMBER(SEARCH("T_b_c*ICE*DSL*ext",[1]OUT_TransportEnergyCons!$A$4:$A$10000))*1,[1]OUT_TransportEnergyCons!I$4:I$10000))*1000</f>
        <v>0</v>
      </c>
      <c r="L2203" s="1" cm="1">
        <f t="array" ref="L2203">(SUMPRODUCT(("var_ncap"=[1]OUT_TransportEnergyCons!$B$4:$B$10000)*1,ISNUMBER(SEARCH("T_b_c*ICE*DSL*ext",[1]OUT_TransportEnergyCons!$A$4:$A$10000))*1,[1]OUT_TransportEnergyCons!J$4:J$10000))*1000</f>
        <v>0</v>
      </c>
      <c r="M2203" s="1" cm="1">
        <f t="array" ref="M2203">(SUMPRODUCT(("var_ncap"=[1]OUT_TransportEnergyCons!$B$4:$B$10000)*1,ISNUMBER(SEARCH("T_b_c*ICE*DSL*ext",[1]OUT_TransportEnergyCons!$A$4:$A$10000))*1,[1]OUT_TransportEnergyCons!K$4:K$10000))*1000</f>
        <v>0</v>
      </c>
      <c r="N2203" s="1" cm="1">
        <f t="array" ref="N2203">(SUMPRODUCT(("var_ncap"=[1]OUT_TransportEnergyCons!$B$4:$B$10000)*1,ISNUMBER(SEARCH("T_b_c*ICE*DSL*ext",[1]OUT_TransportEnergyCons!$A$4:$A$10000))*1,[1]OUT_TransportEnergyCons!L$4:L$10000))*1000</f>
        <v>0</v>
      </c>
      <c r="O2203" s="1" cm="1">
        <f t="array" ref="O2203">(SUMPRODUCT(("var_ncap"=[1]OUT_TransportEnergyCons!$B$4:$B$10000)*1,ISNUMBER(SEARCH("T_b_c*ICE*DSL*ext",[1]OUT_TransportEnergyCons!$A$4:$A$10000))*1,[1]OUT_TransportEnergyCons!M$4:M$10000))*1000</f>
        <v>0</v>
      </c>
      <c r="P2203" s="1" cm="1">
        <f t="array" ref="P2203">(SUMPRODUCT(("var_ncap"=[1]OUT_TransportEnergyCons!$B$4:$B$10000)*1,ISNUMBER(SEARCH("T_b_c*ICE*DSL*ext",[1]OUT_TransportEnergyCons!$A$4:$A$10000))*1,[1]OUT_TransportEnergyCons!N$4:N$10000))*1000</f>
        <v>0</v>
      </c>
      <c r="Q2203" s="1" cm="1">
        <f t="array" ref="Q2203">(SUMPRODUCT(("var_ncap"=[1]OUT_TransportEnergyCons!$B$4:$B$10000)*1,ISNUMBER(SEARCH("T_b_c*ICE*DSL*ext",[1]OUT_TransportEnergyCons!$A$4:$A$10000))*1,[1]OUT_TransportEnergyCons!O$4:O$10000))*1000</f>
        <v>0</v>
      </c>
      <c r="S2203" s="3"/>
    </row>
    <row r="2204" spans="2:19" x14ac:dyDescent="0.5">
      <c r="B2204" s="5" t="str">
        <f t="shared" si="2251"/>
        <v>SPS1</v>
      </c>
      <c r="C2204" s="5" t="str">
        <f t="shared" si="2252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0.49693872007746104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0.197748558687521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(SUMPRODUCT(("var_ncap"=[1]OUT_TransportEnergyCons!$B$4:$B$10000)*1,ISNUMBER(SEARCH("T_b_c*ICE*DSL*s1",[1]OUT_TransportEnergyCons!$A$4:$A$10000))*1,[1]OUT_TransportEnergyCons!H$4:H$10000))*1000</f>
        <v>0</v>
      </c>
      <c r="K2204" s="1" cm="1">
        <f t="array" ref="K2204">(SUMPRODUCT(("var_ncap"=[1]OUT_TransportEnergyCons!$B$4:$B$10000)*1,ISNUMBER(SEARCH("T_b_c*ICE*DSL*s1",[1]OUT_TransportEnergyCons!$A$4:$A$10000))*1,[1]OUT_TransportEnergyCons!I$4:I$10000))*1000</f>
        <v>0</v>
      </c>
      <c r="L2204" s="1" cm="1">
        <f t="array" ref="L2204">(SUMPRODUCT(("var_ncap"=[1]OUT_TransportEnergyCons!$B$4:$B$10000)*1,ISNUMBER(SEARCH("T_b_c*ICE*DSL*s1",[1]OUT_TransportEnergyCons!$A$4:$A$10000))*1,[1]OUT_TransportEnergyCons!J$4:J$10000))*1000</f>
        <v>0</v>
      </c>
      <c r="M2204" s="1" cm="1">
        <f t="array" ref="M2204">(SUMPRODUCT(("var_ncap"=[1]OUT_TransportEnergyCons!$B$4:$B$10000)*1,ISNUMBER(SEARCH("T_b_c*ICE*DSL*s1",[1]OUT_TransportEnergyCons!$A$4:$A$10000))*1,[1]OUT_TransportEnergyCons!K$4:K$10000))*1000</f>
        <v>0</v>
      </c>
      <c r="N2204" s="1" cm="1">
        <f t="array" ref="N2204">(SUMPRODUCT(("var_ncap"=[1]OUT_TransportEnergyCons!$B$4:$B$10000)*1,ISNUMBER(SEARCH("T_b_c*ICE*DSL*s1",[1]OUT_TransportEnergyCons!$A$4:$A$10000))*1,[1]OUT_TransportEnergyCons!L$4:L$10000))*1000</f>
        <v>0</v>
      </c>
      <c r="O2204" s="1" cm="1">
        <f t="array" ref="O2204">(SUMPRODUCT(("var_ncap"=[1]OUT_TransportEnergyCons!$B$4:$B$10000)*1,ISNUMBER(SEARCH("T_b_c*ICE*DSL*s1",[1]OUT_TransportEnergyCons!$A$4:$A$10000))*1,[1]OUT_TransportEnergyCons!M$4:M$10000))*1000</f>
        <v>0</v>
      </c>
      <c r="P2204" s="1" cm="1">
        <f t="array" ref="P2204">(SUMPRODUCT(("var_ncap"=[1]OUT_TransportEnergyCons!$B$4:$B$10000)*1,ISNUMBER(SEARCH("T_b_c*ICE*DSL*s1",[1]OUT_TransportEnergyCons!$A$4:$A$10000))*1,[1]OUT_TransportEnergyCons!N$4:N$10000))*1000</f>
        <v>0</v>
      </c>
      <c r="Q2204" s="1" cm="1">
        <f t="array" ref="Q2204">(SUMPRODUCT(("var_ncap"=[1]OUT_TransportEnergyCons!$B$4:$B$10000)*1,ISNUMBER(SEARCH("T_b_c*ICE*DSL*s1",[1]OUT_TransportEnergyCons!$A$4:$A$10000))*1,[1]OUT_TransportEnergyCons!O$4:O$10000))*1000</f>
        <v>0</v>
      </c>
      <c r="S2204" s="3"/>
    </row>
    <row r="2205" spans="2:19" x14ac:dyDescent="0.5">
      <c r="B2205" s="5" t="str">
        <f t="shared" si="2251"/>
        <v>SPS1</v>
      </c>
      <c r="C2205" s="5" t="str">
        <f t="shared" si="2252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7.5878091261058706E-4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1.0487110166913099E-3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(SUMPRODUCT(("var_ncap"=[1]OUT_TransportEnergyCons!$B$4:$B$10000)*1,ISNUMBER(SEARCH("T_b_c*ICE*DSL*s2",[1]OUT_TransportEnergyCons!$A$4:$A$10000))*1,[1]OUT_TransportEnergyCons!H$4:H$10000))*1000</f>
        <v>0</v>
      </c>
      <c r="K2205" s="1" cm="1">
        <f t="array" ref="K2205">(SUMPRODUCT(("var_ncap"=[1]OUT_TransportEnergyCons!$B$4:$B$10000)*1,ISNUMBER(SEARCH("T_b_c*ICE*DSL*s2",[1]OUT_TransportEnergyCons!$A$4:$A$10000))*1,[1]OUT_TransportEnergyCons!I$4:I$10000))*1000</f>
        <v>0</v>
      </c>
      <c r="L2205" s="1" cm="1">
        <f t="array" ref="L2205">(SUMPRODUCT(("var_ncap"=[1]OUT_TransportEnergyCons!$B$4:$B$10000)*1,ISNUMBER(SEARCH("T_b_c*ICE*DSL*s2",[1]OUT_TransportEnergyCons!$A$4:$A$10000))*1,[1]OUT_TransportEnergyCons!J$4:J$10000))*1000</f>
        <v>0</v>
      </c>
      <c r="M2205" s="1" cm="1">
        <f t="array" ref="M2205">(SUMPRODUCT(("var_ncap"=[1]OUT_TransportEnergyCons!$B$4:$B$10000)*1,ISNUMBER(SEARCH("T_b_c*ICE*DSL*s2",[1]OUT_TransportEnergyCons!$A$4:$A$10000))*1,[1]OUT_TransportEnergyCons!K$4:K$10000))*1000</f>
        <v>0</v>
      </c>
      <c r="N2205" s="1" cm="1">
        <f t="array" ref="N2205">(SUMPRODUCT(("var_ncap"=[1]OUT_TransportEnergyCons!$B$4:$B$10000)*1,ISNUMBER(SEARCH("T_b_c*ICE*DSL*s2",[1]OUT_TransportEnergyCons!$A$4:$A$10000))*1,[1]OUT_TransportEnergyCons!L$4:L$10000))*1000</f>
        <v>0</v>
      </c>
      <c r="O2205" s="1" cm="1">
        <f t="array" ref="O2205">(SUMPRODUCT(("var_ncap"=[1]OUT_TransportEnergyCons!$B$4:$B$10000)*1,ISNUMBER(SEARCH("T_b_c*ICE*DSL*s2",[1]OUT_TransportEnergyCons!$A$4:$A$10000))*1,[1]OUT_TransportEnergyCons!M$4:M$10000))*1000</f>
        <v>0</v>
      </c>
      <c r="P2205" s="1" cm="1">
        <f t="array" ref="P2205">(SUMPRODUCT(("var_ncap"=[1]OUT_TransportEnergyCons!$B$4:$B$10000)*1,ISNUMBER(SEARCH("T_b_c*ICE*DSL*s2",[1]OUT_TransportEnergyCons!$A$4:$A$10000))*1,[1]OUT_TransportEnergyCons!N$4:N$10000))*1000</f>
        <v>0</v>
      </c>
      <c r="Q2205" s="1" cm="1">
        <f t="array" ref="Q2205">(SUMPRODUCT(("var_ncap"=[1]OUT_TransportEnergyCons!$B$4:$B$10000)*1,ISNUMBER(SEARCH("T_b_c*ICE*DSL*s2",[1]OUT_TransportEnergyCons!$A$4:$A$10000))*1,[1]OUT_TransportEnergyCons!O$4:O$10000))*1000</f>
        <v>0</v>
      </c>
      <c r="S2205" s="3"/>
    </row>
    <row r="2206" spans="2:19" x14ac:dyDescent="0.5">
      <c r="B2206" s="5" t="str">
        <f t="shared" si="2251"/>
        <v>SPS1</v>
      </c>
      <c r="C2206" s="5" t="str">
        <f t="shared" si="2252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3.2215420407992798E-4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3.1294815413894598E-4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(SUMPRODUCT(("var_ncap"=[1]OUT_TransportEnergyCons!$B$4:$B$10000)*1,ISNUMBER(SEARCH("T_b_c*ICE*DSL*s3",[1]OUT_TransportEnergyCons!$A$4:$A$10000))*1,[1]OUT_TransportEnergyCons!H$4:H$10000))*1000</f>
        <v>0</v>
      </c>
      <c r="K2206" s="1" cm="1">
        <f t="array" ref="K2206">(SUMPRODUCT(("var_ncap"=[1]OUT_TransportEnergyCons!$B$4:$B$10000)*1,ISNUMBER(SEARCH("T_b_c*ICE*DSL*s3",[1]OUT_TransportEnergyCons!$A$4:$A$10000))*1,[1]OUT_TransportEnergyCons!I$4:I$10000))*1000</f>
        <v>0</v>
      </c>
      <c r="L2206" s="1" cm="1">
        <f t="array" ref="L2206">(SUMPRODUCT(("var_ncap"=[1]OUT_TransportEnergyCons!$B$4:$B$10000)*1,ISNUMBER(SEARCH("T_b_c*ICE*DSL*s3",[1]OUT_TransportEnergyCons!$A$4:$A$10000))*1,[1]OUT_TransportEnergyCons!J$4:J$10000))*1000</f>
        <v>0</v>
      </c>
      <c r="M2206" s="1" cm="1">
        <f t="array" ref="M2206">(SUMPRODUCT(("var_ncap"=[1]OUT_TransportEnergyCons!$B$4:$B$10000)*1,ISNUMBER(SEARCH("T_b_c*ICE*DSL*s3",[1]OUT_TransportEnergyCons!$A$4:$A$10000))*1,[1]OUT_TransportEnergyCons!K$4:K$10000))*1000</f>
        <v>0</v>
      </c>
      <c r="N2206" s="1" cm="1">
        <f t="array" ref="N2206">(SUMPRODUCT(("var_ncap"=[1]OUT_TransportEnergyCons!$B$4:$B$10000)*1,ISNUMBER(SEARCH("T_b_c*ICE*DSL*s3",[1]OUT_TransportEnergyCons!$A$4:$A$10000))*1,[1]OUT_TransportEnergyCons!L$4:L$10000))*1000</f>
        <v>0</v>
      </c>
      <c r="O2206" s="1" cm="1">
        <f t="array" ref="O2206">(SUMPRODUCT(("var_ncap"=[1]OUT_TransportEnergyCons!$B$4:$B$10000)*1,ISNUMBER(SEARCH("T_b_c*ICE*DSL*s3",[1]OUT_TransportEnergyCons!$A$4:$A$10000))*1,[1]OUT_TransportEnergyCons!M$4:M$10000))*1000</f>
        <v>0</v>
      </c>
      <c r="P2206" s="1" cm="1">
        <f t="array" ref="P2206">(SUMPRODUCT(("var_ncap"=[1]OUT_TransportEnergyCons!$B$4:$B$10000)*1,ISNUMBER(SEARCH("T_b_c*ICE*DSL*s3",[1]OUT_TransportEnergyCons!$A$4:$A$10000))*1,[1]OUT_TransportEnergyCons!N$4:N$10000))*1000</f>
        <v>0</v>
      </c>
      <c r="Q2206" s="1" cm="1">
        <f t="array" ref="Q2206">(SUMPRODUCT(("var_ncap"=[1]OUT_TransportEnergyCons!$B$4:$B$10000)*1,ISNUMBER(SEARCH("T_b_c*ICE*DSL*s3",[1]OUT_TransportEnergyCons!$A$4:$A$10000))*1,[1]OUT_TransportEnergyCons!O$4:O$10000))*1000</f>
        <v>0</v>
      </c>
      <c r="S2206" s="3"/>
    </row>
    <row r="2207" spans="2:19" x14ac:dyDescent="0.5">
      <c r="B2207" s="5" t="str">
        <f t="shared" si="2251"/>
        <v>SPS1</v>
      </c>
      <c r="C2207" s="5" t="str">
        <f t="shared" si="2252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5.8304859575300596E-5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5.1656952143203096E-5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(SUMPRODUCT(("var_ncap"=[1]OUT_TransportEnergyCons!$B$4:$B$10000)*1,ISNUMBER(SEARCH("T_b_c*ICE*DSL*s4",[1]OUT_TransportEnergyCons!$A$4:$A$10000))*1,[1]OUT_TransportEnergyCons!H$4:H$10000))*1000</f>
        <v>0</v>
      </c>
      <c r="K2207" s="1" cm="1">
        <f t="array" ref="K2207">(SUMPRODUCT(("var_ncap"=[1]OUT_TransportEnergyCons!$B$4:$B$10000)*1,ISNUMBER(SEARCH("T_b_c*ICE*DSL*s4",[1]OUT_TransportEnergyCons!$A$4:$A$10000))*1,[1]OUT_TransportEnergyCons!I$4:I$10000))*1000</f>
        <v>0</v>
      </c>
      <c r="L2207" s="1" cm="1">
        <f t="array" ref="L2207">(SUMPRODUCT(("var_ncap"=[1]OUT_TransportEnergyCons!$B$4:$B$10000)*1,ISNUMBER(SEARCH("T_b_c*ICE*DSL*s4",[1]OUT_TransportEnergyCons!$A$4:$A$10000))*1,[1]OUT_TransportEnergyCons!J$4:J$10000))*1000</f>
        <v>0</v>
      </c>
      <c r="M2207" s="1" cm="1">
        <f t="array" ref="M2207">(SUMPRODUCT(("var_ncap"=[1]OUT_TransportEnergyCons!$B$4:$B$10000)*1,ISNUMBER(SEARCH("T_b_c*ICE*DSL*s4",[1]OUT_TransportEnergyCons!$A$4:$A$10000))*1,[1]OUT_TransportEnergyCons!K$4:K$10000))*1000</f>
        <v>0</v>
      </c>
      <c r="N2207" s="1" cm="1">
        <f t="array" ref="N2207">(SUMPRODUCT(("var_ncap"=[1]OUT_TransportEnergyCons!$B$4:$B$10000)*1,ISNUMBER(SEARCH("T_b_c*ICE*DSL*s4",[1]OUT_TransportEnergyCons!$A$4:$A$10000))*1,[1]OUT_TransportEnergyCons!L$4:L$10000))*1000</f>
        <v>0</v>
      </c>
      <c r="O2207" s="1" cm="1">
        <f t="array" ref="O2207">(SUMPRODUCT(("var_ncap"=[1]OUT_TransportEnergyCons!$B$4:$B$10000)*1,ISNUMBER(SEARCH("T_b_c*ICE*DSL*s4",[1]OUT_TransportEnergyCons!$A$4:$A$10000))*1,[1]OUT_TransportEnergyCons!M$4:M$10000))*1000</f>
        <v>0</v>
      </c>
      <c r="P2207" s="1" cm="1">
        <f t="array" ref="P2207">(SUMPRODUCT(("var_ncap"=[1]OUT_TransportEnergyCons!$B$4:$B$10000)*1,ISNUMBER(SEARCH("T_b_c*ICE*DSL*s4",[1]OUT_TransportEnergyCons!$A$4:$A$10000))*1,[1]OUT_TransportEnergyCons!N$4:N$10000))*1000</f>
        <v>0</v>
      </c>
      <c r="Q2207" s="1" cm="1">
        <f t="array" ref="Q2207">(SUMPRODUCT(("var_ncap"=[1]OUT_TransportEnergyCons!$B$4:$B$10000)*1,ISNUMBER(SEARCH("T_b_c*ICE*DSL*s4",[1]OUT_TransportEnergyCons!$A$4:$A$10000))*1,[1]OUT_TransportEnergyCons!O$4:O$10000))*1000</f>
        <v>0</v>
      </c>
      <c r="S2207" s="3"/>
    </row>
    <row r="2208" spans="2:19" x14ac:dyDescent="0.5">
      <c r="B2208" s="5" t="str">
        <f t="shared" si="2251"/>
        <v>SPS1</v>
      </c>
      <c r="C2208" s="5" t="str">
        <f t="shared" si="2252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(SUMPRODUCT(("var_ncap"=[1]OUT_TransportEnergyCons!$B$4:$B$10000)*1,ISNUMBER(SEARCH("T_b_c*ICE*nga*ext",[1]OUT_TransportEnergyCons!$A$4:$A$10000))*1,[1]OUT_TransportEnergyCons!H$4:H$10000))*1000</f>
        <v>0</v>
      </c>
      <c r="K2208" s="1" cm="1">
        <f t="array" ref="K2208">(SUMPRODUCT(("var_ncap"=[1]OUT_TransportEnergyCons!$B$4:$B$10000)*1,ISNUMBER(SEARCH("T_b_c*ICE*nga*ext",[1]OUT_TransportEnergyCons!$A$4:$A$10000))*1,[1]OUT_TransportEnergyCons!I$4:I$10000))*1000</f>
        <v>0</v>
      </c>
      <c r="L2208" s="1" cm="1">
        <f t="array" ref="L2208">(SUMPRODUCT(("var_ncap"=[1]OUT_TransportEnergyCons!$B$4:$B$10000)*1,ISNUMBER(SEARCH("T_b_c*ICE*nga*ext",[1]OUT_TransportEnergyCons!$A$4:$A$10000))*1,[1]OUT_TransportEnergyCons!J$4:J$10000))*1000</f>
        <v>0</v>
      </c>
      <c r="M2208" s="1" cm="1">
        <f t="array" ref="M2208">(SUMPRODUCT(("var_ncap"=[1]OUT_TransportEnergyCons!$B$4:$B$10000)*1,ISNUMBER(SEARCH("T_b_c*ICE*nga*ext",[1]OUT_TransportEnergyCons!$A$4:$A$10000))*1,[1]OUT_TransportEnergyCons!K$4:K$10000))*1000</f>
        <v>0</v>
      </c>
      <c r="N2208" s="1" cm="1">
        <f t="array" ref="N2208">(SUMPRODUCT(("var_ncap"=[1]OUT_TransportEnergyCons!$B$4:$B$10000)*1,ISNUMBER(SEARCH("T_b_c*ICE*nga*ext",[1]OUT_TransportEnergyCons!$A$4:$A$10000))*1,[1]OUT_TransportEnergyCons!L$4:L$10000))*1000</f>
        <v>0</v>
      </c>
      <c r="O2208" s="1" cm="1">
        <f t="array" ref="O2208">(SUMPRODUCT(("var_ncap"=[1]OUT_TransportEnergyCons!$B$4:$B$10000)*1,ISNUMBER(SEARCH("T_b_c*ICE*nga*ext",[1]OUT_TransportEnergyCons!$A$4:$A$10000))*1,[1]OUT_TransportEnergyCons!M$4:M$10000))*1000</f>
        <v>0</v>
      </c>
      <c r="P2208" s="1" cm="1">
        <f t="array" ref="P2208">(SUMPRODUCT(("var_ncap"=[1]OUT_TransportEnergyCons!$B$4:$B$10000)*1,ISNUMBER(SEARCH("T_b_c*ICE*nga*ext",[1]OUT_TransportEnergyCons!$A$4:$A$10000))*1,[1]OUT_TransportEnergyCons!N$4:N$10000))*1000</f>
        <v>0</v>
      </c>
      <c r="Q2208" s="1" cm="1">
        <f t="array" ref="Q2208">(SUMPRODUCT(("var_ncap"=[1]OUT_TransportEnergyCons!$B$4:$B$10000)*1,ISNUMBER(SEARCH("T_b_c*ICE*nga*ext",[1]OUT_TransportEnergyCons!$A$4:$A$10000))*1,[1]OUT_TransportEnergyCons!O$4:O$10000))*1000</f>
        <v>0</v>
      </c>
      <c r="S2208" s="3"/>
    </row>
    <row r="2209" spans="2:19" x14ac:dyDescent="0.5">
      <c r="B2209" s="5" t="str">
        <f t="shared" si="2251"/>
        <v>SPS1</v>
      </c>
      <c r="C2209" s="5" t="str">
        <f t="shared" si="2252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3.19168318567433E-4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1.9780308329195801E-3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(SUMPRODUCT(("var_ncap"=[1]OUT_TransportEnergyCons!$B$4:$B$10000)*1,ISNUMBER(SEARCH("T_b_c*ICE*nga*s1",[1]OUT_TransportEnergyCons!$A$4:$A$10000))*1,[1]OUT_TransportEnergyCons!H$4:H$10000))*1000</f>
        <v>0</v>
      </c>
      <c r="K2209" s="1" cm="1">
        <f t="array" ref="K2209">(SUMPRODUCT(("var_ncap"=[1]OUT_TransportEnergyCons!$B$4:$B$10000)*1,ISNUMBER(SEARCH("T_b_c*ICE*nga*s1",[1]OUT_TransportEnergyCons!$A$4:$A$10000))*1,[1]OUT_TransportEnergyCons!I$4:I$10000))*1000</f>
        <v>0</v>
      </c>
      <c r="L2209" s="1" cm="1">
        <f t="array" ref="L2209">(SUMPRODUCT(("var_ncap"=[1]OUT_TransportEnergyCons!$B$4:$B$10000)*1,ISNUMBER(SEARCH("T_b_c*ICE*nga*s1",[1]OUT_TransportEnergyCons!$A$4:$A$10000))*1,[1]OUT_TransportEnergyCons!J$4:J$10000))*1000</f>
        <v>0</v>
      </c>
      <c r="M2209" s="1" cm="1">
        <f t="array" ref="M2209">(SUMPRODUCT(("var_ncap"=[1]OUT_TransportEnergyCons!$B$4:$B$10000)*1,ISNUMBER(SEARCH("T_b_c*ICE*nga*s1",[1]OUT_TransportEnergyCons!$A$4:$A$10000))*1,[1]OUT_TransportEnergyCons!K$4:K$10000))*1000</f>
        <v>0</v>
      </c>
      <c r="N2209" s="1" cm="1">
        <f t="array" ref="N2209">(SUMPRODUCT(("var_ncap"=[1]OUT_TransportEnergyCons!$B$4:$B$10000)*1,ISNUMBER(SEARCH("T_b_c*ICE*nga*s1",[1]OUT_TransportEnergyCons!$A$4:$A$10000))*1,[1]OUT_TransportEnergyCons!L$4:L$10000))*1000</f>
        <v>0</v>
      </c>
      <c r="O2209" s="1" cm="1">
        <f t="array" ref="O2209">(SUMPRODUCT(("var_ncap"=[1]OUT_TransportEnergyCons!$B$4:$B$10000)*1,ISNUMBER(SEARCH("T_b_c*ICE*nga*s1",[1]OUT_TransportEnergyCons!$A$4:$A$10000))*1,[1]OUT_TransportEnergyCons!M$4:M$10000))*1000</f>
        <v>0</v>
      </c>
      <c r="P2209" s="1" cm="1">
        <f t="array" ref="P2209">(SUMPRODUCT(("var_ncap"=[1]OUT_TransportEnergyCons!$B$4:$B$10000)*1,ISNUMBER(SEARCH("T_b_c*ICE*nga*s1",[1]OUT_TransportEnergyCons!$A$4:$A$10000))*1,[1]OUT_TransportEnergyCons!N$4:N$10000))*1000</f>
        <v>0</v>
      </c>
      <c r="Q2209" s="1" cm="1">
        <f t="array" ref="Q2209">(SUMPRODUCT(("var_ncap"=[1]OUT_TransportEnergyCons!$B$4:$B$10000)*1,ISNUMBER(SEARCH("T_b_c*ICE*nga*s1",[1]OUT_TransportEnergyCons!$A$4:$A$10000))*1,[1]OUT_TransportEnergyCons!O$4:O$10000))*1000</f>
        <v>0</v>
      </c>
      <c r="S2209" s="3"/>
    </row>
    <row r="2210" spans="2:19" x14ac:dyDescent="0.5">
      <c r="B2210" s="5" t="str">
        <f t="shared" si="2251"/>
        <v>SPS1</v>
      </c>
      <c r="C2210" s="5" t="str">
        <f t="shared" si="2252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1.58372115884213E-4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7.5807839909304E-4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(SUMPRODUCT(("var_ncap"=[1]OUT_TransportEnergyCons!$B$4:$B$10000)*1,ISNUMBER(SEARCH("T_b_c*ICE*nga*s2",[1]OUT_TransportEnergyCons!$A$4:$A$10000))*1,[1]OUT_TransportEnergyCons!H$4:H$10000))*1000</f>
        <v>0</v>
      </c>
      <c r="K2210" s="1" cm="1">
        <f t="array" ref="K2210">(SUMPRODUCT(("var_ncap"=[1]OUT_TransportEnergyCons!$B$4:$B$10000)*1,ISNUMBER(SEARCH("T_b_c*ICE*nga*s2",[1]OUT_TransportEnergyCons!$A$4:$A$10000))*1,[1]OUT_TransportEnergyCons!I$4:I$10000))*1000</f>
        <v>0</v>
      </c>
      <c r="L2210" s="1" cm="1">
        <f t="array" ref="L2210">(SUMPRODUCT(("var_ncap"=[1]OUT_TransportEnergyCons!$B$4:$B$10000)*1,ISNUMBER(SEARCH("T_b_c*ICE*nga*s2",[1]OUT_TransportEnergyCons!$A$4:$A$10000))*1,[1]OUT_TransportEnergyCons!J$4:J$10000))*1000</f>
        <v>0</v>
      </c>
      <c r="M2210" s="1" cm="1">
        <f t="array" ref="M2210">(SUMPRODUCT(("var_ncap"=[1]OUT_TransportEnergyCons!$B$4:$B$10000)*1,ISNUMBER(SEARCH("T_b_c*ICE*nga*s2",[1]OUT_TransportEnergyCons!$A$4:$A$10000))*1,[1]OUT_TransportEnergyCons!K$4:K$10000))*1000</f>
        <v>0</v>
      </c>
      <c r="N2210" s="1" cm="1">
        <f t="array" ref="N2210">(SUMPRODUCT(("var_ncap"=[1]OUT_TransportEnergyCons!$B$4:$B$10000)*1,ISNUMBER(SEARCH("T_b_c*ICE*nga*s2",[1]OUT_TransportEnergyCons!$A$4:$A$10000))*1,[1]OUT_TransportEnergyCons!L$4:L$10000))*1000</f>
        <v>0</v>
      </c>
      <c r="O2210" s="1" cm="1">
        <f t="array" ref="O2210">(SUMPRODUCT(("var_ncap"=[1]OUT_TransportEnergyCons!$B$4:$B$10000)*1,ISNUMBER(SEARCH("T_b_c*ICE*nga*s2",[1]OUT_TransportEnergyCons!$A$4:$A$10000))*1,[1]OUT_TransportEnergyCons!M$4:M$10000))*1000</f>
        <v>0</v>
      </c>
      <c r="P2210" s="1" cm="1">
        <f t="array" ref="P2210">(SUMPRODUCT(("var_ncap"=[1]OUT_TransportEnergyCons!$B$4:$B$10000)*1,ISNUMBER(SEARCH("T_b_c*ICE*nga*s2",[1]OUT_TransportEnergyCons!$A$4:$A$10000))*1,[1]OUT_TransportEnergyCons!N$4:N$10000))*1000</f>
        <v>0</v>
      </c>
      <c r="Q2210" s="1" cm="1">
        <f t="array" ref="Q2210">(SUMPRODUCT(("var_ncap"=[1]OUT_TransportEnergyCons!$B$4:$B$10000)*1,ISNUMBER(SEARCH("T_b_c*ICE*nga*s2",[1]OUT_TransportEnergyCons!$A$4:$A$10000))*1,[1]OUT_TransportEnergyCons!O$4:O$10000))*1000</f>
        <v>0</v>
      </c>
      <c r="S2210" s="3"/>
    </row>
    <row r="2211" spans="2:19" x14ac:dyDescent="0.5">
      <c r="B2211" s="5" t="str">
        <f t="shared" si="2251"/>
        <v>SPS1</v>
      </c>
      <c r="C2211" s="5" t="str">
        <f t="shared" si="2252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9.6180897835667308E-5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2.9735169594332099E-4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(SUMPRODUCT(("var_ncap"=[1]OUT_TransportEnergyCons!$B$4:$B$10000)*1,ISNUMBER(SEARCH("T_b_c*ICE*nga*s3",[1]OUT_TransportEnergyCons!$A$4:$A$10000))*1,[1]OUT_TransportEnergyCons!H$4:H$10000))*1000</f>
        <v>0</v>
      </c>
      <c r="K2211" s="1" cm="1">
        <f t="array" ref="K2211">(SUMPRODUCT(("var_ncap"=[1]OUT_TransportEnergyCons!$B$4:$B$10000)*1,ISNUMBER(SEARCH("T_b_c*ICE*nga*s3",[1]OUT_TransportEnergyCons!$A$4:$A$10000))*1,[1]OUT_TransportEnergyCons!I$4:I$10000))*1000</f>
        <v>0</v>
      </c>
      <c r="L2211" s="1" cm="1">
        <f t="array" ref="L2211">(SUMPRODUCT(("var_ncap"=[1]OUT_TransportEnergyCons!$B$4:$B$10000)*1,ISNUMBER(SEARCH("T_b_c*ICE*nga*s3",[1]OUT_TransportEnergyCons!$A$4:$A$10000))*1,[1]OUT_TransportEnergyCons!J$4:J$10000))*1000</f>
        <v>0</v>
      </c>
      <c r="M2211" s="1" cm="1">
        <f t="array" ref="M2211">(SUMPRODUCT(("var_ncap"=[1]OUT_TransportEnergyCons!$B$4:$B$10000)*1,ISNUMBER(SEARCH("T_b_c*ICE*nga*s3",[1]OUT_TransportEnergyCons!$A$4:$A$10000))*1,[1]OUT_TransportEnergyCons!K$4:K$10000))*1000</f>
        <v>0</v>
      </c>
      <c r="N2211" s="1" cm="1">
        <f t="array" ref="N2211">(SUMPRODUCT(("var_ncap"=[1]OUT_TransportEnergyCons!$B$4:$B$10000)*1,ISNUMBER(SEARCH("T_b_c*ICE*nga*s3",[1]OUT_TransportEnergyCons!$A$4:$A$10000))*1,[1]OUT_TransportEnergyCons!L$4:L$10000))*1000</f>
        <v>0</v>
      </c>
      <c r="O2211" s="1" cm="1">
        <f t="array" ref="O2211">(SUMPRODUCT(("var_ncap"=[1]OUT_TransportEnergyCons!$B$4:$B$10000)*1,ISNUMBER(SEARCH("T_b_c*ICE*nga*s3",[1]OUT_TransportEnergyCons!$A$4:$A$10000))*1,[1]OUT_TransportEnergyCons!M$4:M$10000))*1000</f>
        <v>0</v>
      </c>
      <c r="P2211" s="1" cm="1">
        <f t="array" ref="P2211">(SUMPRODUCT(("var_ncap"=[1]OUT_TransportEnergyCons!$B$4:$B$10000)*1,ISNUMBER(SEARCH("T_b_c*ICE*nga*s3",[1]OUT_TransportEnergyCons!$A$4:$A$10000))*1,[1]OUT_TransportEnergyCons!N$4:N$10000))*1000</f>
        <v>0</v>
      </c>
      <c r="Q2211" s="1" cm="1">
        <f t="array" ref="Q2211">(SUMPRODUCT(("var_ncap"=[1]OUT_TransportEnergyCons!$B$4:$B$10000)*1,ISNUMBER(SEARCH("T_b_c*ICE*nga*s3",[1]OUT_TransportEnergyCons!$A$4:$A$10000))*1,[1]OUT_TransportEnergyCons!O$4:O$10000))*1000</f>
        <v>0</v>
      </c>
      <c r="S2211" s="3"/>
    </row>
    <row r="2212" spans="2:19" x14ac:dyDescent="0.5">
      <c r="B2212" s="5" t="str">
        <f t="shared" si="2251"/>
        <v>SPS1</v>
      </c>
      <c r="C2212" s="5" t="str">
        <f t="shared" si="2252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2.1807078678466899E-5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4.1629281426437998E-5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(SUMPRODUCT(("var_ncap"=[1]OUT_TransportEnergyCons!$B$4:$B$10000)*1,ISNUMBER(SEARCH("T_b_c*ICE*nga*s4",[1]OUT_TransportEnergyCons!$A$4:$A$10000))*1,[1]OUT_TransportEnergyCons!H$4:H$10000))*1000</f>
        <v>0</v>
      </c>
      <c r="K2212" s="1" cm="1">
        <f t="array" ref="K2212">(SUMPRODUCT(("var_ncap"=[1]OUT_TransportEnergyCons!$B$4:$B$10000)*1,ISNUMBER(SEARCH("T_b_c*ICE*nga*s4",[1]OUT_TransportEnergyCons!$A$4:$A$10000))*1,[1]OUT_TransportEnergyCons!I$4:I$10000))*1000</f>
        <v>0</v>
      </c>
      <c r="L2212" s="1" cm="1">
        <f t="array" ref="L2212">(SUMPRODUCT(("var_ncap"=[1]OUT_TransportEnergyCons!$B$4:$B$10000)*1,ISNUMBER(SEARCH("T_b_c*ICE*nga*s4",[1]OUT_TransportEnergyCons!$A$4:$A$10000))*1,[1]OUT_TransportEnergyCons!J$4:J$10000))*1000</f>
        <v>0</v>
      </c>
      <c r="M2212" s="1" cm="1">
        <f t="array" ref="M2212">(SUMPRODUCT(("var_ncap"=[1]OUT_TransportEnergyCons!$B$4:$B$10000)*1,ISNUMBER(SEARCH("T_b_c*ICE*nga*s4",[1]OUT_TransportEnergyCons!$A$4:$A$10000))*1,[1]OUT_TransportEnergyCons!K$4:K$10000))*1000</f>
        <v>0</v>
      </c>
      <c r="N2212" s="1" cm="1">
        <f t="array" ref="N2212">(SUMPRODUCT(("var_ncap"=[1]OUT_TransportEnergyCons!$B$4:$B$10000)*1,ISNUMBER(SEARCH("T_b_c*ICE*nga*s4",[1]OUT_TransportEnergyCons!$A$4:$A$10000))*1,[1]OUT_TransportEnergyCons!L$4:L$10000))*1000</f>
        <v>0</v>
      </c>
      <c r="O2212" s="1" cm="1">
        <f t="array" ref="O2212">(SUMPRODUCT(("var_ncap"=[1]OUT_TransportEnergyCons!$B$4:$B$10000)*1,ISNUMBER(SEARCH("T_b_c*ICE*nga*s4",[1]OUT_TransportEnergyCons!$A$4:$A$10000))*1,[1]OUT_TransportEnergyCons!M$4:M$10000))*1000</f>
        <v>0</v>
      </c>
      <c r="P2212" s="1" cm="1">
        <f t="array" ref="P2212">(SUMPRODUCT(("var_ncap"=[1]OUT_TransportEnergyCons!$B$4:$B$10000)*1,ISNUMBER(SEARCH("T_b_c*ICE*nga*s4",[1]OUT_TransportEnergyCons!$A$4:$A$10000))*1,[1]OUT_TransportEnergyCons!N$4:N$10000))*1000</f>
        <v>0</v>
      </c>
      <c r="Q2212" s="1" cm="1">
        <f t="array" ref="Q2212">(SUMPRODUCT(("var_ncap"=[1]OUT_TransportEnergyCons!$B$4:$B$10000)*1,ISNUMBER(SEARCH("T_b_c*ICE*nga*s4",[1]OUT_TransportEnergyCons!$A$4:$A$10000))*1,[1]OUT_TransportEnergyCons!O$4:O$10000))*1000</f>
        <v>0</v>
      </c>
      <c r="S2212" s="3"/>
    </row>
    <row r="2213" spans="2:19" x14ac:dyDescent="0.5">
      <c r="B2213" s="5" t="str">
        <f t="shared" si="2251"/>
        <v>SPS1</v>
      </c>
      <c r="C2213" s="5" t="str">
        <f t="shared" si="2252"/>
        <v>CH</v>
      </c>
      <c r="D2213" s="2" t="s">
        <v>2342</v>
      </c>
      <c r="E2213" s="2" t="s">
        <v>1999</v>
      </c>
      <c r="F2213" s="3">
        <f t="shared" ref="F2213:K2213" si="2253">SUM(F2214:F2222)</f>
        <v>1.2648040879063699E-5</v>
      </c>
      <c r="G2213" s="3">
        <f t="shared" si="2253"/>
        <v>15.657572848123845</v>
      </c>
      <c r="H2213" s="3">
        <f t="shared" si="2253"/>
        <v>63.473223863588665</v>
      </c>
      <c r="I2213" s="3">
        <f t="shared" si="2253"/>
        <v>170.2019197186961</v>
      </c>
      <c r="J2213" s="3">
        <f t="shared" si="2253"/>
        <v>241.19536649193796</v>
      </c>
      <c r="K2213" s="3">
        <f t="shared" si="2253"/>
        <v>191.01767109270457</v>
      </c>
      <c r="L2213" s="3">
        <f t="shared" ref="L2213:O2213" si="2254">SUM(L2214:L2222)</f>
        <v>171.41250002874185</v>
      </c>
      <c r="M2213" s="3">
        <f t="shared" si="2254"/>
        <v>270.36393867156391</v>
      </c>
      <c r="N2213" s="3">
        <f t="shared" si="2254"/>
        <v>159.56370371306167</v>
      </c>
      <c r="O2213" s="3">
        <f t="shared" si="2254"/>
        <v>208.94449306351916</v>
      </c>
      <c r="P2213" s="3">
        <f>SUM(P2214:P2222)</f>
        <v>269.82191013882027</v>
      </c>
      <c r="Q2213" s="3">
        <f>SUM(Q2214:Q2222)</f>
        <v>96.194242989001054</v>
      </c>
      <c r="S2213" s="3"/>
    </row>
    <row r="2214" spans="2:19" x14ac:dyDescent="0.5">
      <c r="B2214" s="5" t="str">
        <f t="shared" si="2251"/>
        <v>SPS1</v>
      </c>
      <c r="C2214" s="5" t="str">
        <f t="shared" si="2252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(SUMPRODUCT(("var_ncap"=[1]OUT_TransportEnergyCons!$B$4:$B$10000)*1,("-"=[1]OUT_TransportEnergyCons!$C$4:$C$10000)*1,ISNUMBER(SEARCH("tfl*bev*ext",[1]OUT_TransportEnergyCons!$A$4:$A$10000))*1,[1]OUT_TransportEnergyCons!H$4:H$10000))*1000</f>
        <v>0</v>
      </c>
      <c r="K2214" s="1" cm="1">
        <f t="array" ref="K2214">(SUMPRODUCT(("var_ncap"=[1]OUT_TransportEnergyCons!$B$4:$B$10000)*1,("-"=[1]OUT_TransportEnergyCons!$C$4:$C$10000)*1,ISNUMBER(SEARCH("tfl*bev*ext",[1]OUT_TransportEnergyCons!$A$4:$A$10000))*1,[1]OUT_TransportEnergyCons!I$4:I$10000))*1000</f>
        <v>0</v>
      </c>
      <c r="L2214" s="1" cm="1">
        <f t="array" ref="L2214">(SUMPRODUCT(("var_ncap"=[1]OUT_TransportEnergyCons!$B$4:$B$10000)*1,("-"=[1]OUT_TransportEnergyCons!$C$4:$C$10000)*1,ISNUMBER(SEARCH("tfl*bev*ext",[1]OUT_TransportEnergyCons!$A$4:$A$10000))*1,[1]OUT_TransportEnergyCons!J$4:J$10000))*1000</f>
        <v>0</v>
      </c>
      <c r="M2214" s="1" cm="1">
        <f t="array" ref="M2214">(SUMPRODUCT(("var_ncap"=[1]OUT_TransportEnergyCons!$B$4:$B$10000)*1,("-"=[1]OUT_TransportEnergyCons!$C$4:$C$10000)*1,ISNUMBER(SEARCH("tfl*bev*ext",[1]OUT_TransportEnergyCons!$A$4:$A$10000))*1,[1]OUT_TransportEnergyCons!K$4:K$10000))*1000</f>
        <v>0</v>
      </c>
      <c r="N2214" s="1" cm="1">
        <f t="array" ref="N2214">(SUMPRODUCT(("var_ncap"=[1]OUT_TransportEnergyCons!$B$4:$B$10000)*1,("-"=[1]OUT_TransportEnergyCons!$C$4:$C$10000)*1,ISNUMBER(SEARCH("tfl*bev*ext",[1]OUT_TransportEnergyCons!$A$4:$A$10000))*1,[1]OUT_TransportEnergyCons!L$4:L$10000))*1000</f>
        <v>0</v>
      </c>
      <c r="O2214" s="1" cm="1">
        <f t="array" ref="O2214">(SUMPRODUCT(("var_ncap"=[1]OUT_TransportEnergyCons!$B$4:$B$10000)*1,("-"=[1]OUT_TransportEnergyCons!$C$4:$C$10000)*1,ISNUMBER(SEARCH("tfl*bev*ext",[1]OUT_TransportEnergyCons!$A$4:$A$10000))*1,[1]OUT_TransportEnergyCons!M$4:M$10000))*1000</f>
        <v>0</v>
      </c>
      <c r="P2214" s="1" cm="1">
        <f t="array" ref="P2214">(SUMPRODUCT(("var_ncap"=[1]OUT_TransportEnergyCons!$B$4:$B$10000)*1,("-"=[1]OUT_TransportEnergyCons!$C$4:$C$10000)*1,ISNUMBER(SEARCH("tfl*bev*ext",[1]OUT_TransportEnergyCons!$A$4:$A$10000))*1,[1]OUT_TransportEnergyCons!N$4:N$10000))*1000</f>
        <v>0</v>
      </c>
      <c r="Q2214" s="1" cm="1">
        <f t="array" ref="Q2214">(SUMPRODUCT(("var_ncap"=[1]OUT_TransportEnergyCons!$B$4:$B$10000)*1,("-"=[1]OUT_TransportEnergyCons!$C$4:$C$10000)*1,ISNUMBER(SEARCH("tfl*bev*ext",[1]OUT_TransportEnergyCons!$A$4:$A$10000))*1,[1]OUT_TransportEnergyCons!O$4:O$10000))*1000</f>
        <v>0</v>
      </c>
      <c r="S2214" s="3"/>
    </row>
    <row r="2215" spans="2:19" x14ac:dyDescent="0.5">
      <c r="B2215" s="5" t="str">
        <f t="shared" si="2251"/>
        <v>SPS1</v>
      </c>
      <c r="C2215" s="5" t="str">
        <f t="shared" si="2252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1.20147418117645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10.306447200386801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45.233556305108301</v>
      </c>
      <c r="J2215" s="1" cm="1">
        <f t="array" ref="J2215">(SUMPRODUCT(("var_ncap"=[1]OUT_TransportEnergyCons!$B$4:$B$10000)*1,("-"=[1]OUT_TransportEnergyCons!$C$4:$C$10000)*1,ISNUMBER(SEARCH("tfl*bev*",[1]OUT_TransportEnergyCons!$A$4:$A$10000))*1,[1]OUT_TransportEnergyCons!H$4:H$10000))*1000-J2214</f>
        <v>143.571143433624</v>
      </c>
      <c r="K2215" s="1" cm="1">
        <f t="array" ref="K2215">(SUMPRODUCT(("var_ncap"=[1]OUT_TransportEnergyCons!$B$4:$B$10000)*1,("-"=[1]OUT_TransportEnergyCons!$C$4:$C$10000)*1,ISNUMBER(SEARCH("tfl*bev*",[1]OUT_TransportEnergyCons!$A$4:$A$10000))*1,[1]OUT_TransportEnergyCons!I$4:I$10000))*1000-K2214</f>
        <v>190.77672521324502</v>
      </c>
      <c r="L2215" s="1" cm="1">
        <f t="array" ref="L2215">(SUMPRODUCT(("var_ncap"=[1]OUT_TransportEnergyCons!$B$4:$B$10000)*1,("-"=[1]OUT_TransportEnergyCons!$C$4:$C$10000)*1,ISNUMBER(SEARCH("tfl*bev*",[1]OUT_TransportEnergyCons!$A$4:$A$10000))*1,[1]OUT_TransportEnergyCons!J$4:J$10000))*1000-L2214</f>
        <v>90.527989873573702</v>
      </c>
      <c r="M2215" s="1" cm="1">
        <f t="array" ref="M2215">(SUMPRODUCT(("var_ncap"=[1]OUT_TransportEnergyCons!$B$4:$B$10000)*1,("-"=[1]OUT_TransportEnergyCons!$C$4:$C$10000)*1,ISNUMBER(SEARCH("tfl*bev*",[1]OUT_TransportEnergyCons!$A$4:$A$10000))*1,[1]OUT_TransportEnergyCons!K$4:K$10000))*1000-M2214</f>
        <v>212.77894141247799</v>
      </c>
      <c r="N2215" s="1" cm="1">
        <f t="array" ref="N2215">(SUMPRODUCT(("var_ncap"=[1]OUT_TransportEnergyCons!$B$4:$B$10000)*1,("-"=[1]OUT_TransportEnergyCons!$C$4:$C$10000)*1,ISNUMBER(SEARCH("tfl*bev*",[1]OUT_TransportEnergyCons!$A$4:$A$10000))*1,[1]OUT_TransportEnergyCons!L$4:L$10000))*1000-N2214</f>
        <v>114.975428518738</v>
      </c>
      <c r="O2215" s="1" cm="1">
        <f t="array" ref="O2215">(SUMPRODUCT(("var_ncap"=[1]OUT_TransportEnergyCons!$B$4:$B$10000)*1,("-"=[1]OUT_TransportEnergyCons!$C$4:$C$10000)*1,ISNUMBER(SEARCH("tfl*bev*",[1]OUT_TransportEnergyCons!$A$4:$A$10000))*1,[1]OUT_TransportEnergyCons!M$4:M$10000))*1000-O2214</f>
        <v>144.48382580184398</v>
      </c>
      <c r="P2215" s="1" cm="1">
        <f t="array" ref="P2215">(SUMPRODUCT(("var_ncap"=[1]OUT_TransportEnergyCons!$B$4:$B$10000)*1,("-"=[1]OUT_TransportEnergyCons!$C$4:$C$10000)*1,ISNUMBER(SEARCH("tfl*bev*",[1]OUT_TransportEnergyCons!$A$4:$A$10000))*1,[1]OUT_TransportEnergyCons!N$4:N$10000))*1000-P2214</f>
        <v>203.62705077860599</v>
      </c>
      <c r="Q2215" s="1" cm="1">
        <f t="array" ref="Q2215">(SUMPRODUCT(("var_ncap"=[1]OUT_TransportEnergyCons!$B$4:$B$10000)*1,("-"=[1]OUT_TransportEnergyCons!$C$4:$C$10000)*1,ISNUMBER(SEARCH("tfl*bev*",[1]OUT_TransportEnergyCons!$A$4:$A$10000))*1,[1]OUT_TransportEnergyCons!O$4:O$10000))*1000-Q2214</f>
        <v>67.341551113745197</v>
      </c>
      <c r="S2215" s="3"/>
    </row>
    <row r="2216" spans="2:19" x14ac:dyDescent="0.5">
      <c r="B2216" s="5" t="str">
        <f t="shared" si="2251"/>
        <v>SPS1</v>
      </c>
      <c r="C2216" s="5" t="str">
        <f t="shared" si="2252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2.7684808616782498E-3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1.0408803588803101E-3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2.9540886094337599E-4</v>
      </c>
      <c r="J2216" s="1" cm="1">
        <f t="array" ref="J2216">(SUMPRODUCT(("var_ncap"=[1]OUT_TransportEnergyCons!$B$4:$B$10000)*1,("-"=[1]OUT_TransportEnergyCons!$C$4:$C$10000)*1,ISNUMBER(SEARCH("tfl*h2o*",[1]OUT_TransportEnergyCons!$A$4:$A$10000))*1,[1]OUT_TransportEnergyCons!H$4:H$10000))*1000</f>
        <v>3.4253340878670599E-4</v>
      </c>
      <c r="K2216" s="1" cm="1">
        <f t="array" ref="K2216">(SUMPRODUCT(("var_ncap"=[1]OUT_TransportEnergyCons!$B$4:$B$10000)*1,("-"=[1]OUT_TransportEnergyCons!$C$4:$C$10000)*1,ISNUMBER(SEARCH("tfl*h2o*",[1]OUT_TransportEnergyCons!$A$4:$A$10000))*1,[1]OUT_TransportEnergyCons!I$4:I$10000))*1000</f>
        <v>3.5505446587119101E-4</v>
      </c>
      <c r="L2216" s="1" cm="1">
        <f t="array" ref="L2216">(SUMPRODUCT(("var_ncap"=[1]OUT_TransportEnergyCons!$B$4:$B$10000)*1,("-"=[1]OUT_TransportEnergyCons!$C$4:$C$10000)*1,ISNUMBER(SEARCH("tfl*h2o*",[1]OUT_TransportEnergyCons!$A$4:$A$10000))*1,[1]OUT_TransportEnergyCons!J$4:J$10000))*1000</f>
        <v>2.8186410567295297E-4</v>
      </c>
      <c r="M2216" s="1" cm="1">
        <f t="array" ref="M2216">(SUMPRODUCT(("var_ncap"=[1]OUT_TransportEnergyCons!$B$4:$B$10000)*1,("-"=[1]OUT_TransportEnergyCons!$C$4:$C$10000)*1,ISNUMBER(SEARCH("tfl*h2o*",[1]OUT_TransportEnergyCons!$A$4:$A$10000))*1,[1]OUT_TransportEnergyCons!K$4:K$10000))*1000</f>
        <v>3.3814190353004996E-4</v>
      </c>
      <c r="N2216" s="1" cm="1">
        <f t="array" ref="N2216">(SUMPRODUCT(("var_ncap"=[1]OUT_TransportEnergyCons!$B$4:$B$10000)*1,("-"=[1]OUT_TransportEnergyCons!$C$4:$C$10000)*1,ISNUMBER(SEARCH("tfl*h2o*",[1]OUT_TransportEnergyCons!$A$4:$A$10000))*1,[1]OUT_TransportEnergyCons!L$4:L$10000))*1000</f>
        <v>2.7090847658928896E-4</v>
      </c>
      <c r="O2216" s="1" cm="1">
        <f t="array" ref="O2216">(SUMPRODUCT(("var_ncap"=[1]OUT_TransportEnergyCons!$B$4:$B$10000)*1,("-"=[1]OUT_TransportEnergyCons!$C$4:$C$10000)*1,ISNUMBER(SEARCH("tfl*h2o*",[1]OUT_TransportEnergyCons!$A$4:$A$10000))*1,[1]OUT_TransportEnergyCons!M$4:M$10000))*1000</f>
        <v>2.6457190102755699E-4</v>
      </c>
      <c r="P2216" s="1" cm="1">
        <f t="array" ref="P2216">(SUMPRODUCT(("var_ncap"=[1]OUT_TransportEnergyCons!$B$4:$B$10000)*1,("-"=[1]OUT_TransportEnergyCons!$C$4:$C$10000)*1,ISNUMBER(SEARCH("tfl*h2o*",[1]OUT_TransportEnergyCons!$A$4:$A$10000))*1,[1]OUT_TransportEnergyCons!N$4:N$10000))*1000</f>
        <v>3.2770844916505499E-4</v>
      </c>
      <c r="Q2216" s="1" cm="1">
        <f t="array" ref="Q2216">(SUMPRODUCT(("var_ncap"=[1]OUT_TransportEnergyCons!$B$4:$B$10000)*1,("-"=[1]OUT_TransportEnergyCons!$C$4:$C$10000)*1,ISNUMBER(SEARCH("tfl*h2o*",[1]OUT_TransportEnergyCons!$A$4:$A$10000))*1,[1]OUT_TransportEnergyCons!O$4:O$10000))*1000</f>
        <v>1.9087266136849099E-3</v>
      </c>
      <c r="S2216" s="3"/>
    </row>
    <row r="2217" spans="2:19" x14ac:dyDescent="0.5">
      <c r="B2217" s="5" t="str">
        <f t="shared" si="2251"/>
        <v>SPS1</v>
      </c>
      <c r="C2217" s="5" t="str">
        <f t="shared" si="2252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(SUMPRODUCT(("var_ncap"=[1]OUT_TransportEnergyCons!$B$4:$B$10000)*1,("-"=[1]OUT_TransportEnergyCons!$C$4:$C$10000)*1,ISNUMBER(SEARCH("TfL*ICE*GSL*ext",[1]OUT_TransportEnergyCons!$A$4:$A$10000))*1,[1]OUT_TransportEnergyCons!H$4:H$10000))*1000</f>
        <v>0</v>
      </c>
      <c r="K2217" s="1" cm="1">
        <f t="array" ref="K2217">(SUMPRODUCT(("var_ncap"=[1]OUT_TransportEnergyCons!$B$4:$B$10000)*1,("-"=[1]OUT_TransportEnergyCons!$C$4:$C$10000)*1,ISNUMBER(SEARCH("TfL*ICE*GSL*ext",[1]OUT_TransportEnergyCons!$A$4:$A$10000))*1,[1]OUT_TransportEnergyCons!I$4:I$10000))*1000</f>
        <v>0</v>
      </c>
      <c r="L2217" s="1" cm="1">
        <f t="array" ref="L2217">(SUMPRODUCT(("var_ncap"=[1]OUT_TransportEnergyCons!$B$4:$B$10000)*1,("-"=[1]OUT_TransportEnergyCons!$C$4:$C$10000)*1,ISNUMBER(SEARCH("TfL*ICE*GSL*ext",[1]OUT_TransportEnergyCons!$A$4:$A$10000))*1,[1]OUT_TransportEnergyCons!J$4:J$10000))*1000</f>
        <v>0</v>
      </c>
      <c r="M2217" s="1" cm="1">
        <f t="array" ref="M2217">(SUMPRODUCT(("var_ncap"=[1]OUT_TransportEnergyCons!$B$4:$B$10000)*1,("-"=[1]OUT_TransportEnergyCons!$C$4:$C$10000)*1,ISNUMBER(SEARCH("TfL*ICE*GSL*ext",[1]OUT_TransportEnergyCons!$A$4:$A$10000))*1,[1]OUT_TransportEnergyCons!K$4:K$10000))*1000</f>
        <v>0</v>
      </c>
      <c r="N2217" s="1" cm="1">
        <f t="array" ref="N2217">(SUMPRODUCT(("var_ncap"=[1]OUT_TransportEnergyCons!$B$4:$B$10000)*1,("-"=[1]OUT_TransportEnergyCons!$C$4:$C$10000)*1,ISNUMBER(SEARCH("TfL*ICE*GSL*ext",[1]OUT_TransportEnergyCons!$A$4:$A$10000))*1,[1]OUT_TransportEnergyCons!L$4:L$10000))*1000</f>
        <v>0</v>
      </c>
      <c r="O2217" s="1" cm="1">
        <f t="array" ref="O2217">(SUMPRODUCT(("var_ncap"=[1]OUT_TransportEnergyCons!$B$4:$B$10000)*1,("-"=[1]OUT_TransportEnergyCons!$C$4:$C$10000)*1,ISNUMBER(SEARCH("TfL*ICE*GSL*ext",[1]OUT_TransportEnergyCons!$A$4:$A$10000))*1,[1]OUT_TransportEnergyCons!M$4:M$10000))*1000</f>
        <v>0</v>
      </c>
      <c r="P2217" s="1" cm="1">
        <f t="array" ref="P2217">(SUMPRODUCT(("var_ncap"=[1]OUT_TransportEnergyCons!$B$4:$B$10000)*1,("-"=[1]OUT_TransportEnergyCons!$C$4:$C$10000)*1,ISNUMBER(SEARCH("TfL*ICE*GSL*ext",[1]OUT_TransportEnergyCons!$A$4:$A$10000))*1,[1]OUT_TransportEnergyCons!N$4:N$10000))*1000</f>
        <v>0</v>
      </c>
      <c r="Q2217" s="1" cm="1">
        <f t="array" ref="Q2217">(SUMPRODUCT(("var_ncap"=[1]OUT_TransportEnergyCons!$B$4:$B$10000)*1,("-"=[1]OUT_TransportEnergyCons!$C$4:$C$10000)*1,ISNUMBER(SEARCH("TfL*ICE*GSL*ext",[1]OUT_TransportEnergyCons!$A$4:$A$10000))*1,[1]OUT_TransportEnergyCons!O$4:O$10000))*1000</f>
        <v>0</v>
      </c>
      <c r="S2217" s="3"/>
    </row>
    <row r="2218" spans="2:19" x14ac:dyDescent="0.5">
      <c r="B2218" s="5" t="str">
        <f t="shared" si="2251"/>
        <v>SPS1</v>
      </c>
      <c r="C2218" s="5" t="str">
        <f t="shared" si="2252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4.92021199722633E-2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12.381862156651101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27.489912015330802</v>
      </c>
      <c r="J2218" s="1" cm="1">
        <f t="array" ref="J2218">(SUMPRODUCT(("var_ncap"=[1]OUT_TransportEnergyCons!$B$4:$B$10000)*1,("-"=[1]OUT_TransportEnergyCons!$C$4:$C$10000)*1,ISNUMBER(SEARCH("TfL*ICE*GSL*",[1]OUT_TransportEnergyCons!$A$4:$A$10000))*1,[1]OUT_TransportEnergyCons!H$4:H$10000))*1000-J2217</f>
        <v>35.4183895643461</v>
      </c>
      <c r="K2218" s="1" cm="1">
        <f t="array" ref="K2218">(SUMPRODUCT(("var_ncap"=[1]OUT_TransportEnergyCons!$B$4:$B$10000)*1,("-"=[1]OUT_TransportEnergyCons!$C$4:$C$10000)*1,ISNUMBER(SEARCH("TfL*ICE*GSL*",[1]OUT_TransportEnergyCons!$A$4:$A$10000))*1,[1]OUT_TransportEnergyCons!I$4:I$10000))*1000-K2217</f>
        <v>0.160397016221793</v>
      </c>
      <c r="L2218" s="1" cm="1">
        <f t="array" ref="L2218">(SUMPRODUCT(("var_ncap"=[1]OUT_TransportEnergyCons!$B$4:$B$10000)*1,("-"=[1]OUT_TransportEnergyCons!$C$4:$C$10000)*1,ISNUMBER(SEARCH("TfL*ICE*GSL*",[1]OUT_TransportEnergyCons!$A$4:$A$10000))*1,[1]OUT_TransportEnergyCons!J$4:J$10000))*1000-L2217</f>
        <v>26.979241057187199</v>
      </c>
      <c r="M2218" s="1" cm="1">
        <f t="array" ref="M2218">(SUMPRODUCT(("var_ncap"=[1]OUT_TransportEnergyCons!$B$4:$B$10000)*1,("-"=[1]OUT_TransportEnergyCons!$C$4:$C$10000)*1,ISNUMBER(SEARCH("TfL*ICE*GSL*",[1]OUT_TransportEnergyCons!$A$4:$A$10000))*1,[1]OUT_TransportEnergyCons!K$4:K$10000))*1000-M2217</f>
        <v>23.040270026781201</v>
      </c>
      <c r="N2218" s="1" cm="1">
        <f t="array" ref="N2218">(SUMPRODUCT(("var_ncap"=[1]OUT_TransportEnergyCons!$B$4:$B$10000)*1,("-"=[1]OUT_TransportEnergyCons!$C$4:$C$10000)*1,ISNUMBER(SEARCH("TfL*ICE*GSL*",[1]OUT_TransportEnergyCons!$A$4:$A$10000))*1,[1]OUT_TransportEnergyCons!L$4:L$10000))*1000-N2217</f>
        <v>14.9501053901362</v>
      </c>
      <c r="O2218" s="1" cm="1">
        <f t="array" ref="O2218">(SUMPRODUCT(("var_ncap"=[1]OUT_TransportEnergyCons!$B$4:$B$10000)*1,("-"=[1]OUT_TransportEnergyCons!$C$4:$C$10000)*1,ISNUMBER(SEARCH("TfL*ICE*GSL*",[1]OUT_TransportEnergyCons!$A$4:$A$10000))*1,[1]OUT_TransportEnergyCons!M$4:M$10000))*1000-O2217</f>
        <v>23.442337197778901</v>
      </c>
      <c r="P2218" s="1" cm="1">
        <f t="array" ref="P2218">(SUMPRODUCT(("var_ncap"=[1]OUT_TransportEnergyCons!$B$4:$B$10000)*1,("-"=[1]OUT_TransportEnergyCons!$C$4:$C$10000)*1,ISNUMBER(SEARCH("TfL*ICE*GSL*",[1]OUT_TransportEnergyCons!$A$4:$A$10000))*1,[1]OUT_TransportEnergyCons!N$4:N$10000))*1000-P2217</f>
        <v>24.153935281268499</v>
      </c>
      <c r="Q2218" s="1" cm="1">
        <f t="array" ref="Q2218">(SUMPRODUCT(("var_ncap"=[1]OUT_TransportEnergyCons!$B$4:$B$10000)*1,("-"=[1]OUT_TransportEnergyCons!$C$4:$C$10000)*1,ISNUMBER(SEARCH("TfL*ICE*GSL*",[1]OUT_TransportEnergyCons!$A$4:$A$10000))*1,[1]OUT_TransportEnergyCons!O$4:O$10000))*1000-Q2217</f>
        <v>10.1793648005892</v>
      </c>
      <c r="S2218" s="3"/>
    </row>
    <row r="2219" spans="2:19" x14ac:dyDescent="0.5">
      <c r="B2219" s="5" t="str">
        <f t="shared" si="2251"/>
        <v>SPS1</v>
      </c>
      <c r="C2219" s="5" t="str">
        <f t="shared" si="2252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(SUMPRODUCT(("var_ncap"=[1]OUT_TransportEnergyCons!$B$4:$B$10000)*1,("-"=[1]OUT_TransportEnergyCons!$C$4:$C$10000)*1,ISNUMBER(SEARCH("tfl*ICE*DSL*ext",[1]OUT_TransportEnergyCons!$A$4:$A$10000))*1,[1]OUT_TransportEnergyCons!H$4:H$10000))*1000</f>
        <v>0</v>
      </c>
      <c r="K2219" s="1" cm="1">
        <f t="array" ref="K2219">(SUMPRODUCT(("var_ncap"=[1]OUT_TransportEnergyCons!$B$4:$B$10000)*1,("-"=[1]OUT_TransportEnergyCons!$C$4:$C$10000)*1,ISNUMBER(SEARCH("tfl*ICE*DSL*ext",[1]OUT_TransportEnergyCons!$A$4:$A$10000))*1,[1]OUT_TransportEnergyCons!I$4:I$10000))*1000</f>
        <v>0</v>
      </c>
      <c r="L2219" s="1" cm="1">
        <f t="array" ref="L2219">(SUMPRODUCT(("var_ncap"=[1]OUT_TransportEnergyCons!$B$4:$B$10000)*1,("-"=[1]OUT_TransportEnergyCons!$C$4:$C$10000)*1,ISNUMBER(SEARCH("tfl*ICE*DSL*ext",[1]OUT_TransportEnergyCons!$A$4:$A$10000))*1,[1]OUT_TransportEnergyCons!J$4:J$10000))*1000</f>
        <v>0</v>
      </c>
      <c r="M2219" s="1" cm="1">
        <f t="array" ref="M2219">(SUMPRODUCT(("var_ncap"=[1]OUT_TransportEnergyCons!$B$4:$B$10000)*1,("-"=[1]OUT_TransportEnergyCons!$C$4:$C$10000)*1,ISNUMBER(SEARCH("tfl*ICE*DSL*ext",[1]OUT_TransportEnergyCons!$A$4:$A$10000))*1,[1]OUT_TransportEnergyCons!K$4:K$10000))*1000</f>
        <v>0</v>
      </c>
      <c r="N2219" s="1" cm="1">
        <f t="array" ref="N2219">(SUMPRODUCT(("var_ncap"=[1]OUT_TransportEnergyCons!$B$4:$B$10000)*1,("-"=[1]OUT_TransportEnergyCons!$C$4:$C$10000)*1,ISNUMBER(SEARCH("tfl*ICE*DSL*ext",[1]OUT_TransportEnergyCons!$A$4:$A$10000))*1,[1]OUT_TransportEnergyCons!L$4:L$10000))*1000</f>
        <v>0</v>
      </c>
      <c r="O2219" s="1" cm="1">
        <f t="array" ref="O2219">(SUMPRODUCT(("var_ncap"=[1]OUT_TransportEnergyCons!$B$4:$B$10000)*1,("-"=[1]OUT_TransportEnergyCons!$C$4:$C$10000)*1,ISNUMBER(SEARCH("tfl*ICE*DSL*ext",[1]OUT_TransportEnergyCons!$A$4:$A$10000))*1,[1]OUT_TransportEnergyCons!M$4:M$10000))*1000</f>
        <v>0</v>
      </c>
      <c r="P2219" s="1" cm="1">
        <f t="array" ref="P2219">(SUMPRODUCT(("var_ncap"=[1]OUT_TransportEnergyCons!$B$4:$B$10000)*1,("-"=[1]OUT_TransportEnergyCons!$C$4:$C$10000)*1,ISNUMBER(SEARCH("tfl*ICE*DSL*ext",[1]OUT_TransportEnergyCons!$A$4:$A$10000))*1,[1]OUT_TransportEnergyCons!N$4:N$10000))*1000</f>
        <v>0</v>
      </c>
      <c r="Q2219" s="1" cm="1">
        <f t="array" ref="Q2219">(SUMPRODUCT(("var_ncap"=[1]OUT_TransportEnergyCons!$B$4:$B$10000)*1,("-"=[1]OUT_TransportEnergyCons!$C$4:$C$10000)*1,ISNUMBER(SEARCH("tfl*ICE*DSL*ext",[1]OUT_TransportEnergyCons!$A$4:$A$10000))*1,[1]OUT_TransportEnergyCons!O$4:O$10000))*1000</f>
        <v>0</v>
      </c>
      <c r="S2219" s="3"/>
    </row>
    <row r="2220" spans="2:19" x14ac:dyDescent="0.5">
      <c r="B2220" s="5" t="str">
        <f t="shared" si="2251"/>
        <v>SPS1</v>
      </c>
      <c r="C2220" s="5" t="str">
        <f t="shared" si="2252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1.33192637815356E-2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9.0954314264243094E-2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8.5840215962680599E-2</v>
      </c>
      <c r="J2220" s="1" cm="1">
        <f t="array" ref="J2220">(SUMPRODUCT(("var_ncap"=[1]OUT_TransportEnergyCons!$B$4:$B$10000)*1,("-"=[1]OUT_TransportEnergyCons!$C$4:$C$10000)*1,ISNUMBER(SEARCH("tfl*ICE*DSL*",[1]OUT_TransportEnergyCons!$A$4:$A$10000))*1,[1]OUT_TransportEnergyCons!H$4:H$10000))*1000-J2219</f>
        <v>9.0588416684791611</v>
      </c>
      <c r="K2220" s="1" cm="1">
        <f t="array" ref="K2220">(SUMPRODUCT(("var_ncap"=[1]OUT_TransportEnergyCons!$B$4:$B$10000)*1,("-"=[1]OUT_TransportEnergyCons!$C$4:$C$10000)*1,ISNUMBER(SEARCH("tfl*ICE*DSL*",[1]OUT_TransportEnergyCons!$A$4:$A$10000))*1,[1]OUT_TransportEnergyCons!I$4:I$10000))*1000-K2219</f>
        <v>3.7568445671640902E-2</v>
      </c>
      <c r="L2220" s="1" cm="1">
        <f t="array" ref="L2220">(SUMPRODUCT(("var_ncap"=[1]OUT_TransportEnergyCons!$B$4:$B$10000)*1,("-"=[1]OUT_TransportEnergyCons!$C$4:$C$10000)*1,ISNUMBER(SEARCH("tfl*ICE*DSL*",[1]OUT_TransportEnergyCons!$A$4:$A$10000))*1,[1]OUT_TransportEnergyCons!J$4:J$10000))*1000-L2219</f>
        <v>0.226518763388423</v>
      </c>
      <c r="M2220" s="1" cm="1">
        <f t="array" ref="M2220">(SUMPRODUCT(("var_ncap"=[1]OUT_TransportEnergyCons!$B$4:$B$10000)*1,("-"=[1]OUT_TransportEnergyCons!$C$4:$C$10000)*1,ISNUMBER(SEARCH("tfl*ICE*DSL*",[1]OUT_TransportEnergyCons!$A$4:$A$10000))*1,[1]OUT_TransportEnergyCons!K$4:K$10000))*1000-M2219</f>
        <v>0.15129908842411899</v>
      </c>
      <c r="N2220" s="1" cm="1">
        <f t="array" ref="N2220">(SUMPRODUCT(("var_ncap"=[1]OUT_TransportEnergyCons!$B$4:$B$10000)*1,("-"=[1]OUT_TransportEnergyCons!$C$4:$C$10000)*1,ISNUMBER(SEARCH("tfl*ICE*DSL*",[1]OUT_TransportEnergyCons!$A$4:$A$10000))*1,[1]OUT_TransportEnergyCons!L$4:L$10000))*1000-N2219</f>
        <v>8.5738248742686901E-2</v>
      </c>
      <c r="O2220" s="1" cm="1">
        <f t="array" ref="O2220">(SUMPRODUCT(("var_ncap"=[1]OUT_TransportEnergyCons!$B$4:$B$10000)*1,("-"=[1]OUT_TransportEnergyCons!$C$4:$C$10000)*1,ISNUMBER(SEARCH("tfl*ICE*DSL*",[1]OUT_TransportEnergyCons!$A$4:$A$10000))*1,[1]OUT_TransportEnergyCons!M$4:M$10000))*1000-O2219</f>
        <v>0.104410365310771</v>
      </c>
      <c r="P2220" s="1" cm="1">
        <f t="array" ref="P2220">(SUMPRODUCT(("var_ncap"=[1]OUT_TransportEnergyCons!$B$4:$B$10000)*1,("-"=[1]OUT_TransportEnergyCons!$C$4:$C$10000)*1,ISNUMBER(SEARCH("tfl*ICE*DSL*",[1]OUT_TransportEnergyCons!$A$4:$A$10000))*1,[1]OUT_TransportEnergyCons!N$4:N$10000))*1000-P2219</f>
        <v>0.100242245044995</v>
      </c>
      <c r="Q2220" s="1" cm="1">
        <f t="array" ref="Q2220">(SUMPRODUCT(("var_ncap"=[1]OUT_TransportEnergyCons!$B$4:$B$10000)*1,("-"=[1]OUT_TransportEnergyCons!$C$4:$C$10000)*1,ISNUMBER(SEARCH("tfl*ICE*DSL*",[1]OUT_TransportEnergyCons!$A$4:$A$10000))*1,[1]OUT_TransportEnergyCons!O$4:O$10000))*1000-Q2219</f>
        <v>0.138671878833308</v>
      </c>
      <c r="S2220" s="3"/>
    </row>
    <row r="2221" spans="2:19" x14ac:dyDescent="0.5">
      <c r="B2221" s="5" t="str">
        <f t="shared" si="2251"/>
        <v>SPS1</v>
      </c>
      <c r="C2221" s="5" t="str">
        <f t="shared" si="2252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14.3891965116437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40.691354327854597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97.391641151724698</v>
      </c>
      <c r="J2221" s="1" cm="1">
        <f t="array" ref="J2221">(SUMPRODUCT(("var_ncap"=[1]OUT_TransportEnergyCons!$B$4:$B$10000)*1,("-"=[1]OUT_TransportEnergyCons!$C$4:$C$10000)*1,ISNUMBER(SEARCH("tfl*hyb*DSL*",[1]OUT_TransportEnergyCons!$A$4:$A$10000))*1,[1]OUT_TransportEnergyCons!H$4:H$10000))*1000</f>
        <v>53.145037706470298</v>
      </c>
      <c r="K2221" s="1" cm="1">
        <f t="array" ref="K2221">(SUMPRODUCT(("var_ncap"=[1]OUT_TransportEnergyCons!$B$4:$B$10000)*1,("-"=[1]OUT_TransportEnergyCons!$C$4:$C$10000)*1,ISNUMBER(SEARCH("tfl*hyb*DSL*",[1]OUT_TransportEnergyCons!$A$4:$A$10000))*1,[1]OUT_TransportEnergyCons!I$4:I$10000))*1000</f>
        <v>4.1658271649682901E-2</v>
      </c>
      <c r="L2221" s="1" cm="1">
        <f t="array" ref="L2221">(SUMPRODUCT(("var_ncap"=[1]OUT_TransportEnergyCons!$B$4:$B$10000)*1,("-"=[1]OUT_TransportEnergyCons!$C$4:$C$10000)*1,ISNUMBER(SEARCH("tfl*hyb*DSL*",[1]OUT_TransportEnergyCons!$A$4:$A$10000))*1,[1]OUT_TransportEnergyCons!J$4:J$10000))*1000</f>
        <v>53.6774003965714</v>
      </c>
      <c r="M2221" s="1" cm="1">
        <f t="array" ref="M2221">(SUMPRODUCT(("var_ncap"=[1]OUT_TransportEnergyCons!$B$4:$B$10000)*1,("-"=[1]OUT_TransportEnergyCons!$C$4:$C$10000)*1,ISNUMBER(SEARCH("tfl*hyb*DSL*",[1]OUT_TransportEnergyCons!$A$4:$A$10000))*1,[1]OUT_TransportEnergyCons!K$4:K$10000))*1000</f>
        <v>34.391686418139599</v>
      </c>
      <c r="N2221" s="1" cm="1">
        <f t="array" ref="N2221">(SUMPRODUCT(("var_ncap"=[1]OUT_TransportEnergyCons!$B$4:$B$10000)*1,("-"=[1]OUT_TransportEnergyCons!$C$4:$C$10000)*1,ISNUMBER(SEARCH("tfl*hyb*DSL*",[1]OUT_TransportEnergyCons!$A$4:$A$10000))*1,[1]OUT_TransportEnergyCons!L$4:L$10000))*1000</f>
        <v>29.551162196582702</v>
      </c>
      <c r="O2221" s="1" cm="1">
        <f t="array" ref="O2221">(SUMPRODUCT(("var_ncap"=[1]OUT_TransportEnergyCons!$B$4:$B$10000)*1,("-"=[1]OUT_TransportEnergyCons!$C$4:$C$10000)*1,ISNUMBER(SEARCH("tfl*hyb*DSL*",[1]OUT_TransportEnergyCons!$A$4:$A$10000))*1,[1]OUT_TransportEnergyCons!M$4:M$10000))*1000</f>
        <v>40.912446796092503</v>
      </c>
      <c r="P2221" s="1" cm="1">
        <f t="array" ref="P2221">(SUMPRODUCT(("var_ncap"=[1]OUT_TransportEnergyCons!$B$4:$B$10000)*1,("-"=[1]OUT_TransportEnergyCons!$C$4:$C$10000)*1,ISNUMBER(SEARCH("tfl*hyb*DSL*",[1]OUT_TransportEnergyCons!$A$4:$A$10000))*1,[1]OUT_TransportEnergyCons!N$4:N$10000))*1000</f>
        <v>41.938789531787997</v>
      </c>
      <c r="Q2221" s="1" cm="1">
        <f t="array" ref="Q2221">(SUMPRODUCT(("var_ncap"=[1]OUT_TransportEnergyCons!$B$4:$B$10000)*1,("-"=[1]OUT_TransportEnergyCons!$C$4:$C$10000)*1,ISNUMBER(SEARCH("tfl*hyb*DSL*",[1]OUT_TransportEnergyCons!$A$4:$A$10000))*1,[1]OUT_TransportEnergyCons!O$4:O$10000))*1000</f>
        <v>18.5320180546011</v>
      </c>
      <c r="S2221" s="3"/>
    </row>
    <row r="2222" spans="2:19" x14ac:dyDescent="0.5">
      <c r="B2222" s="5" t="str">
        <f t="shared" si="2251"/>
        <v>SPS1</v>
      </c>
      <c r="C2222" s="5" t="str">
        <f t="shared" si="2252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1.2648040879063699E-5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1.61229068821803E-3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1.56498407304265E-3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6.7462170869825202E-4</v>
      </c>
      <c r="J2222" s="1" cm="1">
        <f t="array" ref="J2222">(SUMPRODUCT(("var_ncap"=[1]OUT_TransportEnergyCons!$B$4:$B$10000)*1,("-"=[1]OUT_TransportEnergyCons!$C$4:$C$10000)*1,ISNUMBER(SEARCH("tfl*ice*nga*",[1]OUT_TransportEnergyCons!$A$4:$A$10000))*1,[1]OUT_TransportEnergyCons!H$4:H$10000))*1000</f>
        <v>1.61158560960559E-3</v>
      </c>
      <c r="K2222" s="1" cm="1">
        <f t="array" ref="K2222">(SUMPRODUCT(("var_ncap"=[1]OUT_TransportEnergyCons!$B$4:$B$10000)*1,("-"=[1]OUT_TransportEnergyCons!$C$4:$C$10000)*1,ISNUMBER(SEARCH("tfl*ice*nga*",[1]OUT_TransportEnergyCons!$A$4:$A$10000))*1,[1]OUT_TransportEnergyCons!I$4:I$10000))*1000</f>
        <v>9.6709145058959905E-4</v>
      </c>
      <c r="L2222" s="1" cm="1">
        <f t="array" ref="L2222">(SUMPRODUCT(("var_ncap"=[1]OUT_TransportEnergyCons!$B$4:$B$10000)*1,("-"=[1]OUT_TransportEnergyCons!$C$4:$C$10000)*1,ISNUMBER(SEARCH("tfl*ice*nga*",[1]OUT_TransportEnergyCons!$A$4:$A$10000))*1,[1]OUT_TransportEnergyCons!J$4:J$10000))*1000</f>
        <v>1.06807391544392E-3</v>
      </c>
      <c r="M2222" s="1" cm="1">
        <f t="array" ref="M2222">(SUMPRODUCT(("var_ncap"=[1]OUT_TransportEnergyCons!$B$4:$B$10000)*1,("-"=[1]OUT_TransportEnergyCons!$C$4:$C$10000)*1,ISNUMBER(SEARCH("tfl*ice*nga*",[1]OUT_TransportEnergyCons!$A$4:$A$10000))*1,[1]OUT_TransportEnergyCons!K$4:K$10000))*1000</f>
        <v>1.4035838375127999E-3</v>
      </c>
      <c r="N2222" s="1" cm="1">
        <f t="array" ref="N2222">(SUMPRODUCT(("var_ncap"=[1]OUT_TransportEnergyCons!$B$4:$B$10000)*1,("-"=[1]OUT_TransportEnergyCons!$C$4:$C$10000)*1,ISNUMBER(SEARCH("tfl*ice*nga*",[1]OUT_TransportEnergyCons!$A$4:$A$10000))*1,[1]OUT_TransportEnergyCons!L$4:L$10000))*1000</f>
        <v>9.9845038547109201E-4</v>
      </c>
      <c r="O2222" s="1" cm="1">
        <f t="array" ref="O2222">(SUMPRODUCT(("var_ncap"=[1]OUT_TransportEnergyCons!$B$4:$B$10000)*1,("-"=[1]OUT_TransportEnergyCons!$C$4:$C$10000)*1,ISNUMBER(SEARCH("tfl*ice*nga*",[1]OUT_TransportEnergyCons!$A$4:$A$10000))*1,[1]OUT_TransportEnergyCons!M$4:M$10000))*1000</f>
        <v>1.2083305919789499E-3</v>
      </c>
      <c r="P2222" s="1" cm="1">
        <f t="array" ref="P2222">(SUMPRODUCT(("var_ncap"=[1]OUT_TransportEnergyCons!$B$4:$B$10000)*1,("-"=[1]OUT_TransportEnergyCons!$C$4:$C$10000)*1,ISNUMBER(SEARCH("tfl*ice*nga*",[1]OUT_TransportEnergyCons!$A$4:$A$10000))*1,[1]OUT_TransportEnergyCons!N$4:N$10000))*1000</f>
        <v>1.56459366362629E-3</v>
      </c>
      <c r="Q2222" s="1" cm="1">
        <f t="array" ref="Q2222">(SUMPRODUCT(("var_ncap"=[1]OUT_TransportEnergyCons!$B$4:$B$10000)*1,("-"=[1]OUT_TransportEnergyCons!$C$4:$C$10000)*1,ISNUMBER(SEARCH("tfl*ice*nga*",[1]OUT_TransportEnergyCons!$A$4:$A$10000))*1,[1]OUT_TransportEnergyCons!O$4:O$10000))*1000</f>
        <v>7.2841461857790801E-4</v>
      </c>
      <c r="S2222" s="3"/>
    </row>
    <row r="2223" spans="2:19" x14ac:dyDescent="0.5">
      <c r="B2223" s="5" t="str">
        <f t="shared" si="2251"/>
        <v>SPS1</v>
      </c>
      <c r="C2223" s="5" t="str">
        <f t="shared" si="2252"/>
        <v>CH</v>
      </c>
      <c r="D2223" s="2" t="s">
        <v>2352</v>
      </c>
      <c r="E2223" s="2" t="s">
        <v>1999</v>
      </c>
      <c r="F2223" s="3">
        <f t="shared" ref="F2223:K2223" si="2255">SUM(F2224:F2232)</f>
        <v>0</v>
      </c>
      <c r="G2223" s="3">
        <f t="shared" si="2255"/>
        <v>9.4908582954863867</v>
      </c>
      <c r="H2223" s="3">
        <f t="shared" si="2255"/>
        <v>3.4889321276210619</v>
      </c>
      <c r="I2223" s="3">
        <f t="shared" si="2255"/>
        <v>29.09046322989898</v>
      </c>
      <c r="J2223" s="3">
        <f t="shared" si="2255"/>
        <v>39.833604877877981</v>
      </c>
      <c r="K2223" s="3">
        <f t="shared" si="2255"/>
        <v>17.102901380179016</v>
      </c>
      <c r="L2223" s="3">
        <f t="shared" ref="L2223:O2223" si="2256">SUM(L2224:L2232)</f>
        <v>42.495456342985861</v>
      </c>
      <c r="M2223" s="3">
        <f t="shared" si="2256"/>
        <v>24.689828019306894</v>
      </c>
      <c r="N2223" s="3">
        <f t="shared" si="2256"/>
        <v>37.202921786317788</v>
      </c>
      <c r="O2223" s="3">
        <f t="shared" si="2256"/>
        <v>47.546105958330834</v>
      </c>
      <c r="P2223" s="3">
        <f>SUM(P2224:P2232)</f>
        <v>26.757822870133229</v>
      </c>
      <c r="Q2223" s="3">
        <f>SUM(Q2224:Q2232)</f>
        <v>43.492006223188596</v>
      </c>
      <c r="S2223" s="3"/>
    </row>
    <row r="2224" spans="2:19" x14ac:dyDescent="0.5">
      <c r="B2224" s="5" t="str">
        <f t="shared" si="2251"/>
        <v>SPS1</v>
      </c>
      <c r="C2224" s="5" t="str">
        <f t="shared" si="2252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(SUMPRODUCT(("var_ncap"=[1]OUT_TransportEnergyCons!$B$4:$B$10000)*1,("-"=[1]OUT_TransportEnergyCons!$C$4:$C$10000)*1,ISNUMBER(SEARCH("tfh*bev*ext",[1]OUT_TransportEnergyCons!$A$4:$A$10000))*1,[1]OUT_TransportEnergyCons!H$4:H$10000))*1000</f>
        <v>0</v>
      </c>
      <c r="K2224" s="1" cm="1">
        <f t="array" ref="K2224">(SUMPRODUCT(("var_ncap"=[1]OUT_TransportEnergyCons!$B$4:$B$10000)*1,("-"=[1]OUT_TransportEnergyCons!$C$4:$C$10000)*1,ISNUMBER(SEARCH("tfh*bev*ext",[1]OUT_TransportEnergyCons!$A$4:$A$10000))*1,[1]OUT_TransportEnergyCons!I$4:I$10000))*1000</f>
        <v>0</v>
      </c>
      <c r="L2224" s="1" cm="1">
        <f t="array" ref="L2224">(SUMPRODUCT(("var_ncap"=[1]OUT_TransportEnergyCons!$B$4:$B$10000)*1,("-"=[1]OUT_TransportEnergyCons!$C$4:$C$10000)*1,ISNUMBER(SEARCH("tfh*bev*ext",[1]OUT_TransportEnergyCons!$A$4:$A$10000))*1,[1]OUT_TransportEnergyCons!J$4:J$10000))*1000</f>
        <v>0</v>
      </c>
      <c r="M2224" s="1" cm="1">
        <f t="array" ref="M2224">(SUMPRODUCT(("var_ncap"=[1]OUT_TransportEnergyCons!$B$4:$B$10000)*1,("-"=[1]OUT_TransportEnergyCons!$C$4:$C$10000)*1,ISNUMBER(SEARCH("tfh*bev*ext",[1]OUT_TransportEnergyCons!$A$4:$A$10000))*1,[1]OUT_TransportEnergyCons!K$4:K$10000))*1000</f>
        <v>0</v>
      </c>
      <c r="N2224" s="1" cm="1">
        <f t="array" ref="N2224">(SUMPRODUCT(("var_ncap"=[1]OUT_TransportEnergyCons!$B$4:$B$10000)*1,("-"=[1]OUT_TransportEnergyCons!$C$4:$C$10000)*1,ISNUMBER(SEARCH("tfh*bev*ext",[1]OUT_TransportEnergyCons!$A$4:$A$10000))*1,[1]OUT_TransportEnergyCons!L$4:L$10000))*1000</f>
        <v>0</v>
      </c>
      <c r="O2224" s="1" cm="1">
        <f t="array" ref="O2224">(SUMPRODUCT(("var_ncap"=[1]OUT_TransportEnergyCons!$B$4:$B$10000)*1,("-"=[1]OUT_TransportEnergyCons!$C$4:$C$10000)*1,ISNUMBER(SEARCH("tfh*bev*ext",[1]OUT_TransportEnergyCons!$A$4:$A$10000))*1,[1]OUT_TransportEnergyCons!M$4:M$10000))*1000</f>
        <v>0</v>
      </c>
      <c r="P2224" s="1" cm="1">
        <f t="array" ref="P2224">(SUMPRODUCT(("var_ncap"=[1]OUT_TransportEnergyCons!$B$4:$B$10000)*1,("-"=[1]OUT_TransportEnergyCons!$C$4:$C$10000)*1,ISNUMBER(SEARCH("tfh*bev*ext",[1]OUT_TransportEnergyCons!$A$4:$A$10000))*1,[1]OUT_TransportEnergyCons!N$4:N$10000))*1000</f>
        <v>0</v>
      </c>
      <c r="Q2224" s="1" cm="1">
        <f t="array" ref="Q2224">(SUMPRODUCT(("var_ncap"=[1]OUT_TransportEnergyCons!$B$4:$B$10000)*1,("-"=[1]OUT_TransportEnergyCons!$C$4:$C$10000)*1,ISNUMBER(SEARCH("tfh*bev*ext",[1]OUT_TransportEnergyCons!$A$4:$A$10000))*1,[1]OUT_TransportEnergyCons!O$4:O$10000))*1000</f>
        <v>0</v>
      </c>
      <c r="S2224" s="3"/>
    </row>
    <row r="2225" spans="2:19" x14ac:dyDescent="0.5">
      <c r="B2225" s="5" t="str">
        <f t="shared" si="2251"/>
        <v>SPS1</v>
      </c>
      <c r="C2225" s="5" t="str">
        <f t="shared" si="2252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1.52531083915928E-3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2.2156033910496098E-3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2.7578678398722401E-3</v>
      </c>
      <c r="J2225" s="1" cm="1">
        <f t="array" ref="J2225">(SUMPRODUCT(("var_ncap"=[1]OUT_TransportEnergyCons!$B$4:$B$10000)*1,("-"=[1]OUT_TransportEnergyCons!$C$4:$C$10000)*1,ISNUMBER(SEARCH("tfh*bev*",[1]OUT_TransportEnergyCons!$A$4:$A$10000))*1,[1]OUT_TransportEnergyCons!H$4:H$10000))*1000-J2224</f>
        <v>4.0380598993366304E-3</v>
      </c>
      <c r="K2225" s="1" cm="1">
        <f t="array" ref="K2225">(SUMPRODUCT(("var_ncap"=[1]OUT_TransportEnergyCons!$B$4:$B$10000)*1,("-"=[1]OUT_TransportEnergyCons!$C$4:$C$10000)*1,ISNUMBER(SEARCH("tfh*bev*",[1]OUT_TransportEnergyCons!$A$4:$A$10000))*1,[1]OUT_TransportEnergyCons!I$4:I$10000))*1000-K2224</f>
        <v>5.7918376516032993E-3</v>
      </c>
      <c r="L2225" s="1" cm="1">
        <f t="array" ref="L2225">(SUMPRODUCT(("var_ncap"=[1]OUT_TransportEnergyCons!$B$4:$B$10000)*1,("-"=[1]OUT_TransportEnergyCons!$C$4:$C$10000)*1,ISNUMBER(SEARCH("tfh*bev*",[1]OUT_TransportEnergyCons!$A$4:$A$10000))*1,[1]OUT_TransportEnergyCons!J$4:J$10000))*1000-L2224</f>
        <v>9.3360678651028609E-3</v>
      </c>
      <c r="M2225" s="1" cm="1">
        <f t="array" ref="M2225">(SUMPRODUCT(("var_ncap"=[1]OUT_TransportEnergyCons!$B$4:$B$10000)*1,("-"=[1]OUT_TransportEnergyCons!$C$4:$C$10000)*1,ISNUMBER(SEARCH("tfh*bev*",[1]OUT_TransportEnergyCons!$A$4:$A$10000))*1,[1]OUT_TransportEnergyCons!K$4:K$10000))*1000-M2224</f>
        <v>1.6712353976644199E-2</v>
      </c>
      <c r="N2225" s="1" cm="1">
        <f t="array" ref="N2225">(SUMPRODUCT(("var_ncap"=[1]OUT_TransportEnergyCons!$B$4:$B$10000)*1,("-"=[1]OUT_TransportEnergyCons!$C$4:$C$10000)*1,ISNUMBER(SEARCH("tfh*bev*",[1]OUT_TransportEnergyCons!$A$4:$A$10000))*1,[1]OUT_TransportEnergyCons!L$4:L$10000))*1000-N2224</f>
        <v>2.16655209936241E-2</v>
      </c>
      <c r="O2225" s="1" cm="1">
        <f t="array" ref="O2225">(SUMPRODUCT(("var_ncap"=[1]OUT_TransportEnergyCons!$B$4:$B$10000)*1,("-"=[1]OUT_TransportEnergyCons!$C$4:$C$10000)*1,ISNUMBER(SEARCH("tfh*bev*",[1]OUT_TransportEnergyCons!$A$4:$A$10000))*1,[1]OUT_TransportEnergyCons!M$4:M$10000))*1000-O2224</f>
        <v>3.67946481585366E-2</v>
      </c>
      <c r="P2225" s="1" cm="1">
        <f t="array" ref="P2225">(SUMPRODUCT(("var_ncap"=[1]OUT_TransportEnergyCons!$B$4:$B$10000)*1,("-"=[1]OUT_TransportEnergyCons!$C$4:$C$10000)*1,ISNUMBER(SEARCH("tfh*bev*",[1]OUT_TransportEnergyCons!$A$4:$A$10000))*1,[1]OUT_TransportEnergyCons!N$4:N$10000))*1000-P2224</f>
        <v>5.2749768105481501E-2</v>
      </c>
      <c r="Q2225" s="1" cm="1">
        <f t="array" ref="Q2225">(SUMPRODUCT(("var_ncap"=[1]OUT_TransportEnergyCons!$B$4:$B$10000)*1,("-"=[1]OUT_TransportEnergyCons!$C$4:$C$10000)*1,ISNUMBER(SEARCH("tfh*bev*",[1]OUT_TransportEnergyCons!$A$4:$A$10000))*1,[1]OUT_TransportEnergyCons!O$4:O$10000))*1000-Q2224</f>
        <v>0.18847684808495102</v>
      </c>
      <c r="S2225" s="3"/>
    </row>
    <row r="2226" spans="2:19" x14ac:dyDescent="0.5">
      <c r="B2226" s="5" t="str">
        <f t="shared" si="2251"/>
        <v>SPS1</v>
      </c>
      <c r="C2226" s="5" t="str">
        <f t="shared" si="2252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1.7742740907934298E-4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1.3295242905590702E-4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1.71260734251595E-4</v>
      </c>
      <c r="J2226" s="1" cm="1">
        <f t="array" ref="J2226">(SUMPRODUCT(("var_ncap"=[1]OUT_TransportEnergyCons!$B$4:$B$10000)*1,("-"=[1]OUT_TransportEnergyCons!$C$4:$C$10000)*1,ISNUMBER(SEARCH("tfh*h2o*",[1]OUT_TransportEnergyCons!$A$4:$A$10000))*1,[1]OUT_TransportEnergyCons!H$4:H$10000))*1000</f>
        <v>4.8335666725399105E-4</v>
      </c>
      <c r="K2226" s="1" cm="1">
        <f t="array" ref="K2226">(SUMPRODUCT(("var_ncap"=[1]OUT_TransportEnergyCons!$B$4:$B$10000)*1,("-"=[1]OUT_TransportEnergyCons!$C$4:$C$10000)*1,ISNUMBER(SEARCH("tfh*h2o*",[1]OUT_TransportEnergyCons!$A$4:$A$10000))*1,[1]OUT_TransportEnergyCons!I$4:I$10000))*1000</f>
        <v>2.5484232004697397E-4</v>
      </c>
      <c r="L2226" s="1" cm="1">
        <f t="array" ref="L2226">(SUMPRODUCT(("var_ncap"=[1]OUT_TransportEnergyCons!$B$4:$B$10000)*1,("-"=[1]OUT_TransportEnergyCons!$C$4:$C$10000)*1,ISNUMBER(SEARCH("tfh*h2o*",[1]OUT_TransportEnergyCons!$A$4:$A$10000))*1,[1]OUT_TransportEnergyCons!J$4:J$10000))*1000</f>
        <v>3.5388347962411098E-4</v>
      </c>
      <c r="M2226" s="1" cm="1">
        <f t="array" ref="M2226">(SUMPRODUCT(("var_ncap"=[1]OUT_TransportEnergyCons!$B$4:$B$10000)*1,("-"=[1]OUT_TransportEnergyCons!$C$4:$C$10000)*1,ISNUMBER(SEARCH("tfh*h2o*",[1]OUT_TransportEnergyCons!$A$4:$A$10000))*1,[1]OUT_TransportEnergyCons!K$4:K$10000))*1000</f>
        <v>2.27153541493808E-4</v>
      </c>
      <c r="N2226" s="1" cm="1">
        <f t="array" ref="N2226">(SUMPRODUCT(("var_ncap"=[1]OUT_TransportEnergyCons!$B$4:$B$10000)*1,("-"=[1]OUT_TransportEnergyCons!$C$4:$C$10000)*1,ISNUMBER(SEARCH("tfh*h2o*",[1]OUT_TransportEnergyCons!$A$4:$A$10000))*1,[1]OUT_TransportEnergyCons!L$4:L$10000))*1000</f>
        <v>2.7838954841538096E-4</v>
      </c>
      <c r="O2226" s="1" cm="1">
        <f t="array" ref="O2226">(SUMPRODUCT(("var_ncap"=[1]OUT_TransportEnergyCons!$B$4:$B$10000)*1,("-"=[1]OUT_TransportEnergyCons!$C$4:$C$10000)*1,ISNUMBER(SEARCH("tfh*h2o*",[1]OUT_TransportEnergyCons!$A$4:$A$10000))*1,[1]OUT_TransportEnergyCons!M$4:M$10000))*1000</f>
        <v>3.4861824947492003E-4</v>
      </c>
      <c r="P2226" s="1" cm="1">
        <f t="array" ref="P2226">(SUMPRODUCT(("var_ncap"=[1]OUT_TransportEnergyCons!$B$4:$B$10000)*1,("-"=[1]OUT_TransportEnergyCons!$C$4:$C$10000)*1,ISNUMBER(SEARCH("tfh*h2o*",[1]OUT_TransportEnergyCons!$A$4:$A$10000))*1,[1]OUT_TransportEnergyCons!N$4:N$10000))*1000</f>
        <v>2.2494463795481E-4</v>
      </c>
      <c r="Q2226" s="1" cm="1">
        <f t="array" ref="Q2226">(SUMPRODUCT(("var_ncap"=[1]OUT_TransportEnergyCons!$B$4:$B$10000)*1,("-"=[1]OUT_TransportEnergyCons!$C$4:$C$10000)*1,ISNUMBER(SEARCH("tfh*h2o*",[1]OUT_TransportEnergyCons!$A$4:$A$10000))*1,[1]OUT_TransportEnergyCons!O$4:O$10000))*1000</f>
        <v>2.49648087792486E-4</v>
      </c>
      <c r="S2226" s="3"/>
    </row>
    <row r="2227" spans="2:19" x14ac:dyDescent="0.5">
      <c r="B2227" s="5" t="str">
        <f t="shared" si="2251"/>
        <v>SPS1</v>
      </c>
      <c r="C2227" s="5" t="str">
        <f t="shared" si="2252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(SUMPRODUCT(("var_ncap"=[1]OUT_TransportEnergyCons!$B$4:$B$10000)*1,("-"=[1]OUT_TransportEnergyCons!$C$4:$C$10000)*1,ISNUMBER(SEARCH("tfh*ICE*GSL*ext",[1]OUT_TransportEnergyCons!$A$4:$A$10000))*1,[1]OUT_TransportEnergyCons!H$4:H$10000))*1000</f>
        <v>0</v>
      </c>
      <c r="K2227" s="1" cm="1">
        <f t="array" ref="K2227">(SUMPRODUCT(("var_ncap"=[1]OUT_TransportEnergyCons!$B$4:$B$10000)*1,("-"=[1]OUT_TransportEnergyCons!$C$4:$C$10000)*1,ISNUMBER(SEARCH("tfh*ICE*GSL*ext",[1]OUT_TransportEnergyCons!$A$4:$A$10000))*1,[1]OUT_TransportEnergyCons!I$4:I$10000))*1000</f>
        <v>0</v>
      </c>
      <c r="L2227" s="1" cm="1">
        <f t="array" ref="L2227">(SUMPRODUCT(("var_ncap"=[1]OUT_TransportEnergyCons!$B$4:$B$10000)*1,("-"=[1]OUT_TransportEnergyCons!$C$4:$C$10000)*1,ISNUMBER(SEARCH("tfh*ICE*GSL*ext",[1]OUT_TransportEnergyCons!$A$4:$A$10000))*1,[1]OUT_TransportEnergyCons!J$4:J$10000))*1000</f>
        <v>0</v>
      </c>
      <c r="M2227" s="1" cm="1">
        <f t="array" ref="M2227">(SUMPRODUCT(("var_ncap"=[1]OUT_TransportEnergyCons!$B$4:$B$10000)*1,("-"=[1]OUT_TransportEnergyCons!$C$4:$C$10000)*1,ISNUMBER(SEARCH("tfh*ICE*GSL*ext",[1]OUT_TransportEnergyCons!$A$4:$A$10000))*1,[1]OUT_TransportEnergyCons!K$4:K$10000))*1000</f>
        <v>0</v>
      </c>
      <c r="N2227" s="1" cm="1">
        <f t="array" ref="N2227">(SUMPRODUCT(("var_ncap"=[1]OUT_TransportEnergyCons!$B$4:$B$10000)*1,("-"=[1]OUT_TransportEnergyCons!$C$4:$C$10000)*1,ISNUMBER(SEARCH("tfh*ICE*GSL*ext",[1]OUT_TransportEnergyCons!$A$4:$A$10000))*1,[1]OUT_TransportEnergyCons!L$4:L$10000))*1000</f>
        <v>0</v>
      </c>
      <c r="O2227" s="1" cm="1">
        <f t="array" ref="O2227">(SUMPRODUCT(("var_ncap"=[1]OUT_TransportEnergyCons!$B$4:$B$10000)*1,("-"=[1]OUT_TransportEnergyCons!$C$4:$C$10000)*1,ISNUMBER(SEARCH("tfh*ICE*GSL*ext",[1]OUT_TransportEnergyCons!$A$4:$A$10000))*1,[1]OUT_TransportEnergyCons!M$4:M$10000))*1000</f>
        <v>0</v>
      </c>
      <c r="P2227" s="1" cm="1">
        <f t="array" ref="P2227">(SUMPRODUCT(("var_ncap"=[1]OUT_TransportEnergyCons!$B$4:$B$10000)*1,("-"=[1]OUT_TransportEnergyCons!$C$4:$C$10000)*1,ISNUMBER(SEARCH("tfh*ICE*GSL*ext",[1]OUT_TransportEnergyCons!$A$4:$A$10000))*1,[1]OUT_TransportEnergyCons!N$4:N$10000))*1000</f>
        <v>0</v>
      </c>
      <c r="Q2227" s="1" cm="1">
        <f t="array" ref="Q2227">(SUMPRODUCT(("var_ncap"=[1]OUT_TransportEnergyCons!$B$4:$B$10000)*1,("-"=[1]OUT_TransportEnergyCons!$C$4:$C$10000)*1,ISNUMBER(SEARCH("tfh*ICE*GSL*ext",[1]OUT_TransportEnergyCons!$A$4:$A$10000))*1,[1]OUT_TransportEnergyCons!O$4:O$10000))*1000</f>
        <v>0</v>
      </c>
      <c r="S2227" s="3"/>
    </row>
    <row r="2228" spans="2:19" x14ac:dyDescent="0.5">
      <c r="B2228" s="5" t="str">
        <f t="shared" si="2251"/>
        <v>SPS1</v>
      </c>
      <c r="C2228" s="5" t="str">
        <f t="shared" si="2252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(SUMPRODUCT(("var_ncap"=[1]OUT_TransportEnergyCons!$B$4:$B$10000)*1,("-"=[1]OUT_TransportEnergyCons!$C$4:$C$10000)*1,ISNUMBER(SEARCH("tfh*ICE*GSL*",[1]OUT_TransportEnergyCons!$A$4:$A$10000))*1,[1]OUT_TransportEnergyCons!H$4:H$10000))*1000-J2227</f>
        <v>0</v>
      </c>
      <c r="K2228" s="1" cm="1">
        <f t="array" ref="K2228">(SUMPRODUCT(("var_ncap"=[1]OUT_TransportEnergyCons!$B$4:$B$10000)*1,("-"=[1]OUT_TransportEnergyCons!$C$4:$C$10000)*1,ISNUMBER(SEARCH("tfh*ICE*GSL*",[1]OUT_TransportEnergyCons!$A$4:$A$10000))*1,[1]OUT_TransportEnergyCons!I$4:I$10000))*1000-K2227</f>
        <v>0</v>
      </c>
      <c r="L2228" s="1" cm="1">
        <f t="array" ref="L2228">(SUMPRODUCT(("var_ncap"=[1]OUT_TransportEnergyCons!$B$4:$B$10000)*1,("-"=[1]OUT_TransportEnergyCons!$C$4:$C$10000)*1,ISNUMBER(SEARCH("tfh*ICE*GSL*",[1]OUT_TransportEnergyCons!$A$4:$A$10000))*1,[1]OUT_TransportEnergyCons!J$4:J$10000))*1000-L2227</f>
        <v>0</v>
      </c>
      <c r="M2228" s="1" cm="1">
        <f t="array" ref="M2228">(SUMPRODUCT(("var_ncap"=[1]OUT_TransportEnergyCons!$B$4:$B$10000)*1,("-"=[1]OUT_TransportEnergyCons!$C$4:$C$10000)*1,ISNUMBER(SEARCH("tfh*ICE*GSL*",[1]OUT_TransportEnergyCons!$A$4:$A$10000))*1,[1]OUT_TransportEnergyCons!K$4:K$10000))*1000-M2227</f>
        <v>0</v>
      </c>
      <c r="N2228" s="1" cm="1">
        <f t="array" ref="N2228">(SUMPRODUCT(("var_ncap"=[1]OUT_TransportEnergyCons!$B$4:$B$10000)*1,("-"=[1]OUT_TransportEnergyCons!$C$4:$C$10000)*1,ISNUMBER(SEARCH("tfh*ICE*GSL*",[1]OUT_TransportEnergyCons!$A$4:$A$10000))*1,[1]OUT_TransportEnergyCons!L$4:L$10000))*1000-N2227</f>
        <v>0</v>
      </c>
      <c r="O2228" s="1" cm="1">
        <f t="array" ref="O2228">(SUMPRODUCT(("var_ncap"=[1]OUT_TransportEnergyCons!$B$4:$B$10000)*1,("-"=[1]OUT_TransportEnergyCons!$C$4:$C$10000)*1,ISNUMBER(SEARCH("tfh*ICE*GSL*",[1]OUT_TransportEnergyCons!$A$4:$A$10000))*1,[1]OUT_TransportEnergyCons!M$4:M$10000))*1000-O2227</f>
        <v>0</v>
      </c>
      <c r="P2228" s="1" cm="1">
        <f t="array" ref="P2228">(SUMPRODUCT(("var_ncap"=[1]OUT_TransportEnergyCons!$B$4:$B$10000)*1,("-"=[1]OUT_TransportEnergyCons!$C$4:$C$10000)*1,ISNUMBER(SEARCH("tfh*ICE*GSL*",[1]OUT_TransportEnergyCons!$A$4:$A$10000))*1,[1]OUT_TransportEnergyCons!N$4:N$10000))*1000-P2227</f>
        <v>0</v>
      </c>
      <c r="Q2228" s="1" cm="1">
        <f t="array" ref="Q2228">(SUMPRODUCT(("var_ncap"=[1]OUT_TransportEnergyCons!$B$4:$B$10000)*1,("-"=[1]OUT_TransportEnergyCons!$C$4:$C$10000)*1,ISNUMBER(SEARCH("tfh*ICE*GSL*",[1]OUT_TransportEnergyCons!$A$4:$A$10000))*1,[1]OUT_TransportEnergyCons!O$4:O$10000))*1000-Q2227</f>
        <v>0</v>
      </c>
      <c r="S2228" s="3"/>
    </row>
    <row r="2229" spans="2:19" x14ac:dyDescent="0.5">
      <c r="B2229" s="5" t="str">
        <f t="shared" si="2251"/>
        <v>SPS1</v>
      </c>
      <c r="C2229" s="5" t="str">
        <f t="shared" si="2252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(SUMPRODUCT(("var_ncap"=[1]OUT_TransportEnergyCons!$B$4:$B$10000)*1,("-"=[1]OUT_TransportEnergyCons!$C$4:$C$10000)*1,ISNUMBER(SEARCH("tfh*ICE*DSL*ext",[1]OUT_TransportEnergyCons!$A$4:$A$10000))*1,[1]OUT_TransportEnergyCons!H$4:H$10000))*1000</f>
        <v>0</v>
      </c>
      <c r="K2229" s="1" cm="1">
        <f t="array" ref="K2229">(SUMPRODUCT(("var_ncap"=[1]OUT_TransportEnergyCons!$B$4:$B$10000)*1,("-"=[1]OUT_TransportEnergyCons!$C$4:$C$10000)*1,ISNUMBER(SEARCH("tfh*ICE*DSL*ext",[1]OUT_TransportEnergyCons!$A$4:$A$10000))*1,[1]OUT_TransportEnergyCons!I$4:I$10000))*1000</f>
        <v>0</v>
      </c>
      <c r="L2229" s="1" cm="1">
        <f t="array" ref="L2229">(SUMPRODUCT(("var_ncap"=[1]OUT_TransportEnergyCons!$B$4:$B$10000)*1,("-"=[1]OUT_TransportEnergyCons!$C$4:$C$10000)*1,ISNUMBER(SEARCH("tfh*ICE*DSL*ext",[1]OUT_TransportEnergyCons!$A$4:$A$10000))*1,[1]OUT_TransportEnergyCons!J$4:J$10000))*1000</f>
        <v>0</v>
      </c>
      <c r="M2229" s="1" cm="1">
        <f t="array" ref="M2229">(SUMPRODUCT(("var_ncap"=[1]OUT_TransportEnergyCons!$B$4:$B$10000)*1,("-"=[1]OUT_TransportEnergyCons!$C$4:$C$10000)*1,ISNUMBER(SEARCH("tfh*ICE*DSL*ext",[1]OUT_TransportEnergyCons!$A$4:$A$10000))*1,[1]OUT_TransportEnergyCons!K$4:K$10000))*1000</f>
        <v>0</v>
      </c>
      <c r="N2229" s="1" cm="1">
        <f t="array" ref="N2229">(SUMPRODUCT(("var_ncap"=[1]OUT_TransportEnergyCons!$B$4:$B$10000)*1,("-"=[1]OUT_TransportEnergyCons!$C$4:$C$10000)*1,ISNUMBER(SEARCH("tfh*ICE*DSL*ext",[1]OUT_TransportEnergyCons!$A$4:$A$10000))*1,[1]OUT_TransportEnergyCons!L$4:L$10000))*1000</f>
        <v>0</v>
      </c>
      <c r="O2229" s="1" cm="1">
        <f t="array" ref="O2229">(SUMPRODUCT(("var_ncap"=[1]OUT_TransportEnergyCons!$B$4:$B$10000)*1,("-"=[1]OUT_TransportEnergyCons!$C$4:$C$10000)*1,ISNUMBER(SEARCH("tfh*ICE*DSL*ext",[1]OUT_TransportEnergyCons!$A$4:$A$10000))*1,[1]OUT_TransportEnergyCons!M$4:M$10000))*1000</f>
        <v>0</v>
      </c>
      <c r="P2229" s="1" cm="1">
        <f t="array" ref="P2229">(SUMPRODUCT(("var_ncap"=[1]OUT_TransportEnergyCons!$B$4:$B$10000)*1,("-"=[1]OUT_TransportEnergyCons!$C$4:$C$10000)*1,ISNUMBER(SEARCH("tfh*ICE*DSL*ext",[1]OUT_TransportEnergyCons!$A$4:$A$10000))*1,[1]OUT_TransportEnergyCons!N$4:N$10000))*1000</f>
        <v>0</v>
      </c>
      <c r="Q2229" s="1" cm="1">
        <f t="array" ref="Q2229">(SUMPRODUCT(("var_ncap"=[1]OUT_TransportEnergyCons!$B$4:$B$10000)*1,("-"=[1]OUT_TransportEnergyCons!$C$4:$C$10000)*1,ISNUMBER(SEARCH("tfh*ICE*DSL*ext",[1]OUT_TransportEnergyCons!$A$4:$A$10000))*1,[1]OUT_TransportEnergyCons!O$4:O$10000))*1000</f>
        <v>0</v>
      </c>
      <c r="S2229" s="3"/>
    </row>
    <row r="2230" spans="2:19" x14ac:dyDescent="0.5">
      <c r="B2230" s="5" t="str">
        <f t="shared" si="2251"/>
        <v>SPS1</v>
      </c>
      <c r="C2230" s="5" t="str">
        <f t="shared" si="2252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1.41314794616596E-3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5.4798667715400193E-3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5.9583726837605499E-3</v>
      </c>
      <c r="J2230" s="1" cm="1">
        <f t="array" ref="J2230">(SUMPRODUCT(("var_ncap"=[1]OUT_TransportEnergyCons!$B$4:$B$10000)*1,("-"=[1]OUT_TransportEnergyCons!$C$4:$C$10000)*1,ISNUMBER(SEARCH("tfh*ICE*DSL*",[1]OUT_TransportEnergyCons!$A$4:$A$10000))*1,[1]OUT_TransportEnergyCons!H$4:H$10000))*1000-J2229</f>
        <v>7.5214553887361897E-3</v>
      </c>
      <c r="K2230" s="1" cm="1">
        <f t="array" ref="K2230">(SUMPRODUCT(("var_ncap"=[1]OUT_TransportEnergyCons!$B$4:$B$10000)*1,("-"=[1]OUT_TransportEnergyCons!$C$4:$C$10000)*1,ISNUMBER(SEARCH("tfh*ICE*DSL*",[1]OUT_TransportEnergyCons!$A$4:$A$10000))*1,[1]OUT_TransportEnergyCons!I$4:I$10000))*1000-K2229</f>
        <v>7.0178401275799501E-3</v>
      </c>
      <c r="L2230" s="1" cm="1">
        <f t="array" ref="L2230">(SUMPRODUCT(("var_ncap"=[1]OUT_TransportEnergyCons!$B$4:$B$10000)*1,("-"=[1]OUT_TransportEnergyCons!$C$4:$C$10000)*1,ISNUMBER(SEARCH("tfh*ICE*DSL*",[1]OUT_TransportEnergyCons!$A$4:$A$10000))*1,[1]OUT_TransportEnergyCons!J$4:J$10000))*1000-L2229</f>
        <v>7.4976565198698105E-3</v>
      </c>
      <c r="M2230" s="1" cm="1">
        <f t="array" ref="M2230">(SUMPRODUCT(("var_ncap"=[1]OUT_TransportEnergyCons!$B$4:$B$10000)*1,("-"=[1]OUT_TransportEnergyCons!$C$4:$C$10000)*1,ISNUMBER(SEARCH("tfh*ICE*DSL*",[1]OUT_TransportEnergyCons!$A$4:$A$10000))*1,[1]OUT_TransportEnergyCons!K$4:K$10000))*1000-M2229</f>
        <v>7.7767298262994703E-3</v>
      </c>
      <c r="N2230" s="1" cm="1">
        <f t="array" ref="N2230">(SUMPRODUCT(("var_ncap"=[1]OUT_TransportEnergyCons!$B$4:$B$10000)*1,("-"=[1]OUT_TransportEnergyCons!$C$4:$C$10000)*1,ISNUMBER(SEARCH("tfh*ICE*DSL*",[1]OUT_TransportEnergyCons!$A$4:$A$10000))*1,[1]OUT_TransportEnergyCons!L$4:L$10000))*1000-N2229</f>
        <v>8.5205896735036212E-3</v>
      </c>
      <c r="O2230" s="1" cm="1">
        <f t="array" ref="O2230">(SUMPRODUCT(("var_ncap"=[1]OUT_TransportEnergyCons!$B$4:$B$10000)*1,("-"=[1]OUT_TransportEnergyCons!$C$4:$C$10000)*1,ISNUMBER(SEARCH("tfh*ICE*DSL*",[1]OUT_TransportEnergyCons!$A$4:$A$10000))*1,[1]OUT_TransportEnergyCons!M$4:M$10000))*1000-O2229</f>
        <v>1.0019479099759601E-2</v>
      </c>
      <c r="P2230" s="1" cm="1">
        <f t="array" ref="P2230">(SUMPRODUCT(("var_ncap"=[1]OUT_TransportEnergyCons!$B$4:$B$10000)*1,("-"=[1]OUT_TransportEnergyCons!$C$4:$C$10000)*1,ISNUMBER(SEARCH("tfh*ICE*DSL*",[1]OUT_TransportEnergyCons!$A$4:$A$10000))*1,[1]OUT_TransportEnergyCons!N$4:N$10000))*1000-P2229</f>
        <v>1.07591597488257E-2</v>
      </c>
      <c r="Q2230" s="1" cm="1">
        <f t="array" ref="Q2230">(SUMPRODUCT(("var_ncap"=[1]OUT_TransportEnergyCons!$B$4:$B$10000)*1,("-"=[1]OUT_TransportEnergyCons!$C$4:$C$10000)*1,ISNUMBER(SEARCH("tfh*ICE*DSL*",[1]OUT_TransportEnergyCons!$A$4:$A$10000))*1,[1]OUT_TransportEnergyCons!O$4:O$10000))*1000-Q2229</f>
        <v>1.5629681776595298E-2</v>
      </c>
      <c r="S2230" s="3"/>
    </row>
    <row r="2231" spans="2:19" x14ac:dyDescent="0.5">
      <c r="B2231" s="5" t="str">
        <f t="shared" si="2251"/>
        <v>SPS1</v>
      </c>
      <c r="C2231" s="5" t="str">
        <f t="shared" si="2252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9.4873211364149697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3.48031196306325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29.0771085928601</v>
      </c>
      <c r="J2231" s="1" cm="1">
        <f t="array" ref="J2231">(SUMPRODUCT(("var_ncap"=[1]OUT_TransportEnergyCons!$B$4:$B$10000)*1,("-"=[1]OUT_TransportEnergyCons!$C$4:$C$10000)*1,ISNUMBER(SEARCH("tfh*hyb*DSL*",[1]OUT_TransportEnergyCons!$A$4:$A$10000))*1,[1]OUT_TransportEnergyCons!H$4:H$10000))*1000</f>
        <v>39.816718942929704</v>
      </c>
      <c r="K2231" s="1" cm="1">
        <f t="array" ref="K2231">(SUMPRODUCT(("var_ncap"=[1]OUT_TransportEnergyCons!$B$4:$B$10000)*1,("-"=[1]OUT_TransportEnergyCons!$C$4:$C$10000)*1,ISNUMBER(SEARCH("tfh*hyb*DSL*",[1]OUT_TransportEnergyCons!$A$4:$A$10000))*1,[1]OUT_TransportEnergyCons!I$4:I$10000))*1000</f>
        <v>17.0877273084904</v>
      </c>
      <c r="L2231" s="1" cm="1">
        <f t="array" ref="L2231">(SUMPRODUCT(("var_ncap"=[1]OUT_TransportEnergyCons!$B$4:$B$10000)*1,("-"=[1]OUT_TransportEnergyCons!$C$4:$C$10000)*1,ISNUMBER(SEARCH("tfh*hyb*DSL*",[1]OUT_TransportEnergyCons!$A$4:$A$10000))*1,[1]OUT_TransportEnergyCons!J$4:J$10000))*1000</f>
        <v>42.473330522983204</v>
      </c>
      <c r="M2231" s="1" cm="1">
        <f t="array" ref="M2231">(SUMPRODUCT(("var_ncap"=[1]OUT_TransportEnergyCons!$B$4:$B$10000)*1,("-"=[1]OUT_TransportEnergyCons!$C$4:$C$10000)*1,ISNUMBER(SEARCH("tfh*hyb*DSL*",[1]OUT_TransportEnergyCons!$A$4:$A$10000))*1,[1]OUT_TransportEnergyCons!K$4:K$10000))*1000</f>
        <v>24.662404001715799</v>
      </c>
      <c r="N2231" s="1" cm="1">
        <f t="array" ref="N2231">(SUMPRODUCT(("var_ncap"=[1]OUT_TransportEnergyCons!$B$4:$B$10000)*1,("-"=[1]OUT_TransportEnergyCons!$C$4:$C$10000)*1,ISNUMBER(SEARCH("tfh*hyb*DSL*",[1]OUT_TransportEnergyCons!$A$4:$A$10000))*1,[1]OUT_TransportEnergyCons!L$4:L$10000))*1000</f>
        <v>37.168380187274302</v>
      </c>
      <c r="O2231" s="1" cm="1">
        <f t="array" ref="O2231">(SUMPRODUCT(("var_ncap"=[1]OUT_TransportEnergyCons!$B$4:$B$10000)*1,("-"=[1]OUT_TransportEnergyCons!$C$4:$C$10000)*1,ISNUMBER(SEARCH("tfh*hyb*DSL*",[1]OUT_TransportEnergyCons!$A$4:$A$10000))*1,[1]OUT_TransportEnergyCons!M$4:M$10000))*1000</f>
        <v>47.493932424059103</v>
      </c>
      <c r="P2231" s="1" cm="1">
        <f t="array" ref="P2231">(SUMPRODUCT(("var_ncap"=[1]OUT_TransportEnergyCons!$B$4:$B$10000)*1,("-"=[1]OUT_TransportEnergyCons!$C$4:$C$10000)*1,ISNUMBER(SEARCH("tfh*hyb*DSL*",[1]OUT_TransportEnergyCons!$A$4:$A$10000))*1,[1]OUT_TransportEnergyCons!N$4:N$10000))*1000</f>
        <v>26.691430093527501</v>
      </c>
      <c r="Q2231" s="1" cm="1">
        <f t="array" ref="Q2231">(SUMPRODUCT(("var_ncap"=[1]OUT_TransportEnergyCons!$B$4:$B$10000)*1,("-"=[1]OUT_TransportEnergyCons!$C$4:$C$10000)*1,ISNUMBER(SEARCH("tfh*hyb*DSL*",[1]OUT_TransportEnergyCons!$A$4:$A$10000))*1,[1]OUT_TransportEnergyCons!O$4:O$10000))*1000</f>
        <v>43.283355029811801</v>
      </c>
      <c r="S2231" s="3"/>
    </row>
    <row r="2232" spans="2:19" x14ac:dyDescent="0.5">
      <c r="B2232" s="5" t="str">
        <f t="shared" si="2251"/>
        <v>SPS1</v>
      </c>
      <c r="C2232" s="5" t="str">
        <f t="shared" si="2252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4.2127287701223295E-4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7.9174196616632597E-4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4.4671357809949498E-3</v>
      </c>
      <c r="J2232" s="1" cm="1">
        <f t="array" ref="J2232">(SUMPRODUCT(("var_ncap"=[1]OUT_TransportEnergyCons!$B$4:$B$10000)*1,("-"=[1]OUT_TransportEnergyCons!$C$4:$C$10000)*1,ISNUMBER(SEARCH("tfh*ice*nga*",[1]OUT_TransportEnergyCons!$A$4:$A$10000))*1,[1]OUT_TransportEnergyCons!H$4:H$10000))*1000</f>
        <v>4.8430629929504801E-3</v>
      </c>
      <c r="K2232" s="1" cm="1">
        <f t="array" ref="K2232">(SUMPRODUCT(("var_ncap"=[1]OUT_TransportEnergyCons!$B$4:$B$10000)*1,("-"=[1]OUT_TransportEnergyCons!$C$4:$C$10000)*1,ISNUMBER(SEARCH("tfh*ice*nga*",[1]OUT_TransportEnergyCons!$A$4:$A$10000))*1,[1]OUT_TransportEnergyCons!I$4:I$10000))*1000</f>
        <v>2.1095515893858798E-3</v>
      </c>
      <c r="L2232" s="1" cm="1">
        <f t="array" ref="L2232">(SUMPRODUCT(("var_ncap"=[1]OUT_TransportEnergyCons!$B$4:$B$10000)*1,("-"=[1]OUT_TransportEnergyCons!$C$4:$C$10000)*1,ISNUMBER(SEARCH("tfh*ice*nga*",[1]OUT_TransportEnergyCons!$A$4:$A$10000))*1,[1]OUT_TransportEnergyCons!J$4:J$10000))*1000</f>
        <v>4.9382121380582801E-3</v>
      </c>
      <c r="M2232" s="1" cm="1">
        <f t="array" ref="M2232">(SUMPRODUCT(("var_ncap"=[1]OUT_TransportEnergyCons!$B$4:$B$10000)*1,("-"=[1]OUT_TransportEnergyCons!$C$4:$C$10000)*1,ISNUMBER(SEARCH("tfh*ice*nga*",[1]OUT_TransportEnergyCons!$A$4:$A$10000))*1,[1]OUT_TransportEnergyCons!K$4:K$10000))*1000</f>
        <v>2.7077802466567496E-3</v>
      </c>
      <c r="N2232" s="1" cm="1">
        <f t="array" ref="N2232">(SUMPRODUCT(("var_ncap"=[1]OUT_TransportEnergyCons!$B$4:$B$10000)*1,("-"=[1]OUT_TransportEnergyCons!$C$4:$C$10000)*1,ISNUMBER(SEARCH("tfh*ice*nga*",[1]OUT_TransportEnergyCons!$A$4:$A$10000))*1,[1]OUT_TransportEnergyCons!L$4:L$10000))*1000</f>
        <v>4.0770988279441294E-3</v>
      </c>
      <c r="O2232" s="1" cm="1">
        <f t="array" ref="O2232">(SUMPRODUCT(("var_ncap"=[1]OUT_TransportEnergyCons!$B$4:$B$10000)*1,("-"=[1]OUT_TransportEnergyCons!$C$4:$C$10000)*1,ISNUMBER(SEARCH("tfh*ice*nga*",[1]OUT_TransportEnergyCons!$A$4:$A$10000))*1,[1]OUT_TransportEnergyCons!M$4:M$10000))*1000</f>
        <v>5.0107887639593701E-3</v>
      </c>
      <c r="P2232" s="1" cm="1">
        <f t="array" ref="P2232">(SUMPRODUCT(("var_ncap"=[1]OUT_TransportEnergyCons!$B$4:$B$10000)*1,("-"=[1]OUT_TransportEnergyCons!$C$4:$C$10000)*1,ISNUMBER(SEARCH("tfh*ice*nga*",[1]OUT_TransportEnergyCons!$A$4:$A$10000))*1,[1]OUT_TransportEnergyCons!N$4:N$10000))*1000</f>
        <v>2.6589041134662899E-3</v>
      </c>
      <c r="Q2232" s="1" cm="1">
        <f t="array" ref="Q2232">(SUMPRODUCT(("var_ncap"=[1]OUT_TransportEnergyCons!$B$4:$B$10000)*1,("-"=[1]OUT_TransportEnergyCons!$C$4:$C$10000)*1,ISNUMBER(SEARCH("tfh*ice*nga*",[1]OUT_TransportEnergyCons!$A$4:$A$10000))*1,[1]OUT_TransportEnergyCons!O$4:O$10000))*1000</f>
        <v>4.29501542746198E-3</v>
      </c>
      <c r="S2232" s="3"/>
    </row>
    <row r="2233" spans="2:19" x14ac:dyDescent="0.5">
      <c r="B2233" s="5" t="str">
        <f>'SPS1'!B1822</f>
        <v>SPS1</v>
      </c>
      <c r="C2233" s="5" t="str">
        <f>'SPS1'!C1822</f>
        <v>CH</v>
      </c>
      <c r="D2233" s="2" t="s">
        <v>2367</v>
      </c>
      <c r="E2233" s="2" t="s">
        <v>1858</v>
      </c>
      <c r="F2233" s="3">
        <f t="shared" ref="F2233:K2233" si="2257">SUM(F2234,F2253)</f>
        <v>4.026767692752889E-4</v>
      </c>
      <c r="G2233" s="3">
        <f t="shared" si="2257"/>
        <v>0.76345481297835527</v>
      </c>
      <c r="H2233" s="3">
        <f t="shared" si="2257"/>
        <v>0.42455302350615343</v>
      </c>
      <c r="I2233" s="3">
        <f t="shared" si="2257"/>
        <v>0.32830113479432871</v>
      </c>
      <c r="J2233" s="3">
        <f t="shared" si="2257"/>
        <v>7.1380735293487207</v>
      </c>
      <c r="K2233" s="3">
        <f t="shared" si="2257"/>
        <v>3.2458686952490714</v>
      </c>
      <c r="L2233" s="3">
        <f t="shared" ref="L2233:O2233" si="2258">SUM(L2234,L2253)</f>
        <v>0.45415091306444855</v>
      </c>
      <c r="M2233" s="3">
        <f t="shared" si="2258"/>
        <v>6.442827596824368</v>
      </c>
      <c r="N2233" s="3">
        <f t="shared" si="2258"/>
        <v>2.494682792053645</v>
      </c>
      <c r="O2233" s="3">
        <f t="shared" si="2258"/>
        <v>0.61256212709034974</v>
      </c>
      <c r="P2233" s="3">
        <f>SUM(P2234,P2253)</f>
        <v>5.637517202789418</v>
      </c>
      <c r="Q2233" s="3">
        <f>SUM(Q2234,Q2253)</f>
        <v>1.7584300221786435</v>
      </c>
      <c r="S2233" s="3"/>
    </row>
    <row r="2234" spans="2:19" x14ac:dyDescent="0.5">
      <c r="B2234" s="5" t="str">
        <f>'SPS1'!B1822</f>
        <v>SPS1</v>
      </c>
      <c r="C2234" s="5" t="str">
        <f>'SPS1'!C1822</f>
        <v>CH</v>
      </c>
      <c r="D2234" t="s">
        <v>2368</v>
      </c>
      <c r="E2234" t="str">
        <f>E2233</f>
        <v>GWth/yr.</v>
      </c>
      <c r="F2234" s="1">
        <f t="shared" ref="F2234:K2234" si="2259">SUM(F2235,F2238,F2240,F2243,F2245,F2247,F2249,F2251)</f>
        <v>3.9238316837445858E-4</v>
      </c>
      <c r="G2234" s="1">
        <f t="shared" si="2259"/>
        <v>0.6056880710008482</v>
      </c>
      <c r="H2234" s="1">
        <f t="shared" si="2259"/>
        <v>0.15292238305662231</v>
      </c>
      <c r="I2234" s="1">
        <f t="shared" si="2259"/>
        <v>0.24798024485630057</v>
      </c>
      <c r="J2234" s="1">
        <f t="shared" si="2259"/>
        <v>6.1901579600352177</v>
      </c>
      <c r="K2234" s="1">
        <f t="shared" si="2259"/>
        <v>2.5705339668406406</v>
      </c>
      <c r="L2234" s="1">
        <f t="shared" ref="L2234:O2234" si="2260">SUM(L2235,L2238,L2240,L2243,L2245,L2247,L2249,L2251)</f>
        <v>0.31565348897665246</v>
      </c>
      <c r="M2234" s="1">
        <f t="shared" si="2260"/>
        <v>5.5705714108594124</v>
      </c>
      <c r="N2234" s="1">
        <f t="shared" si="2260"/>
        <v>1.8666453850770919</v>
      </c>
      <c r="O2234" s="1">
        <f t="shared" si="2260"/>
        <v>0.43589274009868134</v>
      </c>
      <c r="P2234" s="1">
        <f>SUM(P2235,P2238,P2240,P2243,P2245,P2247,P2249,P2251)</f>
        <v>4.7544352223920541</v>
      </c>
      <c r="Q2234" s="1">
        <f>SUM(Q2235,Q2238,Q2240,Q2243,Q2245,Q2247,Q2249,Q2251)</f>
        <v>1.2102448527064795</v>
      </c>
      <c r="S2234" s="3"/>
    </row>
    <row r="2235" spans="2:19" x14ac:dyDescent="0.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261">SUM(F2236:F2237)</f>
        <v>2.0944328707409199E-6</v>
      </c>
      <c r="G2235" s="1">
        <f t="shared" si="2261"/>
        <v>0.30962875053393679</v>
      </c>
      <c r="H2235" s="1">
        <f t="shared" si="2261"/>
        <v>0.14573286242897665</v>
      </c>
      <c r="I2235" s="1">
        <f t="shared" si="2261"/>
        <v>0.17180111406376838</v>
      </c>
      <c r="J2235" s="1">
        <f t="shared" si="2261"/>
        <v>1.7624993246075387</v>
      </c>
      <c r="K2235" s="1">
        <f t="shared" si="2261"/>
        <v>0.78105406313460224</v>
      </c>
      <c r="L2235" s="1">
        <f t="shared" ref="L2235:O2235" si="2262">SUM(L2236:L2237)</f>
        <v>0.20241490156352709</v>
      </c>
      <c r="M2235" s="1">
        <f t="shared" si="2262"/>
        <v>1.5720321420868222</v>
      </c>
      <c r="N2235" s="1">
        <f t="shared" si="2262"/>
        <v>0.58061459731318354</v>
      </c>
      <c r="O2235" s="1">
        <f t="shared" si="2262"/>
        <v>0.26709239515991928</v>
      </c>
      <c r="P2235" s="1">
        <f>SUM(P2236:P2237)</f>
        <v>1.4762891704535896</v>
      </c>
      <c r="Q2235" s="1">
        <f>SUM(Q2236:Q2237)</f>
        <v>0.67017123086146702</v>
      </c>
      <c r="S2235" s="3"/>
    </row>
    <row r="2236" spans="2:19" x14ac:dyDescent="0.5">
      <c r="B2236" s="5" t="str">
        <f t="shared" ref="B2236:B2267" si="2263">B2235</f>
        <v>SPS1</v>
      </c>
      <c r="C2236" s="5" t="str">
        <f t="shared" ref="C2236:C2267" si="2264">C2235</f>
        <v>CH</v>
      </c>
      <c r="D2236" t="s">
        <v>2370</v>
      </c>
      <c r="E2236" t="str">
        <f t="shared" ref="E2236:E2267" si="2265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1.4618959593588048E-6</v>
      </c>
      <c r="G2236" s="1" cm="1">
        <f t="array" ref="G2236">SUMPRODUCT(([1]OUT_FinalEnergyCons!$B$4:$B$10000="var_ncap")*1,(ISNUMBER(SEARCH("RH*-SHELCBR",[1]OUT_FinalEnergyCons!$A$4:$A$10000)))*1,[1]OUT_FinalEnergyCons!E$4:E$10000)</f>
        <v>3.6739937940349056E-2</v>
      </c>
      <c r="H2236" s="1" cm="1">
        <f t="array" ref="H2236">SUMPRODUCT(([1]OUT_FinalEnergyCons!$B$4:$B$10000="var_ncap")*1,(ISNUMBER(SEARCH("RH*-SHELCBR",[1]OUT_FinalEnergyCons!$A$4:$A$10000)))*1,[1]OUT_FinalEnergyCons!F$4:F$10000)</f>
        <v>3.1682728958015713E-6</v>
      </c>
      <c r="I2236" s="1" cm="1">
        <f t="array" ref="I2236">SUMPRODUCT(([1]OUT_FinalEnergyCons!$B$4:$B$10000="var_ncap")*1,(ISNUMBER(SEARCH("RH*-SHELCBR",[1]OUT_FinalEnergyCons!$A$4:$A$10000)))*1,[1]OUT_FinalEnergyCons!G$4:G$10000)</f>
        <v>5.1237667855662018E-6</v>
      </c>
      <c r="J2236" s="1" cm="1">
        <f t="array" ref="J2236">SUMPRODUCT(([1]OUT_FinalEnergyCons!$B$4:$B$10000="var_ncap")*1,(ISNUMBER(SEARCH("RH*-SHELCBR",[1]OUT_FinalEnergyCons!$A$4:$A$10000)))*1,[1]OUT_FinalEnergyCons!H$4:H$10000)</f>
        <v>0.24701131490592523</v>
      </c>
      <c r="K2236" s="1" cm="1">
        <f t="array" ref="K2236">SUMPRODUCT(([1]OUT_FinalEnergyCons!$B$4:$B$10000="var_ncap")*1,(ISNUMBER(SEARCH("RH*-SHELCBR",[1]OUT_FinalEnergyCons!$A$4:$A$10000)))*1,[1]OUT_FinalEnergyCons!I$4:I$10000)</f>
        <v>0.1218426358985565</v>
      </c>
      <c r="L2236" s="1" cm="1">
        <f t="array" ref="L2236">SUMPRODUCT(([1]OUT_FinalEnergyCons!$B$4:$B$10000="var_ncap")*1,(ISNUMBER(SEARCH("RH*-SHELCBR",[1]OUT_FinalEnergyCons!$A$4:$A$10000)))*1,[1]OUT_FinalEnergyCons!J$4:J$10000)</f>
        <v>3.2706772376826385E-2</v>
      </c>
      <c r="M2236" s="1" cm="1">
        <f t="array" ref="M2236">SUMPRODUCT(([1]OUT_FinalEnergyCons!$B$4:$B$10000="var_ncap")*1,(ISNUMBER(SEARCH("RH*-SHELCBR",[1]OUT_FinalEnergyCons!$A$4:$A$10000)))*1,[1]OUT_FinalEnergyCons!K$4:K$10000)</f>
        <v>3.5645963067947303E-2</v>
      </c>
      <c r="N2236" s="1" cm="1">
        <f t="array" ref="N2236">SUMPRODUCT(([1]OUT_FinalEnergyCons!$B$4:$B$10000="var_ncap")*1,(ISNUMBER(SEARCH("RH*-SHELCBR",[1]OUT_FinalEnergyCons!$A$4:$A$10000)))*1,[1]OUT_FinalEnergyCons!L$4:L$10000)</f>
        <v>2.9079978648864082E-4</v>
      </c>
      <c r="O2236" s="1" cm="1">
        <f t="array" ref="O2236">SUMPRODUCT(([1]OUT_FinalEnergyCons!$B$4:$B$10000="var_ncap")*1,(ISNUMBER(SEARCH("RH*-SHELCBR",[1]OUT_FinalEnergyCons!$A$4:$A$10000)))*1,[1]OUT_FinalEnergyCons!M$4:M$10000)</f>
        <v>1.8477539256254064E-2</v>
      </c>
      <c r="P2236" s="1" cm="1">
        <f t="array" ref="P2236">SUMPRODUCT(([1]OUT_FinalEnergyCons!$B$4:$B$10000="var_ncap")*1,(ISNUMBER(SEARCH("RH*-SHELCBR",[1]OUT_FinalEnergyCons!$A$4:$A$10000)))*1,[1]OUT_FinalEnergyCons!N$4:N$10000)</f>
        <v>2.8054173695354338E-2</v>
      </c>
      <c r="Q2236" s="1" cm="1">
        <f t="array" ref="Q2236">SUMPRODUCT(([1]OUT_FinalEnergyCons!$B$4:$B$10000="var_ncap")*1,(ISNUMBER(SEARCH("RH*-SHELCBR",[1]OUT_FinalEnergyCons!$A$4:$A$10000)))*1,[1]OUT_FinalEnergyCons!O$4:O$10000)</f>
        <v>1.4664327388488872E-3</v>
      </c>
      <c r="S2236" s="3"/>
    </row>
    <row r="2237" spans="2:19" x14ac:dyDescent="0.5">
      <c r="B2237" s="5" t="str">
        <f t="shared" si="2263"/>
        <v>SPS1</v>
      </c>
      <c r="C2237" s="5" t="str">
        <f t="shared" si="2264"/>
        <v>CH</v>
      </c>
      <c r="D2237" t="s">
        <v>2371</v>
      </c>
      <c r="E2237" t="str">
        <f t="shared" si="2265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6.3253691138211503E-7</v>
      </c>
      <c r="G2237" s="1" cm="1">
        <f t="array" ref="G2237">SUMPRODUCT(([1]OUT_FinalEnergyCons!$B$4:$B$10000="var_ncap")*1,ISNUMBER(SEARCH("RH*-SHELCHP",[1]OUT_FinalEnergyCons!$A$4:$A$10000))*1,[1]OUT_FinalEnergyCons!E$4:E$10000)</f>
        <v>0.27288881259358772</v>
      </c>
      <c r="H2237" s="1" cm="1">
        <f t="array" ref="H2237">SUMPRODUCT(([1]OUT_FinalEnergyCons!$B$4:$B$10000="var_ncap")*1,ISNUMBER(SEARCH("RH*-SHELCHP",[1]OUT_FinalEnergyCons!$A$4:$A$10000))*1,[1]OUT_FinalEnergyCons!F$4:F$10000)</f>
        <v>0.14572969415608084</v>
      </c>
      <c r="I2237" s="1" cm="1">
        <f t="array" ref="I2237">SUMPRODUCT(([1]OUT_FinalEnergyCons!$B$4:$B$10000="var_ncap")*1,ISNUMBER(SEARCH("RH*-SHELCHP",[1]OUT_FinalEnergyCons!$A$4:$A$10000))*1,[1]OUT_FinalEnergyCons!G$4:G$10000)</f>
        <v>0.17179599029698281</v>
      </c>
      <c r="J2237" s="1" cm="1">
        <f t="array" ref="J2237">SUMPRODUCT(([1]OUT_FinalEnergyCons!$B$4:$B$10000="var_ncap")*1,ISNUMBER(SEARCH("RH*-SHELCHP",[1]OUT_FinalEnergyCons!$A$4:$A$10000))*1,[1]OUT_FinalEnergyCons!H$4:H$10000)</f>
        <v>1.5154880097016135</v>
      </c>
      <c r="K2237" s="1" cm="1">
        <f t="array" ref="K2237">SUMPRODUCT(([1]OUT_FinalEnergyCons!$B$4:$B$10000="var_ncap")*1,ISNUMBER(SEARCH("RH*-SHELCHP",[1]OUT_FinalEnergyCons!$A$4:$A$10000))*1,[1]OUT_FinalEnergyCons!I$4:I$10000)</f>
        <v>0.65921142723604575</v>
      </c>
      <c r="L2237" s="1" cm="1">
        <f t="array" ref="L2237">SUMPRODUCT(([1]OUT_FinalEnergyCons!$B$4:$B$10000="var_ncap")*1,ISNUMBER(SEARCH("RH*-SHELCHP",[1]OUT_FinalEnergyCons!$A$4:$A$10000))*1,[1]OUT_FinalEnergyCons!J$4:J$10000)</f>
        <v>0.1697081291867007</v>
      </c>
      <c r="M2237" s="1" cm="1">
        <f t="array" ref="M2237">SUMPRODUCT(([1]OUT_FinalEnergyCons!$B$4:$B$10000="var_ncap")*1,ISNUMBER(SEARCH("RH*-SHELCHP",[1]OUT_FinalEnergyCons!$A$4:$A$10000))*1,[1]OUT_FinalEnergyCons!K$4:K$10000)</f>
        <v>1.5363861790188749</v>
      </c>
      <c r="N2237" s="1" cm="1">
        <f t="array" ref="N2237">SUMPRODUCT(([1]OUT_FinalEnergyCons!$B$4:$B$10000="var_ncap")*1,ISNUMBER(SEARCH("RH*-SHELCHP",[1]OUT_FinalEnergyCons!$A$4:$A$10000))*1,[1]OUT_FinalEnergyCons!L$4:L$10000)</f>
        <v>0.58032379752669494</v>
      </c>
      <c r="O2237" s="1" cm="1">
        <f t="array" ref="O2237">SUMPRODUCT(([1]OUT_FinalEnergyCons!$B$4:$B$10000="var_ncap")*1,ISNUMBER(SEARCH("RH*-SHELCHP",[1]OUT_FinalEnergyCons!$A$4:$A$10000))*1,[1]OUT_FinalEnergyCons!M$4:M$10000)</f>
        <v>0.24861485590366522</v>
      </c>
      <c r="P2237" s="1" cm="1">
        <f t="array" ref="P2237">SUMPRODUCT(([1]OUT_FinalEnergyCons!$B$4:$B$10000="var_ncap")*1,ISNUMBER(SEARCH("RH*-SHELCHP",[1]OUT_FinalEnergyCons!$A$4:$A$10000))*1,[1]OUT_FinalEnergyCons!N$4:N$10000)</f>
        <v>1.4482349967582353</v>
      </c>
      <c r="Q2237" s="1" cm="1">
        <f t="array" ref="Q2237">SUMPRODUCT(([1]OUT_FinalEnergyCons!$B$4:$B$10000="var_ncap")*1,ISNUMBER(SEARCH("RH*-SHELCHP",[1]OUT_FinalEnergyCons!$A$4:$A$10000))*1,[1]OUT_FinalEnergyCons!O$4:O$10000)</f>
        <v>0.66870479812261818</v>
      </c>
      <c r="S2237" s="3"/>
    </row>
    <row r="2238" spans="2:19" x14ac:dyDescent="0.5">
      <c r="B2238" s="5" t="str">
        <f t="shared" si="2263"/>
        <v>SPS1</v>
      </c>
      <c r="C2238" s="5" t="str">
        <f t="shared" si="2264"/>
        <v>CH</v>
      </c>
      <c r="D2238" t="s">
        <v>2372</v>
      </c>
      <c r="E2238" t="str">
        <f t="shared" si="2265"/>
        <v>GWth/yr.</v>
      </c>
      <c r="F2238" s="1">
        <f t="shared" ref="F2238:O2238" si="2266">F2239</f>
        <v>0</v>
      </c>
      <c r="G2238" s="1">
        <f t="shared" si="2266"/>
        <v>2.6821155176666869E-7</v>
      </c>
      <c r="H2238" s="1">
        <f t="shared" si="2266"/>
        <v>3.3025892053075322E-7</v>
      </c>
      <c r="I2238" s="1">
        <f t="shared" si="2266"/>
        <v>6.9368785104737201E-7</v>
      </c>
      <c r="J2238" s="1">
        <f t="shared" si="2266"/>
        <v>1.5601062714420399</v>
      </c>
      <c r="K2238" s="1">
        <f t="shared" si="2266"/>
        <v>0.73119032231097902</v>
      </c>
      <c r="L2238" s="1">
        <f t="shared" si="2266"/>
        <v>1.9723194346248271E-6</v>
      </c>
      <c r="M2238" s="1">
        <f t="shared" si="2266"/>
        <v>1.151799545256065</v>
      </c>
      <c r="N2238" s="1">
        <f t="shared" si="2266"/>
        <v>0.49045128809979599</v>
      </c>
      <c r="O2238" s="1">
        <f t="shared" si="2266"/>
        <v>4.1472177770152503E-6</v>
      </c>
      <c r="P2238" s="1">
        <f>P2239</f>
        <v>0.56935438301303098</v>
      </c>
      <c r="Q2238" s="1">
        <f>Q2239</f>
        <v>5.3011140622139795E-6</v>
      </c>
      <c r="S2238" s="3"/>
    </row>
    <row r="2239" spans="2:19" x14ac:dyDescent="0.5">
      <c r="B2239" s="5" t="str">
        <f t="shared" si="2263"/>
        <v>SPS1</v>
      </c>
      <c r="C2239" s="5" t="str">
        <f t="shared" si="2264"/>
        <v>CH</v>
      </c>
      <c r="D2239" t="s">
        <v>2373</v>
      </c>
      <c r="E2239" t="str">
        <f t="shared" si="2265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2.6821155176666869E-7</v>
      </c>
      <c r="H2239" s="1" cm="1">
        <f t="array" ref="H2239">SUMPRODUCT(([1]OUT_FinalEnergyCons!$B$4:$B$10000="var_ncap")*1, (ISNUMBER(SEARCH("RH*-SHLFOBR",[1]OUT_FinalEnergyCons!$A$4:$A$10000)))*1,[1]OUT_FinalEnergyCons!F$4:F$10000)</f>
        <v>3.3025892053075322E-7</v>
      </c>
      <c r="I2239" s="1" cm="1">
        <f t="array" ref="I2239">SUMPRODUCT(([1]OUT_FinalEnergyCons!$B$4:$B$10000="var_ncap")*1, (ISNUMBER(SEARCH("RH*-SHLFOBR",[1]OUT_FinalEnergyCons!$A$4:$A$10000)))*1,[1]OUT_FinalEnergyCons!G$4:G$10000)</f>
        <v>6.9368785104737201E-7</v>
      </c>
      <c r="J2239" s="1" cm="1">
        <f t="array" ref="J2239">SUMPRODUCT(([1]OUT_FinalEnergyCons!$B$4:$B$10000="var_ncap")*1, (ISNUMBER(SEARCH("RH*-SHLFOBR",[1]OUT_FinalEnergyCons!$A$4:$A$10000)))*1,[1]OUT_FinalEnergyCons!H$4:H$10000)</f>
        <v>1.5601062714420399</v>
      </c>
      <c r="K2239" s="1" cm="1">
        <f t="array" ref="K2239">SUMPRODUCT(([1]OUT_FinalEnergyCons!$B$4:$B$10000="var_ncap")*1, (ISNUMBER(SEARCH("RH*-SHLFOBR",[1]OUT_FinalEnergyCons!$A$4:$A$10000)))*1,[1]OUT_FinalEnergyCons!I$4:I$10000)</f>
        <v>0.73119032231097902</v>
      </c>
      <c r="L2239" s="1" cm="1">
        <f t="array" ref="L2239">SUMPRODUCT(([1]OUT_FinalEnergyCons!$B$4:$B$10000="var_ncap")*1, (ISNUMBER(SEARCH("RH*-SHLFOBR",[1]OUT_FinalEnergyCons!$A$4:$A$10000)))*1,[1]OUT_FinalEnergyCons!J$4:J$10000)</f>
        <v>1.9723194346248271E-6</v>
      </c>
      <c r="M2239" s="1" cm="1">
        <f t="array" ref="M2239">SUMPRODUCT(([1]OUT_FinalEnergyCons!$B$4:$B$10000="var_ncap")*1, (ISNUMBER(SEARCH("RH*-SHLFOBR",[1]OUT_FinalEnergyCons!$A$4:$A$10000)))*1,[1]OUT_FinalEnergyCons!K$4:K$10000)</f>
        <v>1.151799545256065</v>
      </c>
      <c r="N2239" s="1" cm="1">
        <f t="array" ref="N2239">SUMPRODUCT(([1]OUT_FinalEnergyCons!$B$4:$B$10000="var_ncap")*1, (ISNUMBER(SEARCH("RH*-SHLFOBR",[1]OUT_FinalEnergyCons!$A$4:$A$10000)))*1,[1]OUT_FinalEnergyCons!L$4:L$10000)</f>
        <v>0.49045128809979599</v>
      </c>
      <c r="O2239" s="1" cm="1">
        <f t="array" ref="O2239">SUMPRODUCT(([1]OUT_FinalEnergyCons!$B$4:$B$10000="var_ncap")*1, (ISNUMBER(SEARCH("RH*-SHLFOBR",[1]OUT_FinalEnergyCons!$A$4:$A$10000)))*1,[1]OUT_FinalEnergyCons!M$4:M$10000)</f>
        <v>4.1472177770152503E-6</v>
      </c>
      <c r="P2239" s="1" cm="1">
        <f t="array" ref="P2239">SUMPRODUCT(([1]OUT_FinalEnergyCons!$B$4:$B$10000="var_ncap")*1, (ISNUMBER(SEARCH("RH*-SHLFOBR",[1]OUT_FinalEnergyCons!$A$4:$A$10000)))*1,[1]OUT_FinalEnergyCons!N$4:N$10000)</f>
        <v>0.56935438301303098</v>
      </c>
      <c r="Q2239" s="1" cm="1">
        <f t="array" ref="Q2239">SUMPRODUCT(([1]OUT_FinalEnergyCons!$B$4:$B$10000="var_ncap")*1, (ISNUMBER(SEARCH("RH*-SHLFOBR",[1]OUT_FinalEnergyCons!$A$4:$A$10000)))*1,[1]OUT_FinalEnergyCons!O$4:O$10000)</f>
        <v>5.3011140622139795E-6</v>
      </c>
      <c r="S2239" s="3"/>
    </row>
    <row r="2240" spans="2:19" x14ac:dyDescent="0.5">
      <c r="B2240" s="5" t="str">
        <f t="shared" si="2263"/>
        <v>SPS1</v>
      </c>
      <c r="C2240" s="5" t="str">
        <f t="shared" si="2264"/>
        <v>CH</v>
      </c>
      <c r="D2240" t="s">
        <v>2374</v>
      </c>
      <c r="E2240" t="str">
        <f t="shared" si="2265"/>
        <v>GWth/yr.</v>
      </c>
      <c r="F2240" s="1">
        <f t="shared" ref="F2240:K2240" si="2267">SUM(F2241:F2242)</f>
        <v>7.54592135734625E-8</v>
      </c>
      <c r="G2240" s="1">
        <f t="shared" si="2267"/>
        <v>0.22860727997148578</v>
      </c>
      <c r="H2240" s="1">
        <f t="shared" si="2267"/>
        <v>1.1274526246376722E-3</v>
      </c>
      <c r="I2240" s="1">
        <f t="shared" si="2267"/>
        <v>6.5380426145159487E-2</v>
      </c>
      <c r="J2240" s="1">
        <f t="shared" si="2267"/>
        <v>2.3174767001306593</v>
      </c>
      <c r="K2240" s="1">
        <f t="shared" si="2267"/>
        <v>0.81389242128939776</v>
      </c>
      <c r="L2240" s="1">
        <f t="shared" ref="L2240:O2240" si="2268">SUM(L2241:L2242)</f>
        <v>8.129842995401633E-2</v>
      </c>
      <c r="M2240" s="1">
        <f t="shared" si="2268"/>
        <v>2.4188440351471865</v>
      </c>
      <c r="N2240" s="1">
        <f t="shared" si="2268"/>
        <v>0.59853863965184706</v>
      </c>
      <c r="O2240" s="1">
        <f t="shared" si="2268"/>
        <v>0.12961951938592492</v>
      </c>
      <c r="P2240" s="1">
        <f>SUM(P2241:P2242)</f>
        <v>2.3263178324507461</v>
      </c>
      <c r="Q2240" s="1">
        <f>SUM(Q2241:Q2242)</f>
        <v>0.4135111925092787</v>
      </c>
      <c r="S2240" s="3"/>
    </row>
    <row r="2241" spans="2:19" x14ac:dyDescent="0.5">
      <c r="B2241" s="5" t="str">
        <f t="shared" si="2263"/>
        <v>SPS1</v>
      </c>
      <c r="C2241" s="5" t="str">
        <f t="shared" si="2264"/>
        <v>CH</v>
      </c>
      <c r="D2241" t="s">
        <v>2375</v>
      </c>
      <c r="E2241" t="str">
        <f t="shared" si="2265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0.22860647312902788</v>
      </c>
      <c r="H2241" s="1" cm="1">
        <f t="array" ref="H2241">SUMPRODUCT(([1]OUT_FinalEnergyCons!$B$4:$B$10000="var_ncap")*1, (ISNUMBER(SEARCH("RH*-SHNGABR",[1]OUT_FinalEnergyCons!$A$4:$A$10000)))*1,[1]OUT_FinalEnergyCons!F$4:F$10000)</f>
        <v>4.3227648086952325E-6</v>
      </c>
      <c r="I2241" s="1" cm="1">
        <f t="array" ref="I2241">SUMPRODUCT(([1]OUT_FinalEnergyCons!$B$4:$B$10000="var_ncap")*1, (ISNUMBER(SEARCH("RH*-SHNGABR",[1]OUT_FinalEnergyCons!$A$4:$A$10000)))*1,[1]OUT_FinalEnergyCons!G$4:G$10000)</f>
        <v>6.5374436949524661E-2</v>
      </c>
      <c r="J2241" s="1" cm="1">
        <f t="array" ref="J2241">SUMPRODUCT(([1]OUT_FinalEnergyCons!$B$4:$B$10000="var_ncap")*1, (ISNUMBER(SEARCH("RH*-SHNGABR",[1]OUT_FinalEnergyCons!$A$4:$A$10000)))*1,[1]OUT_FinalEnergyCons!H$4:H$10000)</f>
        <v>2.1263130843692482</v>
      </c>
      <c r="K2241" s="1" cm="1">
        <f t="array" ref="K2241">SUMPRODUCT(([1]OUT_FinalEnergyCons!$B$4:$B$10000="var_ncap")*1, (ISNUMBER(SEARCH("RH*-SHNGABR",[1]OUT_FinalEnergyCons!$A$4:$A$10000)))*1,[1]OUT_FinalEnergyCons!I$4:I$10000)</f>
        <v>0.64452933567016801</v>
      </c>
      <c r="L2241" s="1" cm="1">
        <f t="array" ref="L2241">SUMPRODUCT(([1]OUT_FinalEnergyCons!$B$4:$B$10000="var_ncap")*1, (ISNUMBER(SEARCH("RH*-SHNGABR",[1]OUT_FinalEnergyCons!$A$4:$A$10000)))*1,[1]OUT_FinalEnergyCons!J$4:J$10000)</f>
        <v>2.559116170450602E-5</v>
      </c>
      <c r="M2241" s="1" cm="1">
        <f t="array" ref="M2241">SUMPRODUCT(([1]OUT_FinalEnergyCons!$B$4:$B$10000="var_ncap")*1, (ISNUMBER(SEARCH("RH*-SHNGABR",[1]OUT_FinalEnergyCons!$A$4:$A$10000)))*1,[1]OUT_FinalEnergyCons!K$4:K$10000)</f>
        <v>2.0158272398357422</v>
      </c>
      <c r="N2241" s="1" cm="1">
        <f t="array" ref="N2241">SUMPRODUCT(([1]OUT_FinalEnergyCons!$B$4:$B$10000="var_ncap")*1, (ISNUMBER(SEARCH("RH*-SHNGABR",[1]OUT_FinalEnergyCons!$A$4:$A$10000)))*1,[1]OUT_FinalEnergyCons!L$4:L$10000)</f>
        <v>0.39928350548437197</v>
      </c>
      <c r="O2241" s="1" cm="1">
        <f t="array" ref="O2241">SUMPRODUCT(([1]OUT_FinalEnergyCons!$B$4:$B$10000="var_ncap")*1, (ISNUMBER(SEARCH("RH*-SHNGABR",[1]OUT_FinalEnergyCons!$A$4:$A$10000)))*1,[1]OUT_FinalEnergyCons!M$4:M$10000)</f>
        <v>7.5426850207982499E-6</v>
      </c>
      <c r="P2241" s="1" cm="1">
        <f t="array" ref="P2241">SUMPRODUCT(([1]OUT_FinalEnergyCons!$B$4:$B$10000="var_ncap")*1, (ISNUMBER(SEARCH("RH*-SHNGABR",[1]OUT_FinalEnergyCons!$A$4:$A$10000)))*1,[1]OUT_FinalEnergyCons!N$4:N$10000)</f>
        <v>1.6505420598258982</v>
      </c>
      <c r="Q2241" s="1" cm="1">
        <f t="array" ref="Q2241">SUMPRODUCT(([1]OUT_FinalEnergyCons!$B$4:$B$10000="var_ncap")*1, (ISNUMBER(SEARCH("RH*-SHNGABR",[1]OUT_FinalEnergyCons!$A$4:$A$10000)))*1,[1]OUT_FinalEnergyCons!O$4:O$10000)</f>
        <v>0.20535682127391089</v>
      </c>
      <c r="S2241" s="3"/>
    </row>
    <row r="2242" spans="2:19" x14ac:dyDescent="0.5">
      <c r="B2242" s="5" t="str">
        <f t="shared" si="2263"/>
        <v>SPS1</v>
      </c>
      <c r="C2242" s="5" t="str">
        <f t="shared" si="2264"/>
        <v>CH</v>
      </c>
      <c r="D2242" t="s">
        <v>2376</v>
      </c>
      <c r="E2242" t="str">
        <f t="shared" si="2265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7.54592135734625E-8</v>
      </c>
      <c r="G2242" s="1" cm="1">
        <f t="array" ref="G2242">SUMPRODUCT(([1]OUT_FinalEnergyCons!$B$4:$B$10000="var_ncap")*1,ISNUMBER(SEARCH("RH*-SHngahp",[1]OUT_FinalEnergyCons!$A$4:$A$10000))*1,[1]OUT_FinalEnergyCons!E$4:E$10000)</f>
        <v>8.0684245789111403E-7</v>
      </c>
      <c r="H2242" s="1" cm="1">
        <f t="array" ref="H2242">SUMPRODUCT(([1]OUT_FinalEnergyCons!$B$4:$B$10000="var_ncap")*1,ISNUMBER(SEARCH("RH*-SHngahp",[1]OUT_FinalEnergyCons!$A$4:$A$10000))*1,[1]OUT_FinalEnergyCons!F$4:F$10000)</f>
        <v>1.123129859828977E-3</v>
      </c>
      <c r="I2242" s="1" cm="1">
        <f t="array" ref="I2242">SUMPRODUCT(([1]OUT_FinalEnergyCons!$B$4:$B$10000="var_ncap")*1,ISNUMBER(SEARCH("RH*-SHngahp",[1]OUT_FinalEnergyCons!$A$4:$A$10000))*1,[1]OUT_FinalEnergyCons!G$4:G$10000)</f>
        <v>5.9891956348239752E-6</v>
      </c>
      <c r="J2242" s="1" cm="1">
        <f t="array" ref="J2242">SUMPRODUCT(([1]OUT_FinalEnergyCons!$B$4:$B$10000="var_ncap")*1,ISNUMBER(SEARCH("RH*-SHngahp",[1]OUT_FinalEnergyCons!$A$4:$A$10000))*1,[1]OUT_FinalEnergyCons!H$4:H$10000)</f>
        <v>0.19116361576141097</v>
      </c>
      <c r="K2242" s="1" cm="1">
        <f t="array" ref="K2242">SUMPRODUCT(([1]OUT_FinalEnergyCons!$B$4:$B$10000="var_ncap")*1,ISNUMBER(SEARCH("RH*-SHngahp",[1]OUT_FinalEnergyCons!$A$4:$A$10000))*1,[1]OUT_FinalEnergyCons!I$4:I$10000)</f>
        <v>0.16936308561922972</v>
      </c>
      <c r="L2242" s="1" cm="1">
        <f t="array" ref="L2242">SUMPRODUCT(([1]OUT_FinalEnergyCons!$B$4:$B$10000="var_ncap")*1,ISNUMBER(SEARCH("RH*-SHngahp",[1]OUT_FinalEnergyCons!$A$4:$A$10000))*1,[1]OUT_FinalEnergyCons!J$4:J$10000)</f>
        <v>8.1272838792311827E-2</v>
      </c>
      <c r="M2242" s="1" cm="1">
        <f t="array" ref="M2242">SUMPRODUCT(([1]OUT_FinalEnergyCons!$B$4:$B$10000="var_ncap")*1,ISNUMBER(SEARCH("RH*-SHngahp",[1]OUT_FinalEnergyCons!$A$4:$A$10000))*1,[1]OUT_FinalEnergyCons!K$4:K$10000)</f>
        <v>0.40301679531144419</v>
      </c>
      <c r="N2242" s="1" cm="1">
        <f t="array" ref="N2242">SUMPRODUCT(([1]OUT_FinalEnergyCons!$B$4:$B$10000="var_ncap")*1,ISNUMBER(SEARCH("RH*-SHngahp",[1]OUT_FinalEnergyCons!$A$4:$A$10000))*1,[1]OUT_FinalEnergyCons!L$4:L$10000)</f>
        <v>0.19925513416747509</v>
      </c>
      <c r="O2242" s="1" cm="1">
        <f t="array" ref="O2242">SUMPRODUCT(([1]OUT_FinalEnergyCons!$B$4:$B$10000="var_ncap")*1,ISNUMBER(SEARCH("RH*-SHngahp",[1]OUT_FinalEnergyCons!$A$4:$A$10000))*1,[1]OUT_FinalEnergyCons!M$4:M$10000)</f>
        <v>0.12961197670090413</v>
      </c>
      <c r="P2242" s="1" cm="1">
        <f t="array" ref="P2242">SUMPRODUCT(([1]OUT_FinalEnergyCons!$B$4:$B$10000="var_ncap")*1,ISNUMBER(SEARCH("RH*-SHngahp",[1]OUT_FinalEnergyCons!$A$4:$A$10000))*1,[1]OUT_FinalEnergyCons!N$4:N$10000)</f>
        <v>0.67577577262484778</v>
      </c>
      <c r="Q2242" s="1" cm="1">
        <f t="array" ref="Q2242">SUMPRODUCT(([1]OUT_FinalEnergyCons!$B$4:$B$10000="var_ncap")*1,ISNUMBER(SEARCH("RH*-SHngahp",[1]OUT_FinalEnergyCons!$A$4:$A$10000))*1,[1]OUT_FinalEnergyCons!O$4:O$10000)</f>
        <v>0.20815437123536784</v>
      </c>
      <c r="S2242" s="3"/>
    </row>
    <row r="2243" spans="2:19" x14ac:dyDescent="0.5">
      <c r="B2243" s="5" t="str">
        <f t="shared" si="2263"/>
        <v>SPS1</v>
      </c>
      <c r="C2243" s="5" t="str">
        <f t="shared" si="2264"/>
        <v>CH</v>
      </c>
      <c r="D2243" t="s">
        <v>2377</v>
      </c>
      <c r="E2243" t="str">
        <f t="shared" si="2265"/>
        <v>GWth/yr.</v>
      </c>
      <c r="F2243" s="1">
        <f t="shared" ref="F2243:O2243" si="2269">F2244</f>
        <v>0</v>
      </c>
      <c r="G2243" s="1">
        <f t="shared" si="2269"/>
        <v>0</v>
      </c>
      <c r="H2243" s="1">
        <f t="shared" si="2269"/>
        <v>0</v>
      </c>
      <c r="I2243" s="1">
        <f t="shared" si="2269"/>
        <v>0</v>
      </c>
      <c r="J2243" s="1">
        <f t="shared" si="2269"/>
        <v>0</v>
      </c>
      <c r="K2243" s="1">
        <f t="shared" si="2269"/>
        <v>0</v>
      </c>
      <c r="L2243" s="1">
        <f t="shared" si="2269"/>
        <v>0</v>
      </c>
      <c r="M2243" s="1">
        <f t="shared" si="2269"/>
        <v>0</v>
      </c>
      <c r="N2243" s="1">
        <f t="shared" si="2269"/>
        <v>0</v>
      </c>
      <c r="O2243" s="1">
        <f t="shared" si="2269"/>
        <v>0</v>
      </c>
      <c r="P2243" s="1">
        <f>P2244</f>
        <v>0</v>
      </c>
      <c r="Q2243" s="1">
        <f>Q2244</f>
        <v>0</v>
      </c>
      <c r="S2243" s="3"/>
    </row>
    <row r="2244" spans="2:19" x14ac:dyDescent="0.5">
      <c r="B2244" s="5" t="str">
        <f t="shared" si="2263"/>
        <v>SPS1</v>
      </c>
      <c r="C2244" s="5" t="str">
        <f t="shared" si="2264"/>
        <v>CH</v>
      </c>
      <c r="D2244" t="s">
        <v>2378</v>
      </c>
      <c r="E2244" t="str">
        <f t="shared" si="2265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SUMPRODUCT(([1]OUT_FinalEnergyCons!$B$4:$B$10000="var_ncap")*1, (ISNUMBER(SEARCH("RH*-SHCOABR",[1]OUT_FinalEnergyCons!$A$4:$A$10000)))*1,[1]OUT_FinalEnergyCons!H$4:H$10000)</f>
        <v>0</v>
      </c>
      <c r="K2244" s="1" cm="1">
        <f t="array" ref="K2244">SUMPRODUCT(([1]OUT_FinalEnergyCons!$B$4:$B$10000="var_ncap")*1, (ISNUMBER(SEARCH("RH*-SHCOABR",[1]OUT_FinalEnergyCons!$A$4:$A$10000)))*1,[1]OUT_FinalEnergyCons!I$4:I$10000)</f>
        <v>0</v>
      </c>
      <c r="L2244" s="1" cm="1">
        <f t="array" ref="L2244">SUMPRODUCT(([1]OUT_FinalEnergyCons!$B$4:$B$10000="var_ncap")*1, (ISNUMBER(SEARCH("RH*-SHCOABR",[1]OUT_FinalEnergyCons!$A$4:$A$10000)))*1,[1]OUT_FinalEnergyCons!J$4:J$10000)</f>
        <v>0</v>
      </c>
      <c r="M2244" s="1" cm="1">
        <f t="array" ref="M2244">SUMPRODUCT(([1]OUT_FinalEnergyCons!$B$4:$B$10000="var_ncap")*1, (ISNUMBER(SEARCH("RH*-SHCOABR",[1]OUT_FinalEnergyCons!$A$4:$A$10000)))*1,[1]OUT_FinalEnergyCons!K$4:K$10000)</f>
        <v>0</v>
      </c>
      <c r="N2244" s="1" cm="1">
        <f t="array" ref="N2244">SUMPRODUCT(([1]OUT_FinalEnergyCons!$B$4:$B$10000="var_ncap")*1, (ISNUMBER(SEARCH("RH*-SHCOABR",[1]OUT_FinalEnergyCons!$A$4:$A$10000)))*1,[1]OUT_FinalEnergyCons!L$4:L$10000)</f>
        <v>0</v>
      </c>
      <c r="O2244" s="1" cm="1">
        <f t="array" ref="O2244">SUMPRODUCT(([1]OUT_FinalEnergyCons!$B$4:$B$10000="var_ncap")*1, (ISNUMBER(SEARCH("RH*-SHCOABR",[1]OUT_FinalEnergyCons!$A$4:$A$10000)))*1,[1]OUT_FinalEnergyCons!M$4:M$10000)</f>
        <v>0</v>
      </c>
      <c r="P2244" s="1" cm="1">
        <f t="array" ref="P2244">SUMPRODUCT(([1]OUT_FinalEnergyCons!$B$4:$B$10000="var_ncap")*1, (ISNUMBER(SEARCH("RH*-SHCOABR",[1]OUT_FinalEnergyCons!$A$4:$A$10000)))*1,[1]OUT_FinalEnergyCons!N$4:N$10000)</f>
        <v>0</v>
      </c>
      <c r="Q2244" s="1" cm="1">
        <f t="array" ref="Q2244">SUMPRODUCT(([1]OUT_FinalEnergyCons!$B$4:$B$10000="var_ncap")*1, (ISNUMBER(SEARCH("RH*-SHCOABR",[1]OUT_FinalEnergyCons!$A$4:$A$10000)))*1,[1]OUT_FinalEnergyCons!O$4:O$10000)</f>
        <v>0</v>
      </c>
      <c r="S2244" s="3"/>
    </row>
    <row r="2245" spans="2:19" x14ac:dyDescent="0.5">
      <c r="B2245" s="5" t="str">
        <f t="shared" si="2263"/>
        <v>SPS1</v>
      </c>
      <c r="C2245" s="5" t="str">
        <f t="shared" si="2264"/>
        <v>CH</v>
      </c>
      <c r="D2245" t="s">
        <v>2379</v>
      </c>
      <c r="E2245" t="str">
        <f t="shared" si="2265"/>
        <v>GWth/yr.</v>
      </c>
      <c r="F2245" s="1">
        <f t="shared" ref="F2245:O2245" si="2270">F2246</f>
        <v>1.5324287332735899E-4</v>
      </c>
      <c r="G2245" s="1">
        <f t="shared" si="2270"/>
        <v>8.4667301902312479E-3</v>
      </c>
      <c r="H2245" s="1">
        <f t="shared" si="2270"/>
        <v>5.7540756092454874E-3</v>
      </c>
      <c r="I2245" s="1">
        <f t="shared" si="2270"/>
        <v>6.2990034296000201E-6</v>
      </c>
      <c r="J2245" s="1">
        <f t="shared" si="2270"/>
        <v>0.28060098196837907</v>
      </c>
      <c r="K2245" s="1">
        <f t="shared" si="2270"/>
        <v>0.1268947026264855</v>
      </c>
      <c r="L2245" s="1">
        <f t="shared" si="2270"/>
        <v>1.7180151944739534E-2</v>
      </c>
      <c r="M2245" s="1">
        <f t="shared" si="2270"/>
        <v>0.155548028081505</v>
      </c>
      <c r="N2245" s="1">
        <f t="shared" si="2270"/>
        <v>9.4616290683740459E-2</v>
      </c>
      <c r="O2245" s="1">
        <f t="shared" si="2270"/>
        <v>5.0477950999519858E-3</v>
      </c>
      <c r="P2245" s="1">
        <f>P2246</f>
        <v>0.12883784441387003</v>
      </c>
      <c r="Q2245" s="1">
        <f>Q2246</f>
        <v>9.9313986510258905E-3</v>
      </c>
      <c r="S2245" s="3"/>
    </row>
    <row r="2246" spans="2:19" x14ac:dyDescent="0.5">
      <c r="B2246" s="5" t="str">
        <f t="shared" si="2263"/>
        <v>SPS1</v>
      </c>
      <c r="C2246" s="5" t="str">
        <f t="shared" si="2264"/>
        <v>CH</v>
      </c>
      <c r="D2246" t="s">
        <v>2380</v>
      </c>
      <c r="E2246" t="str">
        <f t="shared" si="2265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1.5324287332735899E-4</v>
      </c>
      <c r="G2246" s="1" cm="1">
        <f t="array" ref="G2246">SUMPRODUCT(([1]OUT_FinalEnergyCons!$B$4:$B$10000="var_ncap")*1, (ISNUMBER(SEARCH("RH*-SHWODBR",[1]OUT_FinalEnergyCons!$A$4:$A$10000)))*1,[1]OUT_FinalEnergyCons!E$4:E$10000)</f>
        <v>8.4667301902312479E-3</v>
      </c>
      <c r="H2246" s="1" cm="1">
        <f t="array" ref="H2246">SUMPRODUCT(([1]OUT_FinalEnergyCons!$B$4:$B$10000="var_ncap")*1, (ISNUMBER(SEARCH("RH*-SHWODBR",[1]OUT_FinalEnergyCons!$A$4:$A$10000)))*1,[1]OUT_FinalEnergyCons!F$4:F$10000)</f>
        <v>5.7540756092454874E-3</v>
      </c>
      <c r="I2246" s="1" cm="1">
        <f t="array" ref="I2246">SUMPRODUCT(([1]OUT_FinalEnergyCons!$B$4:$B$10000="var_ncap")*1, (ISNUMBER(SEARCH("RH*-SHWODBR",[1]OUT_FinalEnergyCons!$A$4:$A$10000)))*1,[1]OUT_FinalEnergyCons!G$4:G$10000)</f>
        <v>6.2990034296000201E-6</v>
      </c>
      <c r="J2246" s="1" cm="1">
        <f t="array" ref="J2246">SUMPRODUCT(([1]OUT_FinalEnergyCons!$B$4:$B$10000="var_ncap")*1, (ISNUMBER(SEARCH("RH*-SHWODBR",[1]OUT_FinalEnergyCons!$A$4:$A$10000)))*1,[1]OUT_FinalEnergyCons!H$4:H$10000)</f>
        <v>0.28060098196837907</v>
      </c>
      <c r="K2246" s="1" cm="1">
        <f t="array" ref="K2246">SUMPRODUCT(([1]OUT_FinalEnergyCons!$B$4:$B$10000="var_ncap")*1, (ISNUMBER(SEARCH("RH*-SHWODBR",[1]OUT_FinalEnergyCons!$A$4:$A$10000)))*1,[1]OUT_FinalEnergyCons!I$4:I$10000)</f>
        <v>0.1268947026264855</v>
      </c>
      <c r="L2246" s="1" cm="1">
        <f t="array" ref="L2246">SUMPRODUCT(([1]OUT_FinalEnergyCons!$B$4:$B$10000="var_ncap")*1, (ISNUMBER(SEARCH("RH*-SHWODBR",[1]OUT_FinalEnergyCons!$A$4:$A$10000)))*1,[1]OUT_FinalEnergyCons!J$4:J$10000)</f>
        <v>1.7180151944739534E-2</v>
      </c>
      <c r="M2246" s="1" cm="1">
        <f t="array" ref="M2246">SUMPRODUCT(([1]OUT_FinalEnergyCons!$B$4:$B$10000="var_ncap")*1, (ISNUMBER(SEARCH("RH*-SHWODBR",[1]OUT_FinalEnergyCons!$A$4:$A$10000)))*1,[1]OUT_FinalEnergyCons!K$4:K$10000)</f>
        <v>0.155548028081505</v>
      </c>
      <c r="N2246" s="1" cm="1">
        <f t="array" ref="N2246">SUMPRODUCT(([1]OUT_FinalEnergyCons!$B$4:$B$10000="var_ncap")*1, (ISNUMBER(SEARCH("RH*-SHWODBR",[1]OUT_FinalEnergyCons!$A$4:$A$10000)))*1,[1]OUT_FinalEnergyCons!L$4:L$10000)</f>
        <v>9.4616290683740459E-2</v>
      </c>
      <c r="O2246" s="1" cm="1">
        <f t="array" ref="O2246">SUMPRODUCT(([1]OUT_FinalEnergyCons!$B$4:$B$10000="var_ncap")*1, (ISNUMBER(SEARCH("RH*-SHWODBR",[1]OUT_FinalEnergyCons!$A$4:$A$10000)))*1,[1]OUT_FinalEnergyCons!M$4:M$10000)</f>
        <v>5.0477950999519858E-3</v>
      </c>
      <c r="P2246" s="1" cm="1">
        <f t="array" ref="P2246">SUMPRODUCT(([1]OUT_FinalEnergyCons!$B$4:$B$10000="var_ncap")*1, (ISNUMBER(SEARCH("RH*-SHWODBR",[1]OUT_FinalEnergyCons!$A$4:$A$10000)))*1,[1]OUT_FinalEnergyCons!N$4:N$10000)</f>
        <v>0.12883784441387003</v>
      </c>
      <c r="Q2246" s="1" cm="1">
        <f t="array" ref="Q2246">SUMPRODUCT(([1]OUT_FinalEnergyCons!$B$4:$B$10000="var_ncap")*1, (ISNUMBER(SEARCH("RH*-SHWODBR",[1]OUT_FinalEnergyCons!$A$4:$A$10000)))*1,[1]OUT_FinalEnergyCons!O$4:O$10000)</f>
        <v>9.9313986510258905E-3</v>
      </c>
      <c r="S2246" s="3"/>
    </row>
    <row r="2247" spans="2:19" x14ac:dyDescent="0.5">
      <c r="B2247" s="5" t="str">
        <f t="shared" si="2263"/>
        <v>SPS1</v>
      </c>
      <c r="C2247" s="5" t="str">
        <f t="shared" si="2264"/>
        <v>CH</v>
      </c>
      <c r="D2247" t="s">
        <v>2381</v>
      </c>
      <c r="E2247" t="str">
        <f t="shared" si="2265"/>
        <v>GWth/yr.</v>
      </c>
      <c r="F2247" s="1">
        <f t="shared" ref="F2247:O2247" si="2271">F2248</f>
        <v>8.4054059381235205E-5</v>
      </c>
      <c r="G2247" s="1">
        <f t="shared" si="2271"/>
        <v>3.5953637623010203E-2</v>
      </c>
      <c r="H2247" s="1">
        <f t="shared" si="2271"/>
        <v>7.582354802591513E-5</v>
      </c>
      <c r="I2247" s="1">
        <f t="shared" si="2271"/>
        <v>1.0767760000176624E-2</v>
      </c>
      <c r="J2247" s="1">
        <f t="shared" si="2271"/>
        <v>0.17721974127343068</v>
      </c>
      <c r="K2247" s="1">
        <f t="shared" si="2271"/>
        <v>7.9393607353407891E-2</v>
      </c>
      <c r="L2247" s="1">
        <f t="shared" si="2271"/>
        <v>1.4732739029668531E-2</v>
      </c>
      <c r="M2247" s="1">
        <f t="shared" si="2271"/>
        <v>0.1811619770479716</v>
      </c>
      <c r="N2247" s="1">
        <f t="shared" si="2271"/>
        <v>7.2198248336150378E-2</v>
      </c>
      <c r="O2247" s="1">
        <f t="shared" si="2271"/>
        <v>2.8451134227428721E-2</v>
      </c>
      <c r="P2247" s="1">
        <f>P2248</f>
        <v>0.17133343743013629</v>
      </c>
      <c r="Q2247" s="1">
        <f>Q2248</f>
        <v>8.1608608451380849E-2</v>
      </c>
      <c r="S2247" s="3"/>
    </row>
    <row r="2248" spans="2:19" x14ac:dyDescent="0.5">
      <c r="B2248" s="5" t="str">
        <f t="shared" si="2263"/>
        <v>SPS1</v>
      </c>
      <c r="C2248" s="5" t="str">
        <f t="shared" si="2264"/>
        <v>CH</v>
      </c>
      <c r="D2248" t="s">
        <v>2382</v>
      </c>
      <c r="E2248" t="str">
        <f t="shared" si="2265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8.4054059381235205E-5</v>
      </c>
      <c r="G2248" s="1" cm="1">
        <f t="array" ref="G2248">SUMPRODUCT(([1]OUT_FinalEnergyCons!$B$4:$B$10000="var_ncap")*1, (ISNUMBER(SEARCH("RH*-SHPLTBR",[1]OUT_FinalEnergyCons!$A$4:$A$10000)))*1,[1]OUT_FinalEnergyCons!E$4:E$10000)</f>
        <v>3.5953637623010203E-2</v>
      </c>
      <c r="H2248" s="1" cm="1">
        <f t="array" ref="H2248">SUMPRODUCT(([1]OUT_FinalEnergyCons!$B$4:$B$10000="var_ncap")*1, (ISNUMBER(SEARCH("RH*-SHPLTBR",[1]OUT_FinalEnergyCons!$A$4:$A$10000)))*1,[1]OUT_FinalEnergyCons!F$4:F$10000)</f>
        <v>7.582354802591513E-5</v>
      </c>
      <c r="I2248" s="1" cm="1">
        <f t="array" ref="I2248">SUMPRODUCT(([1]OUT_FinalEnergyCons!$B$4:$B$10000="var_ncap")*1, (ISNUMBER(SEARCH("RH*-SHPLTBR",[1]OUT_FinalEnergyCons!$A$4:$A$10000)))*1,[1]OUT_FinalEnergyCons!G$4:G$10000)</f>
        <v>1.0767760000176624E-2</v>
      </c>
      <c r="J2248" s="1" cm="1">
        <f t="array" ref="J2248">SUMPRODUCT(([1]OUT_FinalEnergyCons!$B$4:$B$10000="var_ncap")*1, (ISNUMBER(SEARCH("RH*-SHPLTBR",[1]OUT_FinalEnergyCons!$A$4:$A$10000)))*1,[1]OUT_FinalEnergyCons!H$4:H$10000)</f>
        <v>0.17721974127343068</v>
      </c>
      <c r="K2248" s="1" cm="1">
        <f t="array" ref="K2248">SUMPRODUCT(([1]OUT_FinalEnergyCons!$B$4:$B$10000="var_ncap")*1, (ISNUMBER(SEARCH("RH*-SHPLTBR",[1]OUT_FinalEnergyCons!$A$4:$A$10000)))*1,[1]OUT_FinalEnergyCons!I$4:I$10000)</f>
        <v>7.9393607353407891E-2</v>
      </c>
      <c r="L2248" s="1" cm="1">
        <f t="array" ref="L2248">SUMPRODUCT(([1]OUT_FinalEnergyCons!$B$4:$B$10000="var_ncap")*1, (ISNUMBER(SEARCH("RH*-SHPLTBR",[1]OUT_FinalEnergyCons!$A$4:$A$10000)))*1,[1]OUT_FinalEnergyCons!J$4:J$10000)</f>
        <v>1.4732739029668531E-2</v>
      </c>
      <c r="M2248" s="1" cm="1">
        <f t="array" ref="M2248">SUMPRODUCT(([1]OUT_FinalEnergyCons!$B$4:$B$10000="var_ncap")*1, (ISNUMBER(SEARCH("RH*-SHPLTBR",[1]OUT_FinalEnergyCons!$A$4:$A$10000)))*1,[1]OUT_FinalEnergyCons!K$4:K$10000)</f>
        <v>0.1811619770479716</v>
      </c>
      <c r="N2248" s="1" cm="1">
        <f t="array" ref="N2248">SUMPRODUCT(([1]OUT_FinalEnergyCons!$B$4:$B$10000="var_ncap")*1, (ISNUMBER(SEARCH("RH*-SHPLTBR",[1]OUT_FinalEnergyCons!$A$4:$A$10000)))*1,[1]OUT_FinalEnergyCons!L$4:L$10000)</f>
        <v>7.2198248336150378E-2</v>
      </c>
      <c r="O2248" s="1" cm="1">
        <f t="array" ref="O2248">SUMPRODUCT(([1]OUT_FinalEnergyCons!$B$4:$B$10000="var_ncap")*1, (ISNUMBER(SEARCH("RH*-SHPLTBR",[1]OUT_FinalEnergyCons!$A$4:$A$10000)))*1,[1]OUT_FinalEnergyCons!M$4:M$10000)</f>
        <v>2.8451134227428721E-2</v>
      </c>
      <c r="P2248" s="1" cm="1">
        <f t="array" ref="P2248">SUMPRODUCT(([1]OUT_FinalEnergyCons!$B$4:$B$10000="var_ncap")*1, (ISNUMBER(SEARCH("RH*-SHPLTBR",[1]OUT_FinalEnergyCons!$A$4:$A$10000)))*1,[1]OUT_FinalEnergyCons!N$4:N$10000)</f>
        <v>0.17133343743013629</v>
      </c>
      <c r="Q2248" s="1" cm="1">
        <f t="array" ref="Q2248">SUMPRODUCT(([1]OUT_FinalEnergyCons!$B$4:$B$10000="var_ncap")*1, (ISNUMBER(SEARCH("RH*-SHPLTBR",[1]OUT_FinalEnergyCons!$A$4:$A$10000)))*1,[1]OUT_FinalEnergyCons!O$4:O$10000)</f>
        <v>8.1608608451380849E-2</v>
      </c>
      <c r="S2248" s="3"/>
    </row>
    <row r="2249" spans="2:19" x14ac:dyDescent="0.5">
      <c r="B2249" s="5" t="str">
        <f t="shared" si="2263"/>
        <v>SPS1</v>
      </c>
      <c r="C2249" s="5" t="str">
        <f t="shared" si="2264"/>
        <v>CH</v>
      </c>
      <c r="D2249" t="s">
        <v>2383</v>
      </c>
      <c r="E2249" t="str">
        <f t="shared" si="2265"/>
        <v>GWth/yr.</v>
      </c>
      <c r="F2249" s="1">
        <f t="shared" ref="F2249:O2249" si="2272">F2250</f>
        <v>1.5291634358154999E-4</v>
      </c>
      <c r="G2249" s="1">
        <f t="shared" si="2272"/>
        <v>2.303140447063242E-2</v>
      </c>
      <c r="H2249" s="1">
        <f t="shared" si="2272"/>
        <v>2.3183858681605798E-4</v>
      </c>
      <c r="I2249" s="1">
        <f t="shared" si="2272"/>
        <v>2.3951955915427863E-5</v>
      </c>
      <c r="J2249" s="1">
        <f t="shared" si="2272"/>
        <v>9.2254940613169259E-2</v>
      </c>
      <c r="K2249" s="1">
        <f t="shared" si="2272"/>
        <v>3.8108850125768139E-2</v>
      </c>
      <c r="L2249" s="1">
        <f t="shared" si="2272"/>
        <v>2.5294165266288443E-5</v>
      </c>
      <c r="M2249" s="1">
        <f t="shared" si="2272"/>
        <v>9.1185683239862592E-2</v>
      </c>
      <c r="N2249" s="1">
        <f t="shared" si="2272"/>
        <v>3.0226320992374489E-2</v>
      </c>
      <c r="O2249" s="1">
        <f t="shared" si="2272"/>
        <v>5.6777490076793417E-3</v>
      </c>
      <c r="P2249" s="1">
        <f>P2250</f>
        <v>8.2302554630680813E-2</v>
      </c>
      <c r="Q2249" s="1">
        <f>Q2250</f>
        <v>3.5017121119264735E-2</v>
      </c>
      <c r="S2249" s="3"/>
    </row>
    <row r="2250" spans="2:19" x14ac:dyDescent="0.5">
      <c r="B2250" s="5" t="str">
        <f t="shared" si="2263"/>
        <v>SPS1</v>
      </c>
      <c r="C2250" s="5" t="str">
        <f t="shared" si="2264"/>
        <v>CH</v>
      </c>
      <c r="D2250" t="s">
        <v>2384</v>
      </c>
      <c r="E2250" t="str">
        <f t="shared" si="2265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1.5291634358154999E-4</v>
      </c>
      <c r="G2250" s="1" cm="1">
        <f t="array" ref="G2250">SUMPRODUCT(([1]OUT_FinalEnergyCons!$B$4:$B$10000="var_ncap")*1, (ISNUMBER(SEARCH("RH*-SHSOLBR",[1]OUT_FinalEnergyCons!$A$4:$A$10000)))*1,[1]OUT_FinalEnergyCons!E$4:E$10000)</f>
        <v>2.303140447063242E-2</v>
      </c>
      <c r="H2250" s="1" cm="1">
        <f t="array" ref="H2250">SUMPRODUCT(([1]OUT_FinalEnergyCons!$B$4:$B$10000="var_ncap")*1, (ISNUMBER(SEARCH("RH*-SHSOLBR",[1]OUT_FinalEnergyCons!$A$4:$A$10000)))*1,[1]OUT_FinalEnergyCons!F$4:F$10000)</f>
        <v>2.3183858681605798E-4</v>
      </c>
      <c r="I2250" s="1" cm="1">
        <f t="array" ref="I2250">SUMPRODUCT(([1]OUT_FinalEnergyCons!$B$4:$B$10000="var_ncap")*1, (ISNUMBER(SEARCH("RH*-SHSOLBR",[1]OUT_FinalEnergyCons!$A$4:$A$10000)))*1,[1]OUT_FinalEnergyCons!G$4:G$10000)</f>
        <v>2.3951955915427863E-5</v>
      </c>
      <c r="J2250" s="1" cm="1">
        <f t="array" ref="J2250">SUMPRODUCT(([1]OUT_FinalEnergyCons!$B$4:$B$10000="var_ncap")*1, (ISNUMBER(SEARCH("RH*-SHSOLBR",[1]OUT_FinalEnergyCons!$A$4:$A$10000)))*1,[1]OUT_FinalEnergyCons!H$4:H$10000)</f>
        <v>9.2254940613169259E-2</v>
      </c>
      <c r="K2250" s="1" cm="1">
        <f t="array" ref="K2250">SUMPRODUCT(([1]OUT_FinalEnergyCons!$B$4:$B$10000="var_ncap")*1, (ISNUMBER(SEARCH("RH*-SHSOLBR",[1]OUT_FinalEnergyCons!$A$4:$A$10000)))*1,[1]OUT_FinalEnergyCons!I$4:I$10000)</f>
        <v>3.8108850125768139E-2</v>
      </c>
      <c r="L2250" s="1" cm="1">
        <f t="array" ref="L2250">SUMPRODUCT(([1]OUT_FinalEnergyCons!$B$4:$B$10000="var_ncap")*1, (ISNUMBER(SEARCH("RH*-SHSOLBR",[1]OUT_FinalEnergyCons!$A$4:$A$10000)))*1,[1]OUT_FinalEnergyCons!J$4:J$10000)</f>
        <v>2.5294165266288443E-5</v>
      </c>
      <c r="M2250" s="1" cm="1">
        <f t="array" ref="M2250">SUMPRODUCT(([1]OUT_FinalEnergyCons!$B$4:$B$10000="var_ncap")*1, (ISNUMBER(SEARCH("RH*-SHSOLBR",[1]OUT_FinalEnergyCons!$A$4:$A$10000)))*1,[1]OUT_FinalEnergyCons!K$4:K$10000)</f>
        <v>9.1185683239862592E-2</v>
      </c>
      <c r="N2250" s="1" cm="1">
        <f t="array" ref="N2250">SUMPRODUCT(([1]OUT_FinalEnergyCons!$B$4:$B$10000="var_ncap")*1, (ISNUMBER(SEARCH("RH*-SHSOLBR",[1]OUT_FinalEnergyCons!$A$4:$A$10000)))*1,[1]OUT_FinalEnergyCons!L$4:L$10000)</f>
        <v>3.0226320992374489E-2</v>
      </c>
      <c r="O2250" s="1" cm="1">
        <f t="array" ref="O2250">SUMPRODUCT(([1]OUT_FinalEnergyCons!$B$4:$B$10000="var_ncap")*1, (ISNUMBER(SEARCH("RH*-SHSOLBR",[1]OUT_FinalEnergyCons!$A$4:$A$10000)))*1,[1]OUT_FinalEnergyCons!M$4:M$10000)</f>
        <v>5.6777490076793417E-3</v>
      </c>
      <c r="P2250" s="1" cm="1">
        <f t="array" ref="P2250">SUMPRODUCT(([1]OUT_FinalEnergyCons!$B$4:$B$10000="var_ncap")*1, (ISNUMBER(SEARCH("RH*-SHSOLBR",[1]OUT_FinalEnergyCons!$A$4:$A$10000)))*1,[1]OUT_FinalEnergyCons!N$4:N$10000)</f>
        <v>8.2302554630680813E-2</v>
      </c>
      <c r="Q2250" s="1" cm="1">
        <f t="array" ref="Q2250">SUMPRODUCT(([1]OUT_FinalEnergyCons!$B$4:$B$10000="var_ncap")*1, (ISNUMBER(SEARCH("RH*-SHSOLBR",[1]OUT_FinalEnergyCons!$A$4:$A$10000)))*1,[1]OUT_FinalEnergyCons!O$4:O$10000)</f>
        <v>3.5017121119264735E-2</v>
      </c>
      <c r="S2250" s="3"/>
    </row>
    <row r="2251" spans="2:19" x14ac:dyDescent="0.5">
      <c r="B2251" s="5" t="str">
        <f t="shared" si="2263"/>
        <v>SPS1</v>
      </c>
      <c r="C2251" s="5" t="str">
        <f t="shared" si="2264"/>
        <v>CH</v>
      </c>
      <c r="D2251" t="s">
        <v>2385</v>
      </c>
      <c r="E2251" t="str">
        <f t="shared" si="2265"/>
        <v>GWth/yr.</v>
      </c>
      <c r="F2251" s="1">
        <f t="shared" ref="F2251:O2251" si="2273">F2252</f>
        <v>0</v>
      </c>
      <c r="G2251" s="1">
        <f t="shared" si="2273"/>
        <v>0</v>
      </c>
      <c r="H2251" s="1">
        <f t="shared" si="2273"/>
        <v>0</v>
      </c>
      <c r="I2251" s="1">
        <f t="shared" si="2273"/>
        <v>0</v>
      </c>
      <c r="J2251" s="1">
        <f t="shared" si="2273"/>
        <v>0</v>
      </c>
      <c r="K2251" s="1">
        <f t="shared" si="2273"/>
        <v>0</v>
      </c>
      <c r="L2251" s="1">
        <f t="shared" si="2273"/>
        <v>0</v>
      </c>
      <c r="M2251" s="1">
        <f t="shared" si="2273"/>
        <v>0</v>
      </c>
      <c r="N2251" s="1">
        <f t="shared" si="2273"/>
        <v>0</v>
      </c>
      <c r="O2251" s="1">
        <f t="shared" si="2273"/>
        <v>0</v>
      </c>
      <c r="P2251" s="1">
        <f>P2252</f>
        <v>0</v>
      </c>
      <c r="Q2251" s="1">
        <f>Q2252</f>
        <v>0</v>
      </c>
      <c r="S2251" s="3"/>
    </row>
    <row r="2252" spans="2:19" x14ac:dyDescent="0.5">
      <c r="B2252" s="5" t="str">
        <f t="shared" si="2263"/>
        <v>SPS1</v>
      </c>
      <c r="C2252" s="5" t="str">
        <f t="shared" si="2264"/>
        <v>CH</v>
      </c>
      <c r="D2252" t="s">
        <v>2386</v>
      </c>
      <c r="E2252" t="str">
        <f t="shared" si="2265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SUMPRODUCT(([1]OUT_FinalEnergyCons!$B$4:$B$10000="var_ncap")*1, (ISNUMBER(SEARCH("RH*-SHH2BR",[1]OUT_FinalEnergyCons!$A$4:$A$10000)))*1,[1]OUT_FinalEnergyCons!H$4:H$10000)</f>
        <v>0</v>
      </c>
      <c r="K2252" s="1" cm="1">
        <f t="array" ref="K2252">SUMPRODUCT(([1]OUT_FinalEnergyCons!$B$4:$B$10000="var_ncap")*1, (ISNUMBER(SEARCH("RH*-SHH2BR",[1]OUT_FinalEnergyCons!$A$4:$A$10000)))*1,[1]OUT_FinalEnergyCons!I$4:I$10000)</f>
        <v>0</v>
      </c>
      <c r="L2252" s="1" cm="1">
        <f t="array" ref="L2252">SUMPRODUCT(([1]OUT_FinalEnergyCons!$B$4:$B$10000="var_ncap")*1, (ISNUMBER(SEARCH("RH*-SHH2BR",[1]OUT_FinalEnergyCons!$A$4:$A$10000)))*1,[1]OUT_FinalEnergyCons!J$4:J$10000)</f>
        <v>0</v>
      </c>
      <c r="M2252" s="1" cm="1">
        <f t="array" ref="M2252">SUMPRODUCT(([1]OUT_FinalEnergyCons!$B$4:$B$10000="var_ncap")*1, (ISNUMBER(SEARCH("RH*-SHH2BR",[1]OUT_FinalEnergyCons!$A$4:$A$10000)))*1,[1]OUT_FinalEnergyCons!K$4:K$10000)</f>
        <v>0</v>
      </c>
      <c r="N2252" s="1" cm="1">
        <f t="array" ref="N2252">SUMPRODUCT(([1]OUT_FinalEnergyCons!$B$4:$B$10000="var_ncap")*1, (ISNUMBER(SEARCH("RH*-SHH2BR",[1]OUT_FinalEnergyCons!$A$4:$A$10000)))*1,[1]OUT_FinalEnergyCons!L$4:L$10000)</f>
        <v>0</v>
      </c>
      <c r="O2252" s="1" cm="1">
        <f t="array" ref="O2252">SUMPRODUCT(([1]OUT_FinalEnergyCons!$B$4:$B$10000="var_ncap")*1, (ISNUMBER(SEARCH("RH*-SHH2BR",[1]OUT_FinalEnergyCons!$A$4:$A$10000)))*1,[1]OUT_FinalEnergyCons!M$4:M$10000)</f>
        <v>0</v>
      </c>
      <c r="P2252" s="1" cm="1">
        <f t="array" ref="P2252">SUMPRODUCT(([1]OUT_FinalEnergyCons!$B$4:$B$10000="var_ncap")*1, (ISNUMBER(SEARCH("RH*-SHH2BR",[1]OUT_FinalEnergyCons!$A$4:$A$10000)))*1,[1]OUT_FinalEnergyCons!N$4:N$10000)</f>
        <v>0</v>
      </c>
      <c r="Q2252" s="1" cm="1">
        <f t="array" ref="Q2252">SUMPRODUCT(([1]OUT_FinalEnergyCons!$B$4:$B$10000="var_ncap")*1, (ISNUMBER(SEARCH("RH*-SHH2BR",[1]OUT_FinalEnergyCons!$A$4:$A$10000)))*1,[1]OUT_FinalEnergyCons!O$4:O$10000)</f>
        <v>0</v>
      </c>
      <c r="S2252" s="3"/>
    </row>
    <row r="2253" spans="2:19" x14ac:dyDescent="0.5">
      <c r="B2253" s="5" t="str">
        <f t="shared" si="2263"/>
        <v>SPS1</v>
      </c>
      <c r="C2253" s="5" t="str">
        <f t="shared" si="2264"/>
        <v>CH</v>
      </c>
      <c r="D2253" t="s">
        <v>2387</v>
      </c>
      <c r="E2253" t="str">
        <f t="shared" si="2265"/>
        <v>GWth/yr.</v>
      </c>
      <c r="F2253" s="1">
        <f t="shared" ref="F2253:K2253" si="2274">SUM(F2254,F2257,F2259,F2262,F2264,F2266,F2268,F2270)</f>
        <v>1.029360090083034E-5</v>
      </c>
      <c r="G2253" s="1">
        <f t="shared" si="2274"/>
        <v>0.15776674197750704</v>
      </c>
      <c r="H2253" s="1">
        <f t="shared" si="2274"/>
        <v>0.27163064044953111</v>
      </c>
      <c r="I2253" s="1">
        <f t="shared" si="2274"/>
        <v>8.032088993802812E-2</v>
      </c>
      <c r="J2253" s="1">
        <f t="shared" si="2274"/>
        <v>0.94791556931350285</v>
      </c>
      <c r="K2253" s="1">
        <f t="shared" si="2274"/>
        <v>0.67533472840843101</v>
      </c>
      <c r="L2253" s="1">
        <f t="shared" ref="L2253:O2253" si="2275">SUM(L2254,L2257,L2259,L2262,L2264,L2266,L2268,L2270)</f>
        <v>0.13849742408779608</v>
      </c>
      <c r="M2253" s="1">
        <f t="shared" si="2275"/>
        <v>0.87225618596495524</v>
      </c>
      <c r="N2253" s="1">
        <f t="shared" si="2275"/>
        <v>0.62803740697655308</v>
      </c>
      <c r="O2253" s="1">
        <f t="shared" si="2275"/>
        <v>0.1766693869916684</v>
      </c>
      <c r="P2253" s="1">
        <f>SUM(P2254,P2257,P2259,P2262,P2264,P2266,P2268,P2270)</f>
        <v>0.88308198039736363</v>
      </c>
      <c r="Q2253" s="1">
        <f>SUM(Q2254,Q2257,Q2259,Q2262,Q2264,Q2266,Q2268,Q2270)</f>
        <v>0.54818516947216389</v>
      </c>
      <c r="S2253" s="3"/>
    </row>
    <row r="2254" spans="2:19" x14ac:dyDescent="0.5">
      <c r="B2254" s="5" t="str">
        <f t="shared" si="2263"/>
        <v>SPS1</v>
      </c>
      <c r="C2254" s="5" t="str">
        <f t="shared" si="2264"/>
        <v>CH</v>
      </c>
      <c r="D2254" t="s">
        <v>2388</v>
      </c>
      <c r="E2254" t="str">
        <f t="shared" si="2265"/>
        <v>GWth/yr.</v>
      </c>
      <c r="F2254" s="1">
        <f t="shared" ref="F2254:K2254" si="2276">SUM(F2255:F2256)</f>
        <v>1.029360090083034E-5</v>
      </c>
      <c r="G2254" s="1">
        <f t="shared" si="2276"/>
        <v>6.8054518056451102E-2</v>
      </c>
      <c r="H2254" s="1">
        <f t="shared" si="2276"/>
        <v>9.1376224717057808E-2</v>
      </c>
      <c r="I2254" s="1">
        <f t="shared" si="2276"/>
        <v>7.2056191070880515E-2</v>
      </c>
      <c r="J2254" s="1">
        <f t="shared" si="2276"/>
        <v>0.44352384901420699</v>
      </c>
      <c r="K2254" s="1">
        <f t="shared" si="2276"/>
        <v>0.27471540737710343</v>
      </c>
      <c r="L2254" s="1">
        <f t="shared" ref="L2254:O2254" si="2277">SUM(L2255:L2256)</f>
        <v>9.9152634059448103E-2</v>
      </c>
      <c r="M2254" s="1">
        <f t="shared" si="2277"/>
        <v>0.32679175891652329</v>
      </c>
      <c r="N2254" s="1">
        <f t="shared" si="2277"/>
        <v>0.30253134980680646</v>
      </c>
      <c r="O2254" s="1">
        <f t="shared" si="2277"/>
        <v>0.12738465470469848</v>
      </c>
      <c r="P2254" s="1">
        <f>SUM(P2255:P2256)</f>
        <v>0.26054096233073393</v>
      </c>
      <c r="Q2254" s="1">
        <f>SUM(Q2255:Q2256)</f>
        <v>0.34934027354187458</v>
      </c>
      <c r="S2254" s="3"/>
    </row>
    <row r="2255" spans="2:19" x14ac:dyDescent="0.5">
      <c r="B2255" s="5" t="str">
        <f t="shared" si="2263"/>
        <v>SPS1</v>
      </c>
      <c r="C2255" s="5" t="str">
        <f t="shared" si="2264"/>
        <v>CH</v>
      </c>
      <c r="D2255" t="s">
        <v>2389</v>
      </c>
      <c r="E2255" t="str">
        <f t="shared" si="2265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8.2218642408317092E-6</v>
      </c>
      <c r="G2255" s="1" cm="1">
        <f t="array" ref="G2255">SUMPRODUCT(([1]OUT_FinalEnergyCons!$B$4:$B$10000="var_ncap")*1,(ISNUMBER(SEARCH("RH*-WHELCBR",[1]OUT_FinalEnergyCons!$A$4:$A$10000)))*1,[1]OUT_FinalEnergyCons!E$4:E$10000)</f>
        <v>3.5280443870640298E-2</v>
      </c>
      <c r="H2255" s="1" cm="1">
        <f t="array" ref="H2255">SUMPRODUCT(([1]OUT_FinalEnergyCons!$B$4:$B$10000="var_ncap")*1,(ISNUMBER(SEARCH("RH*-WHELCBR",[1]OUT_FinalEnergyCons!$A$4:$A$10000)))*1,[1]OUT_FinalEnergyCons!F$4:F$10000)</f>
        <v>2.0291975304093102E-6</v>
      </c>
      <c r="I2255" s="1" cm="1">
        <f t="array" ref="I2255">SUMPRODUCT(([1]OUT_FinalEnergyCons!$B$4:$B$10000="var_ncap")*1,(ISNUMBER(SEARCH("RH*-WHELCBR",[1]OUT_FinalEnergyCons!$A$4:$A$10000)))*1,[1]OUT_FinalEnergyCons!G$4:G$10000)</f>
        <v>1.2683068270217199E-6</v>
      </c>
      <c r="J2255" s="1" cm="1">
        <f t="array" ref="J2255">SUMPRODUCT(([1]OUT_FinalEnergyCons!$B$4:$B$10000="var_ncap")*1,(ISNUMBER(SEARCH("RH*-WHELCBR",[1]OUT_FinalEnergyCons!$A$4:$A$10000)))*1,[1]OUT_FinalEnergyCons!H$4:H$10000)</f>
        <v>0.14911877681890401</v>
      </c>
      <c r="K2255" s="1" cm="1">
        <f t="array" ref="K2255">SUMPRODUCT(([1]OUT_FinalEnergyCons!$B$4:$B$10000="var_ncap")*1,(ISNUMBER(SEARCH("RH*-WHELCBR",[1]OUT_FinalEnergyCons!$A$4:$A$10000)))*1,[1]OUT_FinalEnergyCons!I$4:I$10000)</f>
        <v>9.9391406049783401E-2</v>
      </c>
      <c r="L2255" s="1" cm="1">
        <f t="array" ref="L2255">SUMPRODUCT(([1]OUT_FinalEnergyCons!$B$4:$B$10000="var_ncap")*1,(ISNUMBER(SEARCH("RH*-WHELCBR",[1]OUT_FinalEnergyCons!$A$4:$A$10000)))*1,[1]OUT_FinalEnergyCons!J$4:J$10000)</f>
        <v>5.2293847028026298E-6</v>
      </c>
      <c r="M2255" s="1" cm="1">
        <f t="array" ref="M2255">SUMPRODUCT(([1]OUT_FinalEnergyCons!$B$4:$B$10000="var_ncap")*1,(ISNUMBER(SEARCH("RH*-WHELCBR",[1]OUT_FinalEnergyCons!$A$4:$A$10000)))*1,[1]OUT_FinalEnergyCons!K$4:K$10000)</f>
        <v>3.0096305866519301E-2</v>
      </c>
      <c r="N2255" s="1" cm="1">
        <f t="array" ref="N2255">SUMPRODUCT(([1]OUT_FinalEnergyCons!$B$4:$B$10000="var_ncap")*1,(ISNUMBER(SEARCH("RH*-WHELCBR",[1]OUT_FinalEnergyCons!$A$4:$A$10000)))*1,[1]OUT_FinalEnergyCons!L$4:L$10000)</f>
        <v>5.3746159674212898E-6</v>
      </c>
      <c r="O2255" s="1" cm="1">
        <f t="array" ref="O2255">SUMPRODUCT(([1]OUT_FinalEnergyCons!$B$4:$B$10000="var_ncap")*1,(ISNUMBER(SEARCH("RH*-WHELCBR",[1]OUT_FinalEnergyCons!$A$4:$A$10000)))*1,[1]OUT_FinalEnergyCons!M$4:M$10000)</f>
        <v>5.2746681542704702E-3</v>
      </c>
      <c r="P2255" s="1" cm="1">
        <f t="array" ref="P2255">SUMPRODUCT(([1]OUT_FinalEnergyCons!$B$4:$B$10000="var_ncap")*1,(ISNUMBER(SEARCH("RH*-WHELCBR",[1]OUT_FinalEnergyCons!$A$4:$A$10000)))*1,[1]OUT_FinalEnergyCons!N$4:N$10000)</f>
        <v>2.10596683687139E-2</v>
      </c>
      <c r="Q2255" s="1" cm="1">
        <f t="array" ref="Q2255">SUMPRODUCT(([1]OUT_FinalEnergyCons!$B$4:$B$10000="var_ncap")*1,(ISNUMBER(SEARCH("RH*-WHELCBR",[1]OUT_FinalEnergyCons!$A$4:$A$10000)))*1,[1]OUT_FinalEnergyCons!O$4:O$10000)</f>
        <v>1.8546410123262801E-4</v>
      </c>
      <c r="S2255" s="3"/>
    </row>
    <row r="2256" spans="2:19" x14ac:dyDescent="0.5">
      <c r="B2256" s="5" t="str">
        <f t="shared" si="2263"/>
        <v>SPS1</v>
      </c>
      <c r="C2256" s="5" t="str">
        <f t="shared" si="2264"/>
        <v>CH</v>
      </c>
      <c r="D2256" t="s">
        <v>2390</v>
      </c>
      <c r="E2256" t="str">
        <f t="shared" si="2265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2.0717366599986299E-6</v>
      </c>
      <c r="G2256" s="1" cm="1">
        <f t="array" ref="G2256">SUMPRODUCT(([1]OUT_FinalEnergyCons!$B$4:$B$10000="var_ncap")*1,ISNUMBER(SEARCH("RH*-WHELCHP",[1]OUT_FinalEnergyCons!$A$4:$A$10000))*1,[1]OUT_FinalEnergyCons!E$4:E$10000)</f>
        <v>3.2774074185810798E-2</v>
      </c>
      <c r="H2256" s="1" cm="1">
        <f t="array" ref="H2256">SUMPRODUCT(([1]OUT_FinalEnergyCons!$B$4:$B$10000="var_ncap")*1,ISNUMBER(SEARCH("RH*-WHELCHP",[1]OUT_FinalEnergyCons!$A$4:$A$10000))*1,[1]OUT_FinalEnergyCons!F$4:F$10000)</f>
        <v>9.1374195519527399E-2</v>
      </c>
      <c r="I2256" s="1" cm="1">
        <f t="array" ref="I2256">SUMPRODUCT(([1]OUT_FinalEnergyCons!$B$4:$B$10000="var_ncap")*1,ISNUMBER(SEARCH("RH*-WHELCHP",[1]OUT_FinalEnergyCons!$A$4:$A$10000))*1,[1]OUT_FinalEnergyCons!G$4:G$10000)</f>
        <v>7.2054922764053494E-2</v>
      </c>
      <c r="J2256" s="1" cm="1">
        <f t="array" ref="J2256">SUMPRODUCT(([1]OUT_FinalEnergyCons!$B$4:$B$10000="var_ncap")*1,ISNUMBER(SEARCH("RH*-WHELCHP",[1]OUT_FinalEnergyCons!$A$4:$A$10000))*1,[1]OUT_FinalEnergyCons!H$4:H$10000)</f>
        <v>0.29440507219530299</v>
      </c>
      <c r="K2256" s="1" cm="1">
        <f t="array" ref="K2256">SUMPRODUCT(([1]OUT_FinalEnergyCons!$B$4:$B$10000="var_ncap")*1,ISNUMBER(SEARCH("RH*-WHELCHP",[1]OUT_FinalEnergyCons!$A$4:$A$10000))*1,[1]OUT_FinalEnergyCons!I$4:I$10000)</f>
        <v>0.17532400132732001</v>
      </c>
      <c r="L2256" s="1" cm="1">
        <f t="array" ref="L2256">SUMPRODUCT(([1]OUT_FinalEnergyCons!$B$4:$B$10000="var_ncap")*1,ISNUMBER(SEARCH("RH*-WHELCHP",[1]OUT_FinalEnergyCons!$A$4:$A$10000))*1,[1]OUT_FinalEnergyCons!J$4:J$10000)</f>
        <v>9.9147404674745296E-2</v>
      </c>
      <c r="M2256" s="1" cm="1">
        <f t="array" ref="M2256">SUMPRODUCT(([1]OUT_FinalEnergyCons!$B$4:$B$10000="var_ncap")*1,ISNUMBER(SEARCH("RH*-WHELCHP",[1]OUT_FinalEnergyCons!$A$4:$A$10000))*1,[1]OUT_FinalEnergyCons!K$4:K$10000)</f>
        <v>0.296695453050004</v>
      </c>
      <c r="N2256" s="1" cm="1">
        <f t="array" ref="N2256">SUMPRODUCT(([1]OUT_FinalEnergyCons!$B$4:$B$10000="var_ncap")*1,ISNUMBER(SEARCH("RH*-WHELCHP",[1]OUT_FinalEnergyCons!$A$4:$A$10000))*1,[1]OUT_FinalEnergyCons!L$4:L$10000)</f>
        <v>0.30252597519083901</v>
      </c>
      <c r="O2256" s="1" cm="1">
        <f t="array" ref="O2256">SUMPRODUCT(([1]OUT_FinalEnergyCons!$B$4:$B$10000="var_ncap")*1,ISNUMBER(SEARCH("RH*-WHELCHP",[1]OUT_FinalEnergyCons!$A$4:$A$10000))*1,[1]OUT_FinalEnergyCons!M$4:M$10000)</f>
        <v>0.122109986550428</v>
      </c>
      <c r="P2256" s="1" cm="1">
        <f t="array" ref="P2256">SUMPRODUCT(([1]OUT_FinalEnergyCons!$B$4:$B$10000="var_ncap")*1,ISNUMBER(SEARCH("RH*-WHELCHP",[1]OUT_FinalEnergyCons!$A$4:$A$10000))*1,[1]OUT_FinalEnergyCons!N$4:N$10000)</f>
        <v>0.23948129396202</v>
      </c>
      <c r="Q2256" s="1" cm="1">
        <f t="array" ref="Q2256">SUMPRODUCT(([1]OUT_FinalEnergyCons!$B$4:$B$10000="var_ncap")*1,ISNUMBER(SEARCH("RH*-WHELCHP",[1]OUT_FinalEnergyCons!$A$4:$A$10000))*1,[1]OUT_FinalEnergyCons!O$4:O$10000)</f>
        <v>0.34915480944064198</v>
      </c>
      <c r="S2256" s="3"/>
    </row>
    <row r="2257" spans="2:19" x14ac:dyDescent="0.5">
      <c r="B2257" s="5" t="str">
        <f t="shared" si="2263"/>
        <v>SPS1</v>
      </c>
      <c r="C2257" s="5" t="str">
        <f t="shared" si="2264"/>
        <v>CH</v>
      </c>
      <c r="D2257" t="s">
        <v>2391</v>
      </c>
      <c r="E2257" t="str">
        <f t="shared" si="2265"/>
        <v>GWth/yr.</v>
      </c>
      <c r="F2257" s="1">
        <f t="shared" ref="F2257:O2257" si="2278">F2258</f>
        <v>0</v>
      </c>
      <c r="G2257" s="1">
        <f t="shared" si="2278"/>
        <v>1.5129627970290599E-7</v>
      </c>
      <c r="H2257" s="1">
        <f t="shared" si="2278"/>
        <v>1.12013998993076E-7</v>
      </c>
      <c r="I2257" s="1">
        <f t="shared" si="2278"/>
        <v>1.7543100669318799E-7</v>
      </c>
      <c r="J2257" s="1">
        <f t="shared" si="2278"/>
        <v>1.44199181344754E-6</v>
      </c>
      <c r="K2257" s="1">
        <f t="shared" si="2278"/>
        <v>3.9199446254968502E-4</v>
      </c>
      <c r="L2257" s="1">
        <f t="shared" si="2278"/>
        <v>9.8757384410558002E-6</v>
      </c>
      <c r="M2257" s="1">
        <f t="shared" si="2278"/>
        <v>0</v>
      </c>
      <c r="N2257" s="1">
        <f t="shared" si="2278"/>
        <v>4.41282761885808E-4</v>
      </c>
      <c r="O2257" s="1">
        <f t="shared" si="2278"/>
        <v>3.3421717201459998E-4</v>
      </c>
      <c r="P2257" s="1">
        <f>P2258</f>
        <v>1.7027437578176599E-5</v>
      </c>
      <c r="Q2257" s="1">
        <f>Q2258</f>
        <v>1.4508238827871101E-3</v>
      </c>
      <c r="S2257" s="3"/>
    </row>
    <row r="2258" spans="2:19" x14ac:dyDescent="0.5">
      <c r="B2258" s="5" t="str">
        <f t="shared" si="2263"/>
        <v>SPS1</v>
      </c>
      <c r="C2258" s="5" t="str">
        <f t="shared" si="2264"/>
        <v>CH</v>
      </c>
      <c r="D2258" t="s">
        <v>2392</v>
      </c>
      <c r="E2258" t="str">
        <f t="shared" si="2265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1.5129627970290599E-7</v>
      </c>
      <c r="H2258" s="1" cm="1">
        <f t="array" ref="H2258">SUMPRODUCT(([1]OUT_FinalEnergyCons!$B$4:$B$10000="var_ncap")*1, (ISNUMBER(SEARCH("RH*-WHLFOBR",[1]OUT_FinalEnergyCons!$A$4:$A$10000)))*1,[1]OUT_FinalEnergyCons!F$4:F$10000)</f>
        <v>1.12013998993076E-7</v>
      </c>
      <c r="I2258" s="1" cm="1">
        <f t="array" ref="I2258">SUMPRODUCT(([1]OUT_FinalEnergyCons!$B$4:$B$10000="var_ncap")*1, (ISNUMBER(SEARCH("RH*-WHLFOBR",[1]OUT_FinalEnergyCons!$A$4:$A$10000)))*1,[1]OUT_FinalEnergyCons!G$4:G$10000)</f>
        <v>1.7543100669318799E-7</v>
      </c>
      <c r="J2258" s="1" cm="1">
        <f t="array" ref="J2258">SUMPRODUCT(([1]OUT_FinalEnergyCons!$B$4:$B$10000="var_ncap")*1, (ISNUMBER(SEARCH("RH*-WHLFOBR",[1]OUT_FinalEnergyCons!$A$4:$A$10000)))*1,[1]OUT_FinalEnergyCons!H$4:H$10000)</f>
        <v>1.44199181344754E-6</v>
      </c>
      <c r="K2258" s="1" cm="1">
        <f t="array" ref="K2258">SUMPRODUCT(([1]OUT_FinalEnergyCons!$B$4:$B$10000="var_ncap")*1, (ISNUMBER(SEARCH("RH*-WHLFOBR",[1]OUT_FinalEnergyCons!$A$4:$A$10000)))*1,[1]OUT_FinalEnergyCons!I$4:I$10000)</f>
        <v>3.9199446254968502E-4</v>
      </c>
      <c r="L2258" s="1" cm="1">
        <f t="array" ref="L2258">SUMPRODUCT(([1]OUT_FinalEnergyCons!$B$4:$B$10000="var_ncap")*1, (ISNUMBER(SEARCH("RH*-WHLFOBR",[1]OUT_FinalEnergyCons!$A$4:$A$10000)))*1,[1]OUT_FinalEnergyCons!J$4:J$10000)</f>
        <v>9.8757384410558002E-6</v>
      </c>
      <c r="M2258" s="1" cm="1">
        <f t="array" ref="M2258">SUMPRODUCT(([1]OUT_FinalEnergyCons!$B$4:$B$10000="var_ncap")*1, (ISNUMBER(SEARCH("RH*-WHLFOBR",[1]OUT_FinalEnergyCons!$A$4:$A$10000)))*1,[1]OUT_FinalEnergyCons!K$4:K$10000)</f>
        <v>0</v>
      </c>
      <c r="N2258" s="1" cm="1">
        <f t="array" ref="N2258">SUMPRODUCT(([1]OUT_FinalEnergyCons!$B$4:$B$10000="var_ncap")*1, (ISNUMBER(SEARCH("RH*-WHLFOBR",[1]OUT_FinalEnergyCons!$A$4:$A$10000)))*1,[1]OUT_FinalEnergyCons!L$4:L$10000)</f>
        <v>4.41282761885808E-4</v>
      </c>
      <c r="O2258" s="1" cm="1">
        <f t="array" ref="O2258">SUMPRODUCT(([1]OUT_FinalEnergyCons!$B$4:$B$10000="var_ncap")*1, (ISNUMBER(SEARCH("RH*-WHLFOBR",[1]OUT_FinalEnergyCons!$A$4:$A$10000)))*1,[1]OUT_FinalEnergyCons!M$4:M$10000)</f>
        <v>3.3421717201459998E-4</v>
      </c>
      <c r="P2258" s="1" cm="1">
        <f t="array" ref="P2258">SUMPRODUCT(([1]OUT_FinalEnergyCons!$B$4:$B$10000="var_ncap")*1, (ISNUMBER(SEARCH("RH*-WHLFOBR",[1]OUT_FinalEnergyCons!$A$4:$A$10000)))*1,[1]OUT_FinalEnergyCons!N$4:N$10000)</f>
        <v>1.7027437578176599E-5</v>
      </c>
      <c r="Q2258" s="1" cm="1">
        <f t="array" ref="Q2258">SUMPRODUCT(([1]OUT_FinalEnergyCons!$B$4:$B$10000="var_ncap")*1, (ISNUMBER(SEARCH("RH*-WHLFOBR",[1]OUT_FinalEnergyCons!$A$4:$A$10000)))*1,[1]OUT_FinalEnergyCons!O$4:O$10000)</f>
        <v>1.4508238827871101E-3</v>
      </c>
      <c r="S2258" s="3"/>
    </row>
    <row r="2259" spans="2:19" x14ac:dyDescent="0.5">
      <c r="B2259" s="5" t="str">
        <f t="shared" si="2263"/>
        <v>SPS1</v>
      </c>
      <c r="C2259" s="5" t="str">
        <f t="shared" si="2264"/>
        <v>CH</v>
      </c>
      <c r="D2259" t="s">
        <v>2393</v>
      </c>
      <c r="E2259" t="str">
        <f t="shared" si="2265"/>
        <v>GWth/yr.</v>
      </c>
      <c r="F2259" s="1">
        <f t="shared" ref="F2259:K2259" si="2279">SUM(F2260:F2261)</f>
        <v>0</v>
      </c>
      <c r="G2259" s="1">
        <f t="shared" si="2279"/>
        <v>9.2722781292378607E-7</v>
      </c>
      <c r="H2259" s="1">
        <f t="shared" si="2279"/>
        <v>0.18025299437255388</v>
      </c>
      <c r="I2259" s="1">
        <f t="shared" si="2279"/>
        <v>8.2591998803235797E-3</v>
      </c>
      <c r="J2259" s="1">
        <f t="shared" si="2279"/>
        <v>0.42201483219419739</v>
      </c>
      <c r="K2259" s="1">
        <f t="shared" si="2279"/>
        <v>0.29946564027095102</v>
      </c>
      <c r="L2259" s="1">
        <f t="shared" ref="L2259:O2259" si="2280">SUM(L2260:L2261)</f>
        <v>3.8995733812424313E-2</v>
      </c>
      <c r="M2259" s="1">
        <f t="shared" si="2280"/>
        <v>0.47588482318227598</v>
      </c>
      <c r="N2259" s="1">
        <f t="shared" si="2280"/>
        <v>0.23976953539385998</v>
      </c>
      <c r="O2259" s="1">
        <f t="shared" si="2280"/>
        <v>4.6758083620927787E-2</v>
      </c>
      <c r="P2259" s="1">
        <f>SUM(P2260:P2261)</f>
        <v>0.53732931272469098</v>
      </c>
      <c r="Q2259" s="1">
        <f>SUM(Q2260:Q2261)</f>
        <v>0.15054860644937529</v>
      </c>
      <c r="S2259" s="3"/>
    </row>
    <row r="2260" spans="2:19" x14ac:dyDescent="0.5">
      <c r="B2260" s="5" t="str">
        <f t="shared" si="2263"/>
        <v>SPS1</v>
      </c>
      <c r="C2260" s="5" t="str">
        <f t="shared" si="2264"/>
        <v>CH</v>
      </c>
      <c r="D2260" t="s">
        <v>2394</v>
      </c>
      <c r="E2260" t="str">
        <f t="shared" si="2265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7.0134714491612202E-7</v>
      </c>
      <c r="H2260" s="1" cm="1">
        <f t="array" ref="H2260">SUMPRODUCT(([1]OUT_FinalEnergyCons!$B$4:$B$10000="var_ncap")*1, (ISNUMBER(SEARCH("RH*-WHNGABR",[1]OUT_FinalEnergyCons!$A$4:$A$10000)))*1,[1]OUT_FinalEnergyCons!F$4:F$10000)</f>
        <v>0.18002936379423001</v>
      </c>
      <c r="I2260" s="1" cm="1">
        <f t="array" ref="I2260">SUMPRODUCT(([1]OUT_FinalEnergyCons!$B$4:$B$10000="var_ncap")*1, (ISNUMBER(SEARCH("RH*-WHNGABR",[1]OUT_FinalEnergyCons!$A$4:$A$10000)))*1,[1]OUT_FinalEnergyCons!G$4:G$10000)</f>
        <v>8.2552447616243696E-3</v>
      </c>
      <c r="J2260" s="1" cm="1">
        <f t="array" ref="J2260">SUMPRODUCT(([1]OUT_FinalEnergyCons!$B$4:$B$10000="var_ncap")*1, (ISNUMBER(SEARCH("RH*-WHNGABR",[1]OUT_FinalEnergyCons!$A$4:$A$10000)))*1,[1]OUT_FinalEnergyCons!H$4:H$10000)</f>
        <v>0.38811168142040098</v>
      </c>
      <c r="K2260" s="1" cm="1">
        <f t="array" ref="K2260">SUMPRODUCT(([1]OUT_FinalEnergyCons!$B$4:$B$10000="var_ncap")*1, (ISNUMBER(SEARCH("RH*-WHNGABR",[1]OUT_FinalEnergyCons!$A$4:$A$10000)))*1,[1]OUT_FinalEnergyCons!I$4:I$10000)</f>
        <v>0.24468438375266699</v>
      </c>
      <c r="L2260" s="1" cm="1">
        <f t="array" ref="L2260">SUMPRODUCT(([1]OUT_FinalEnergyCons!$B$4:$B$10000="var_ncap")*1, (ISNUMBER(SEARCH("RH*-WHNGABR",[1]OUT_FinalEnergyCons!$A$4:$A$10000)))*1,[1]OUT_FinalEnergyCons!J$4:J$10000)</f>
        <v>6.2287415632586197E-3</v>
      </c>
      <c r="M2260" s="1" cm="1">
        <f t="array" ref="M2260">SUMPRODUCT(([1]OUT_FinalEnergyCons!$B$4:$B$10000="var_ncap")*1, (ISNUMBER(SEARCH("RH*-WHNGABR",[1]OUT_FinalEnergyCons!$A$4:$A$10000)))*1,[1]OUT_FinalEnergyCons!K$4:K$10000)</f>
        <v>0.36632217054163801</v>
      </c>
      <c r="N2260" s="1" cm="1">
        <f t="array" ref="N2260">SUMPRODUCT(([1]OUT_FinalEnergyCons!$B$4:$B$10000="var_ncap")*1, (ISNUMBER(SEARCH("RH*-WHNGABR",[1]OUT_FinalEnergyCons!$A$4:$A$10000)))*1,[1]OUT_FinalEnergyCons!L$4:L$10000)</f>
        <v>0.17580983615154899</v>
      </c>
      <c r="O2260" s="1" cm="1">
        <f t="array" ref="O2260">SUMPRODUCT(([1]OUT_FinalEnergyCons!$B$4:$B$10000="var_ncap")*1, (ISNUMBER(SEARCH("RH*-WHNGABR",[1]OUT_FinalEnergyCons!$A$4:$A$10000)))*1,[1]OUT_FinalEnergyCons!M$4:M$10000)</f>
        <v>4.3969706672286001E-5</v>
      </c>
      <c r="P2260" s="1" cm="1">
        <f t="array" ref="P2260">SUMPRODUCT(([1]OUT_FinalEnergyCons!$B$4:$B$10000="var_ncap")*1, (ISNUMBER(SEARCH("RH*-WHNGABR",[1]OUT_FinalEnergyCons!$A$4:$A$10000)))*1,[1]OUT_FinalEnergyCons!N$4:N$10000)</f>
        <v>0.34599905461410102</v>
      </c>
      <c r="Q2260" s="1" cm="1">
        <f t="array" ref="Q2260">SUMPRODUCT(([1]OUT_FinalEnergyCons!$B$4:$B$10000="var_ncap")*1, (ISNUMBER(SEARCH("RH*-WHNGABR",[1]OUT_FinalEnergyCons!$A$4:$A$10000)))*1,[1]OUT_FinalEnergyCons!O$4:O$10000)</f>
        <v>8.70592554716213E-2</v>
      </c>
      <c r="S2260" s="3"/>
    </row>
    <row r="2261" spans="2:19" x14ac:dyDescent="0.5">
      <c r="B2261" s="5" t="str">
        <f t="shared" si="2263"/>
        <v>SPS1</v>
      </c>
      <c r="C2261" s="5" t="str">
        <f t="shared" si="2264"/>
        <v>CH</v>
      </c>
      <c r="D2261" t="s">
        <v>2395</v>
      </c>
      <c r="E2261" t="str">
        <f t="shared" si="2265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2.25880668007664E-7</v>
      </c>
      <c r="H2261" s="1" cm="1">
        <f t="array" ref="H2261">SUMPRODUCT(([1]OUT_FinalEnergyCons!$B$4:$B$10000="var_ncap")*1,ISNUMBER(SEARCH("RH*-WHngahp",[1]OUT_FinalEnergyCons!$A$4:$A$10000))*1,[1]OUT_FinalEnergyCons!F$4:F$10000)</f>
        <v>2.23630578323853E-4</v>
      </c>
      <c r="I2261" s="1" cm="1">
        <f t="array" ref="I2261">SUMPRODUCT(([1]OUT_FinalEnergyCons!$B$4:$B$10000="var_ncap")*1,ISNUMBER(SEARCH("RH*-WHngahp",[1]OUT_FinalEnergyCons!$A$4:$A$10000))*1,[1]OUT_FinalEnergyCons!G$4:G$10000)</f>
        <v>3.9551186992099403E-6</v>
      </c>
      <c r="J2261" s="1" cm="1">
        <f t="array" ref="J2261">SUMPRODUCT(([1]OUT_FinalEnergyCons!$B$4:$B$10000="var_ncap")*1,ISNUMBER(SEARCH("RH*-WHngahp",[1]OUT_FinalEnergyCons!$A$4:$A$10000))*1,[1]OUT_FinalEnergyCons!H$4:H$10000)</f>
        <v>3.3903150773796402E-2</v>
      </c>
      <c r="K2261" s="1" cm="1">
        <f t="array" ref="K2261">SUMPRODUCT(([1]OUT_FinalEnergyCons!$B$4:$B$10000="var_ncap")*1,ISNUMBER(SEARCH("RH*-WHngahp",[1]OUT_FinalEnergyCons!$A$4:$A$10000))*1,[1]OUT_FinalEnergyCons!I$4:I$10000)</f>
        <v>5.4781256518283999E-2</v>
      </c>
      <c r="L2261" s="1" cm="1">
        <f t="array" ref="L2261">SUMPRODUCT(([1]OUT_FinalEnergyCons!$B$4:$B$10000="var_ncap")*1,ISNUMBER(SEARCH("RH*-WHngahp",[1]OUT_FinalEnergyCons!$A$4:$A$10000))*1,[1]OUT_FinalEnergyCons!J$4:J$10000)</f>
        <v>3.2766992249165697E-2</v>
      </c>
      <c r="M2261" s="1" cm="1">
        <f t="array" ref="M2261">SUMPRODUCT(([1]OUT_FinalEnergyCons!$B$4:$B$10000="var_ncap")*1,ISNUMBER(SEARCH("RH*-WHngahp",[1]OUT_FinalEnergyCons!$A$4:$A$10000))*1,[1]OUT_FinalEnergyCons!K$4:K$10000)</f>
        <v>0.109562652640638</v>
      </c>
      <c r="N2261" s="1" cm="1">
        <f t="array" ref="N2261">SUMPRODUCT(([1]OUT_FinalEnergyCons!$B$4:$B$10000="var_ncap")*1,ISNUMBER(SEARCH("RH*-WHngahp",[1]OUT_FinalEnergyCons!$A$4:$A$10000))*1,[1]OUT_FinalEnergyCons!L$4:L$10000)</f>
        <v>6.3959699242310999E-2</v>
      </c>
      <c r="O2261" s="1" cm="1">
        <f t="array" ref="O2261">SUMPRODUCT(([1]OUT_FinalEnergyCons!$B$4:$B$10000="var_ncap")*1,ISNUMBER(SEARCH("RH*-WHngahp",[1]OUT_FinalEnergyCons!$A$4:$A$10000))*1,[1]OUT_FinalEnergyCons!M$4:M$10000)</f>
        <v>4.6714113914255499E-2</v>
      </c>
      <c r="P2261" s="1" cm="1">
        <f t="array" ref="P2261">SUMPRODUCT(([1]OUT_FinalEnergyCons!$B$4:$B$10000="var_ncap")*1,ISNUMBER(SEARCH("RH*-WHngahp",[1]OUT_FinalEnergyCons!$A$4:$A$10000))*1,[1]OUT_FinalEnergyCons!N$4:N$10000)</f>
        <v>0.19133025811059001</v>
      </c>
      <c r="Q2261" s="1" cm="1">
        <f t="array" ref="Q2261">SUMPRODUCT(([1]OUT_FinalEnergyCons!$B$4:$B$10000="var_ncap")*1,ISNUMBER(SEARCH("RH*-WHngahp",[1]OUT_FinalEnergyCons!$A$4:$A$10000))*1,[1]OUT_FinalEnergyCons!O$4:O$10000)</f>
        <v>6.3489350977754003E-2</v>
      </c>
      <c r="S2261" s="3"/>
    </row>
    <row r="2262" spans="2:19" x14ac:dyDescent="0.5">
      <c r="B2262" s="5" t="str">
        <f t="shared" si="2263"/>
        <v>SPS1</v>
      </c>
      <c r="C2262" s="5" t="str">
        <f t="shared" si="2264"/>
        <v>CH</v>
      </c>
      <c r="D2262" t="s">
        <v>2396</v>
      </c>
      <c r="E2262" t="str">
        <f t="shared" si="2265"/>
        <v>GWth/yr.</v>
      </c>
      <c r="F2262" s="1">
        <f t="shared" ref="F2262:O2262" si="2281">F2263</f>
        <v>0</v>
      </c>
      <c r="G2262" s="1">
        <f t="shared" si="2281"/>
        <v>0</v>
      </c>
      <c r="H2262" s="1">
        <f t="shared" si="2281"/>
        <v>0</v>
      </c>
      <c r="I2262" s="1">
        <f t="shared" si="2281"/>
        <v>0</v>
      </c>
      <c r="J2262" s="1">
        <f t="shared" si="2281"/>
        <v>0</v>
      </c>
      <c r="K2262" s="1">
        <f t="shared" si="2281"/>
        <v>0</v>
      </c>
      <c r="L2262" s="1">
        <f t="shared" si="2281"/>
        <v>0</v>
      </c>
      <c r="M2262" s="1">
        <f t="shared" si="2281"/>
        <v>0</v>
      </c>
      <c r="N2262" s="1">
        <f t="shared" si="2281"/>
        <v>0</v>
      </c>
      <c r="O2262" s="1">
        <f t="shared" si="2281"/>
        <v>0</v>
      </c>
      <c r="P2262" s="1">
        <f>P2263</f>
        <v>0</v>
      </c>
      <c r="Q2262" s="1">
        <f>Q2263</f>
        <v>0</v>
      </c>
      <c r="S2262" s="3"/>
    </row>
    <row r="2263" spans="2:19" x14ac:dyDescent="0.5">
      <c r="B2263" s="5" t="str">
        <f t="shared" si="2263"/>
        <v>SPS1</v>
      </c>
      <c r="C2263" s="5" t="str">
        <f t="shared" si="2264"/>
        <v>CH</v>
      </c>
      <c r="D2263" t="s">
        <v>2397</v>
      </c>
      <c r="E2263" t="str">
        <f t="shared" si="2265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SUMPRODUCT(([1]OUT_FinalEnergyCons!$B$4:$B$10000="var_ncap")*1, (ISNUMBER(SEARCH("RH*-WHCOABR",[1]OUT_FinalEnergyCons!$A$4:$A$10000)))*1,[1]OUT_FinalEnergyCons!H$4:H$10000)</f>
        <v>0</v>
      </c>
      <c r="K2263" s="1" cm="1">
        <f t="array" ref="K2263">SUMPRODUCT(([1]OUT_FinalEnergyCons!$B$4:$B$10000="var_ncap")*1, (ISNUMBER(SEARCH("RH*-WHCOABR",[1]OUT_FinalEnergyCons!$A$4:$A$10000)))*1,[1]OUT_FinalEnergyCons!I$4:I$10000)</f>
        <v>0</v>
      </c>
      <c r="L2263" s="1" cm="1">
        <f t="array" ref="L2263">SUMPRODUCT(([1]OUT_FinalEnergyCons!$B$4:$B$10000="var_ncap")*1, (ISNUMBER(SEARCH("RH*-WHCOABR",[1]OUT_FinalEnergyCons!$A$4:$A$10000)))*1,[1]OUT_FinalEnergyCons!J$4:J$10000)</f>
        <v>0</v>
      </c>
      <c r="M2263" s="1" cm="1">
        <f t="array" ref="M2263">SUMPRODUCT(([1]OUT_FinalEnergyCons!$B$4:$B$10000="var_ncap")*1, (ISNUMBER(SEARCH("RH*-WHCOABR",[1]OUT_FinalEnergyCons!$A$4:$A$10000)))*1,[1]OUT_FinalEnergyCons!K$4:K$10000)</f>
        <v>0</v>
      </c>
      <c r="N2263" s="1" cm="1">
        <f t="array" ref="N2263">SUMPRODUCT(([1]OUT_FinalEnergyCons!$B$4:$B$10000="var_ncap")*1, (ISNUMBER(SEARCH("RH*-WHCOABR",[1]OUT_FinalEnergyCons!$A$4:$A$10000)))*1,[1]OUT_FinalEnergyCons!L$4:L$10000)</f>
        <v>0</v>
      </c>
      <c r="O2263" s="1" cm="1">
        <f t="array" ref="O2263">SUMPRODUCT(([1]OUT_FinalEnergyCons!$B$4:$B$10000="var_ncap")*1, (ISNUMBER(SEARCH("RH*-WHCOABR",[1]OUT_FinalEnergyCons!$A$4:$A$10000)))*1,[1]OUT_FinalEnergyCons!M$4:M$10000)</f>
        <v>0</v>
      </c>
      <c r="P2263" s="1" cm="1">
        <f t="array" ref="P2263">SUMPRODUCT(([1]OUT_FinalEnergyCons!$B$4:$B$10000="var_ncap")*1, (ISNUMBER(SEARCH("RH*-WHCOABR",[1]OUT_FinalEnergyCons!$A$4:$A$10000)))*1,[1]OUT_FinalEnergyCons!N$4:N$10000)</f>
        <v>0</v>
      </c>
      <c r="Q2263" s="1" cm="1">
        <f t="array" ref="Q2263">SUMPRODUCT(([1]OUT_FinalEnergyCons!$B$4:$B$10000="var_ncap")*1, (ISNUMBER(SEARCH("RH*-WHCOABR",[1]OUT_FinalEnergyCons!$A$4:$A$10000)))*1,[1]OUT_FinalEnergyCons!O$4:O$10000)</f>
        <v>0</v>
      </c>
      <c r="S2263" s="3"/>
    </row>
    <row r="2264" spans="2:19" x14ac:dyDescent="0.5">
      <c r="B2264" s="5" t="str">
        <f t="shared" si="2263"/>
        <v>SPS1</v>
      </c>
      <c r="C2264" s="5" t="str">
        <f t="shared" si="2264"/>
        <v>CH</v>
      </c>
      <c r="D2264" t="s">
        <v>2398</v>
      </c>
      <c r="E2264" t="str">
        <f t="shared" si="2265"/>
        <v>GWth/yr.</v>
      </c>
      <c r="F2264" s="1">
        <f t="shared" ref="F2264:O2264" si="2282">F2265</f>
        <v>0</v>
      </c>
      <c r="G2264" s="1">
        <f t="shared" si="2282"/>
        <v>5.1152428475833003E-3</v>
      </c>
      <c r="H2264" s="1">
        <f t="shared" si="2282"/>
        <v>1.2842039278979599E-7</v>
      </c>
      <c r="I2264" s="1">
        <f t="shared" si="2282"/>
        <v>7.4935273423291398E-7</v>
      </c>
      <c r="J2264" s="1">
        <f t="shared" si="2282"/>
        <v>5.5503641430964196E-3</v>
      </c>
      <c r="K2264" s="1">
        <f t="shared" si="2282"/>
        <v>9.06486468119257E-3</v>
      </c>
      <c r="L2264" s="1">
        <f t="shared" si="2282"/>
        <v>1.2074765193837101E-6</v>
      </c>
      <c r="M2264" s="1">
        <f t="shared" si="2282"/>
        <v>1.7443147488118199E-3</v>
      </c>
      <c r="N2264" s="1">
        <f t="shared" si="2282"/>
        <v>7.1111708749237298E-3</v>
      </c>
      <c r="O2264" s="1">
        <f t="shared" si="2282"/>
        <v>8.99885680696934E-6</v>
      </c>
      <c r="P2264" s="1">
        <f>P2265</f>
        <v>2.9170539870710301E-3</v>
      </c>
      <c r="Q2264" s="1">
        <f>Q2265</f>
        <v>2.1859159792820102E-3</v>
      </c>
      <c r="S2264" s="3"/>
    </row>
    <row r="2265" spans="2:19" x14ac:dyDescent="0.5">
      <c r="B2265" s="5" t="str">
        <f t="shared" si="2263"/>
        <v>SPS1</v>
      </c>
      <c r="C2265" s="5" t="str">
        <f t="shared" si="2264"/>
        <v>CH</v>
      </c>
      <c r="D2265" t="s">
        <v>2399</v>
      </c>
      <c r="E2265" t="str">
        <f t="shared" si="2265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5.1152428475833003E-3</v>
      </c>
      <c r="H2265" s="1" cm="1">
        <f t="array" ref="H2265">SUMPRODUCT(([1]OUT_FinalEnergyCons!$B$4:$B$10000="var_ncap")*1, (ISNUMBER(SEARCH("RH*-WHWODBR",[1]OUT_FinalEnergyCons!$A$4:$A$10000)))*1,[1]OUT_FinalEnergyCons!F$4:F$10000)</f>
        <v>1.2842039278979599E-7</v>
      </c>
      <c r="I2265" s="1" cm="1">
        <f t="array" ref="I2265">SUMPRODUCT(([1]OUT_FinalEnergyCons!$B$4:$B$10000="var_ncap")*1, (ISNUMBER(SEARCH("RH*-WHWODBR",[1]OUT_FinalEnergyCons!$A$4:$A$10000)))*1,[1]OUT_FinalEnergyCons!G$4:G$10000)</f>
        <v>7.4935273423291398E-7</v>
      </c>
      <c r="J2265" s="1" cm="1">
        <f t="array" ref="J2265">SUMPRODUCT(([1]OUT_FinalEnergyCons!$B$4:$B$10000="var_ncap")*1, (ISNUMBER(SEARCH("RH*-WHWODBR",[1]OUT_FinalEnergyCons!$A$4:$A$10000)))*1,[1]OUT_FinalEnergyCons!H$4:H$10000)</f>
        <v>5.5503641430964196E-3</v>
      </c>
      <c r="K2265" s="1" cm="1">
        <f t="array" ref="K2265">SUMPRODUCT(([1]OUT_FinalEnergyCons!$B$4:$B$10000="var_ncap")*1, (ISNUMBER(SEARCH("RH*-WHWODBR",[1]OUT_FinalEnergyCons!$A$4:$A$10000)))*1,[1]OUT_FinalEnergyCons!I$4:I$10000)</f>
        <v>9.06486468119257E-3</v>
      </c>
      <c r="L2265" s="1" cm="1">
        <f t="array" ref="L2265">SUMPRODUCT(([1]OUT_FinalEnergyCons!$B$4:$B$10000="var_ncap")*1, (ISNUMBER(SEARCH("RH*-WHWODBR",[1]OUT_FinalEnergyCons!$A$4:$A$10000)))*1,[1]OUT_FinalEnergyCons!J$4:J$10000)</f>
        <v>1.2074765193837101E-6</v>
      </c>
      <c r="M2265" s="1" cm="1">
        <f t="array" ref="M2265">SUMPRODUCT(([1]OUT_FinalEnergyCons!$B$4:$B$10000="var_ncap")*1, (ISNUMBER(SEARCH("RH*-WHWODBR",[1]OUT_FinalEnergyCons!$A$4:$A$10000)))*1,[1]OUT_FinalEnergyCons!K$4:K$10000)</f>
        <v>1.7443147488118199E-3</v>
      </c>
      <c r="N2265" s="1" cm="1">
        <f t="array" ref="N2265">SUMPRODUCT(([1]OUT_FinalEnergyCons!$B$4:$B$10000="var_ncap")*1, (ISNUMBER(SEARCH("RH*-WHWODBR",[1]OUT_FinalEnergyCons!$A$4:$A$10000)))*1,[1]OUT_FinalEnergyCons!L$4:L$10000)</f>
        <v>7.1111708749237298E-3</v>
      </c>
      <c r="O2265" s="1" cm="1">
        <f t="array" ref="O2265">SUMPRODUCT(([1]OUT_FinalEnergyCons!$B$4:$B$10000="var_ncap")*1, (ISNUMBER(SEARCH("RH*-WHWODBR",[1]OUT_FinalEnergyCons!$A$4:$A$10000)))*1,[1]OUT_FinalEnergyCons!M$4:M$10000)</f>
        <v>8.99885680696934E-6</v>
      </c>
      <c r="P2265" s="1" cm="1">
        <f t="array" ref="P2265">SUMPRODUCT(([1]OUT_FinalEnergyCons!$B$4:$B$10000="var_ncap")*1, (ISNUMBER(SEARCH("RH*-WHWODBR",[1]OUT_FinalEnergyCons!$A$4:$A$10000)))*1,[1]OUT_FinalEnergyCons!N$4:N$10000)</f>
        <v>2.9170539870710301E-3</v>
      </c>
      <c r="Q2265" s="1" cm="1">
        <f t="array" ref="Q2265">SUMPRODUCT(([1]OUT_FinalEnergyCons!$B$4:$B$10000="var_ncap")*1, (ISNUMBER(SEARCH("RH*-WHWODBR",[1]OUT_FinalEnergyCons!$A$4:$A$10000)))*1,[1]OUT_FinalEnergyCons!O$4:O$10000)</f>
        <v>2.1859159792820102E-3</v>
      </c>
      <c r="S2265" s="3"/>
    </row>
    <row r="2266" spans="2:19" x14ac:dyDescent="0.5">
      <c r="B2266" s="5" t="str">
        <f t="shared" si="2263"/>
        <v>SPS1</v>
      </c>
      <c r="C2266" s="5" t="str">
        <f t="shared" si="2264"/>
        <v>CH</v>
      </c>
      <c r="D2266" t="s">
        <v>2400</v>
      </c>
      <c r="E2266" t="str">
        <f t="shared" si="2265"/>
        <v>GWth/yr.</v>
      </c>
      <c r="F2266" s="1">
        <f t="shared" ref="F2266:O2266" si="2283">F2267</f>
        <v>0</v>
      </c>
      <c r="G2266" s="1">
        <f t="shared" si="2283"/>
        <v>1.9531093808162201E-3</v>
      </c>
      <c r="H2266" s="1">
        <f t="shared" si="2283"/>
        <v>1.5528643625787301E-7</v>
      </c>
      <c r="I2266" s="1">
        <f t="shared" si="2283"/>
        <v>3.14559657918078E-7</v>
      </c>
      <c r="J2266" s="1">
        <f t="shared" si="2283"/>
        <v>5.5255611165560504E-3</v>
      </c>
      <c r="K2266" s="1">
        <f t="shared" si="2283"/>
        <v>4.1574809499866803E-3</v>
      </c>
      <c r="L2266" s="1">
        <f t="shared" si="2283"/>
        <v>1.6880312743165399E-4</v>
      </c>
      <c r="M2266" s="1">
        <f t="shared" si="2283"/>
        <v>5.7018479044090896E-3</v>
      </c>
      <c r="N2266" s="1">
        <f t="shared" si="2283"/>
        <v>3.6258386249539399E-3</v>
      </c>
      <c r="O2266" s="1">
        <f t="shared" si="2283"/>
        <v>9.0524033597431496E-4</v>
      </c>
      <c r="P2266" s="1">
        <f>P2267</f>
        <v>5.8342917051563102E-3</v>
      </c>
      <c r="Q2266" s="1">
        <f>Q2267</f>
        <v>3.5240410288164101E-3</v>
      </c>
      <c r="S2266" s="3"/>
    </row>
    <row r="2267" spans="2:19" x14ac:dyDescent="0.5">
      <c r="B2267" s="5" t="str">
        <f t="shared" si="2263"/>
        <v>SPS1</v>
      </c>
      <c r="C2267" s="5" t="str">
        <f t="shared" si="2264"/>
        <v>CH</v>
      </c>
      <c r="D2267" t="s">
        <v>2401</v>
      </c>
      <c r="E2267" t="str">
        <f t="shared" si="2265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1.9531093808162201E-3</v>
      </c>
      <c r="H2267" s="1" cm="1">
        <f t="array" ref="H2267">SUMPRODUCT(([1]OUT_FinalEnergyCons!$B$4:$B$10000="var_ncap")*1, (ISNUMBER(SEARCH("RH*-WHPLTBR",[1]OUT_FinalEnergyCons!$A$4:$A$10000)))*1,[1]OUT_FinalEnergyCons!F$4:F$10000)</f>
        <v>1.5528643625787301E-7</v>
      </c>
      <c r="I2267" s="1" cm="1">
        <f t="array" ref="I2267">SUMPRODUCT(([1]OUT_FinalEnergyCons!$B$4:$B$10000="var_ncap")*1, (ISNUMBER(SEARCH("RH*-WHPLTBR",[1]OUT_FinalEnergyCons!$A$4:$A$10000)))*1,[1]OUT_FinalEnergyCons!G$4:G$10000)</f>
        <v>3.14559657918078E-7</v>
      </c>
      <c r="J2267" s="1" cm="1">
        <f t="array" ref="J2267">SUMPRODUCT(([1]OUT_FinalEnergyCons!$B$4:$B$10000="var_ncap")*1, (ISNUMBER(SEARCH("RH*-WHPLTBR",[1]OUT_FinalEnergyCons!$A$4:$A$10000)))*1,[1]OUT_FinalEnergyCons!H$4:H$10000)</f>
        <v>5.5255611165560504E-3</v>
      </c>
      <c r="K2267" s="1" cm="1">
        <f t="array" ref="K2267">SUMPRODUCT(([1]OUT_FinalEnergyCons!$B$4:$B$10000="var_ncap")*1, (ISNUMBER(SEARCH("RH*-WHPLTBR",[1]OUT_FinalEnergyCons!$A$4:$A$10000)))*1,[1]OUT_FinalEnergyCons!I$4:I$10000)</f>
        <v>4.1574809499866803E-3</v>
      </c>
      <c r="L2267" s="1" cm="1">
        <f t="array" ref="L2267">SUMPRODUCT(([1]OUT_FinalEnergyCons!$B$4:$B$10000="var_ncap")*1, (ISNUMBER(SEARCH("RH*-WHPLTBR",[1]OUT_FinalEnergyCons!$A$4:$A$10000)))*1,[1]OUT_FinalEnergyCons!J$4:J$10000)</f>
        <v>1.6880312743165399E-4</v>
      </c>
      <c r="M2267" s="1" cm="1">
        <f t="array" ref="M2267">SUMPRODUCT(([1]OUT_FinalEnergyCons!$B$4:$B$10000="var_ncap")*1, (ISNUMBER(SEARCH("RH*-WHPLTBR",[1]OUT_FinalEnergyCons!$A$4:$A$10000)))*1,[1]OUT_FinalEnergyCons!K$4:K$10000)</f>
        <v>5.7018479044090896E-3</v>
      </c>
      <c r="N2267" s="1" cm="1">
        <f t="array" ref="N2267">SUMPRODUCT(([1]OUT_FinalEnergyCons!$B$4:$B$10000="var_ncap")*1, (ISNUMBER(SEARCH("RH*-WHPLTBR",[1]OUT_FinalEnergyCons!$A$4:$A$10000)))*1,[1]OUT_FinalEnergyCons!L$4:L$10000)</f>
        <v>3.6258386249539399E-3</v>
      </c>
      <c r="O2267" s="1" cm="1">
        <f t="array" ref="O2267">SUMPRODUCT(([1]OUT_FinalEnergyCons!$B$4:$B$10000="var_ncap")*1, (ISNUMBER(SEARCH("RH*-WHPLTBR",[1]OUT_FinalEnergyCons!$A$4:$A$10000)))*1,[1]OUT_FinalEnergyCons!M$4:M$10000)</f>
        <v>9.0524033597431496E-4</v>
      </c>
      <c r="P2267" s="1" cm="1">
        <f t="array" ref="P2267">SUMPRODUCT(([1]OUT_FinalEnergyCons!$B$4:$B$10000="var_ncap")*1, (ISNUMBER(SEARCH("RH*-WHPLTBR",[1]OUT_FinalEnergyCons!$A$4:$A$10000)))*1,[1]OUT_FinalEnergyCons!N$4:N$10000)</f>
        <v>5.8342917051563102E-3</v>
      </c>
      <c r="Q2267" s="1" cm="1">
        <f t="array" ref="Q2267">SUMPRODUCT(([1]OUT_FinalEnergyCons!$B$4:$B$10000="var_ncap")*1, (ISNUMBER(SEARCH("RH*-WHPLTBR",[1]OUT_FinalEnergyCons!$A$4:$A$10000)))*1,[1]OUT_FinalEnergyCons!O$4:O$10000)</f>
        <v>3.5240410288164101E-3</v>
      </c>
      <c r="S2267" s="3"/>
    </row>
    <row r="2268" spans="2:19" x14ac:dyDescent="0.5">
      <c r="B2268" s="5" t="str">
        <f t="shared" ref="B2268:B2294" si="2284">B2267</f>
        <v>SPS1</v>
      </c>
      <c r="C2268" s="5" t="str">
        <f t="shared" ref="C2268:C2294" si="2285">C2267</f>
        <v>CH</v>
      </c>
      <c r="D2268" t="s">
        <v>2402</v>
      </c>
      <c r="E2268" t="str">
        <f t="shared" ref="E2268:E2299" si="2286">E2267</f>
        <v>GWth/yr.</v>
      </c>
      <c r="F2268" s="1">
        <f t="shared" ref="F2268:O2268" si="2287">F2269</f>
        <v>0</v>
      </c>
      <c r="G2268" s="1">
        <f t="shared" si="2287"/>
        <v>8.2642793168563794E-2</v>
      </c>
      <c r="H2268" s="1">
        <f t="shared" si="2287"/>
        <v>1.0256390914527101E-6</v>
      </c>
      <c r="I2268" s="1">
        <f t="shared" si="2287"/>
        <v>4.2596434251717098E-6</v>
      </c>
      <c r="J2268" s="1">
        <f t="shared" si="2287"/>
        <v>7.1299520853632697E-2</v>
      </c>
      <c r="K2268" s="1">
        <f t="shared" si="2287"/>
        <v>8.7539340666647605E-2</v>
      </c>
      <c r="L2268" s="1">
        <f t="shared" si="2287"/>
        <v>1.6916987353158999E-4</v>
      </c>
      <c r="M2268" s="1">
        <f t="shared" si="2287"/>
        <v>6.2133441212935001E-2</v>
      </c>
      <c r="N2268" s="1">
        <f t="shared" si="2287"/>
        <v>7.4558229514123206E-2</v>
      </c>
      <c r="O2268" s="1">
        <f t="shared" si="2287"/>
        <v>1.2781923012462699E-3</v>
      </c>
      <c r="P2268" s="1">
        <f>P2269</f>
        <v>7.64433322121333E-2</v>
      </c>
      <c r="Q2268" s="1">
        <f>Q2269</f>
        <v>4.1135508590028499E-2</v>
      </c>
      <c r="S2268" s="3"/>
    </row>
    <row r="2269" spans="2:19" x14ac:dyDescent="0.5">
      <c r="B2269" s="5" t="str">
        <f t="shared" si="2284"/>
        <v>SPS1</v>
      </c>
      <c r="C2269" s="5" t="str">
        <f t="shared" si="2285"/>
        <v>CH</v>
      </c>
      <c r="D2269" t="s">
        <v>2403</v>
      </c>
      <c r="E2269" t="str">
        <f t="shared" si="2286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8.2642793168563794E-2</v>
      </c>
      <c r="H2269" s="1" cm="1">
        <f t="array" ref="H2269">SUMPRODUCT(([1]OUT_FinalEnergyCons!$B$4:$B$10000="var_ncap")*1, (ISNUMBER(SEARCH("RH*-WHSOLBR",[1]OUT_FinalEnergyCons!$A$4:$A$10000)))*1,[1]OUT_FinalEnergyCons!F$4:F$10000)</f>
        <v>1.0256390914527101E-6</v>
      </c>
      <c r="I2269" s="1" cm="1">
        <f t="array" ref="I2269">SUMPRODUCT(([1]OUT_FinalEnergyCons!$B$4:$B$10000="var_ncap")*1, (ISNUMBER(SEARCH("RH*-WHSOLBR",[1]OUT_FinalEnergyCons!$A$4:$A$10000)))*1,[1]OUT_FinalEnergyCons!G$4:G$10000)</f>
        <v>4.2596434251717098E-6</v>
      </c>
      <c r="J2269" s="1" cm="1">
        <f t="array" ref="J2269">SUMPRODUCT(([1]OUT_FinalEnergyCons!$B$4:$B$10000="var_ncap")*1, (ISNUMBER(SEARCH("RH*-WHSOLBR",[1]OUT_FinalEnergyCons!$A$4:$A$10000)))*1,[1]OUT_FinalEnergyCons!H$4:H$10000)</f>
        <v>7.1299520853632697E-2</v>
      </c>
      <c r="K2269" s="1" cm="1">
        <f t="array" ref="K2269">SUMPRODUCT(([1]OUT_FinalEnergyCons!$B$4:$B$10000="var_ncap")*1, (ISNUMBER(SEARCH("RH*-WHSOLBR",[1]OUT_FinalEnergyCons!$A$4:$A$10000)))*1,[1]OUT_FinalEnergyCons!I$4:I$10000)</f>
        <v>8.7539340666647605E-2</v>
      </c>
      <c r="L2269" s="1" cm="1">
        <f t="array" ref="L2269">SUMPRODUCT(([1]OUT_FinalEnergyCons!$B$4:$B$10000="var_ncap")*1, (ISNUMBER(SEARCH("RH*-WHSOLBR",[1]OUT_FinalEnergyCons!$A$4:$A$10000)))*1,[1]OUT_FinalEnergyCons!J$4:J$10000)</f>
        <v>1.6916987353158999E-4</v>
      </c>
      <c r="M2269" s="1" cm="1">
        <f t="array" ref="M2269">SUMPRODUCT(([1]OUT_FinalEnergyCons!$B$4:$B$10000="var_ncap")*1, (ISNUMBER(SEARCH("RH*-WHSOLBR",[1]OUT_FinalEnergyCons!$A$4:$A$10000)))*1,[1]OUT_FinalEnergyCons!K$4:K$10000)</f>
        <v>6.2133441212935001E-2</v>
      </c>
      <c r="N2269" s="1" cm="1">
        <f t="array" ref="N2269">SUMPRODUCT(([1]OUT_FinalEnergyCons!$B$4:$B$10000="var_ncap")*1, (ISNUMBER(SEARCH("RH*-WHSOLBR",[1]OUT_FinalEnergyCons!$A$4:$A$10000)))*1,[1]OUT_FinalEnergyCons!L$4:L$10000)</f>
        <v>7.4558229514123206E-2</v>
      </c>
      <c r="O2269" s="1" cm="1">
        <f t="array" ref="O2269">SUMPRODUCT(([1]OUT_FinalEnergyCons!$B$4:$B$10000="var_ncap")*1, (ISNUMBER(SEARCH("RH*-WHSOLBR",[1]OUT_FinalEnergyCons!$A$4:$A$10000)))*1,[1]OUT_FinalEnergyCons!M$4:M$10000)</f>
        <v>1.2781923012462699E-3</v>
      </c>
      <c r="P2269" s="1" cm="1">
        <f t="array" ref="P2269">SUMPRODUCT(([1]OUT_FinalEnergyCons!$B$4:$B$10000="var_ncap")*1, (ISNUMBER(SEARCH("RH*-WHSOLBR",[1]OUT_FinalEnergyCons!$A$4:$A$10000)))*1,[1]OUT_FinalEnergyCons!N$4:N$10000)</f>
        <v>7.64433322121333E-2</v>
      </c>
      <c r="Q2269" s="1" cm="1">
        <f t="array" ref="Q2269">SUMPRODUCT(([1]OUT_FinalEnergyCons!$B$4:$B$10000="var_ncap")*1, (ISNUMBER(SEARCH("RH*-WHSOLBR",[1]OUT_FinalEnergyCons!$A$4:$A$10000)))*1,[1]OUT_FinalEnergyCons!O$4:O$10000)</f>
        <v>4.1135508590028499E-2</v>
      </c>
      <c r="S2269" s="3"/>
    </row>
    <row r="2270" spans="2:19" x14ac:dyDescent="0.5">
      <c r="B2270" s="5" t="str">
        <f t="shared" si="2284"/>
        <v>SPS1</v>
      </c>
      <c r="C2270" s="5" t="str">
        <f t="shared" si="2285"/>
        <v>CH</v>
      </c>
      <c r="D2270" t="s">
        <v>2404</v>
      </c>
      <c r="E2270" t="str">
        <f t="shared" si="2286"/>
        <v>GWth/yr.</v>
      </c>
      <c r="F2270" s="1">
        <f t="shared" ref="F2270:O2270" si="2288">F2271</f>
        <v>0</v>
      </c>
      <c r="G2270" s="1">
        <f t="shared" si="2288"/>
        <v>0</v>
      </c>
      <c r="H2270" s="1">
        <f t="shared" si="2288"/>
        <v>0</v>
      </c>
      <c r="I2270" s="1">
        <f t="shared" si="2288"/>
        <v>0</v>
      </c>
      <c r="J2270" s="1">
        <f t="shared" si="2288"/>
        <v>0</v>
      </c>
      <c r="K2270" s="1">
        <f t="shared" si="2288"/>
        <v>0</v>
      </c>
      <c r="L2270" s="1">
        <f t="shared" si="2288"/>
        <v>0</v>
      </c>
      <c r="M2270" s="1">
        <f t="shared" si="2288"/>
        <v>0</v>
      </c>
      <c r="N2270" s="1">
        <f t="shared" si="2288"/>
        <v>0</v>
      </c>
      <c r="O2270" s="1">
        <f t="shared" si="2288"/>
        <v>0</v>
      </c>
      <c r="P2270" s="1">
        <f>P2271</f>
        <v>0</v>
      </c>
      <c r="Q2270" s="1">
        <f>Q2271</f>
        <v>0</v>
      </c>
      <c r="S2270" s="3"/>
    </row>
    <row r="2271" spans="2:19" x14ac:dyDescent="0.5">
      <c r="B2271" s="5" t="str">
        <f t="shared" si="2284"/>
        <v>SPS1</v>
      </c>
      <c r="C2271" s="5" t="str">
        <f t="shared" si="2285"/>
        <v>CH</v>
      </c>
      <c r="D2271" t="s">
        <v>2405</v>
      </c>
      <c r="E2271" t="str">
        <f t="shared" si="2286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SUMPRODUCT(([1]OUT_FinalEnergyCons!$B$4:$B$10000="var_ncap")*1, (ISNUMBER(SEARCH("RH*-WHH2BR",[1]OUT_FinalEnergyCons!$A$4:$A$10000)))*1,[1]OUT_FinalEnergyCons!H$4:H$10000)</f>
        <v>0</v>
      </c>
      <c r="K2271" s="1" cm="1">
        <f t="array" ref="K2271">SUMPRODUCT(([1]OUT_FinalEnergyCons!$B$4:$B$10000="var_ncap")*1, (ISNUMBER(SEARCH("RH*-WHH2BR",[1]OUT_FinalEnergyCons!$A$4:$A$10000)))*1,[1]OUT_FinalEnergyCons!I$4:I$10000)</f>
        <v>0</v>
      </c>
      <c r="L2271" s="1" cm="1">
        <f t="array" ref="L2271">SUMPRODUCT(([1]OUT_FinalEnergyCons!$B$4:$B$10000="var_ncap")*1, (ISNUMBER(SEARCH("RH*-WHH2BR",[1]OUT_FinalEnergyCons!$A$4:$A$10000)))*1,[1]OUT_FinalEnergyCons!J$4:J$10000)</f>
        <v>0</v>
      </c>
      <c r="M2271" s="1" cm="1">
        <f t="array" ref="M2271">SUMPRODUCT(([1]OUT_FinalEnergyCons!$B$4:$B$10000="var_ncap")*1, (ISNUMBER(SEARCH("RH*-WHH2BR",[1]OUT_FinalEnergyCons!$A$4:$A$10000)))*1,[1]OUT_FinalEnergyCons!K$4:K$10000)</f>
        <v>0</v>
      </c>
      <c r="N2271" s="1" cm="1">
        <f t="array" ref="N2271">SUMPRODUCT(([1]OUT_FinalEnergyCons!$B$4:$B$10000="var_ncap")*1, (ISNUMBER(SEARCH("RH*-WHH2BR",[1]OUT_FinalEnergyCons!$A$4:$A$10000)))*1,[1]OUT_FinalEnergyCons!L$4:L$10000)</f>
        <v>0</v>
      </c>
      <c r="O2271" s="1" cm="1">
        <f t="array" ref="O2271">SUMPRODUCT(([1]OUT_FinalEnergyCons!$B$4:$B$10000="var_ncap")*1, (ISNUMBER(SEARCH("RH*-WHH2BR",[1]OUT_FinalEnergyCons!$A$4:$A$10000)))*1,[1]OUT_FinalEnergyCons!M$4:M$10000)</f>
        <v>0</v>
      </c>
      <c r="P2271" s="1" cm="1">
        <f t="array" ref="P2271">SUMPRODUCT(([1]OUT_FinalEnergyCons!$B$4:$B$10000="var_ncap")*1, (ISNUMBER(SEARCH("RH*-WHH2BR",[1]OUT_FinalEnergyCons!$A$4:$A$10000)))*1,[1]OUT_FinalEnergyCons!N$4:N$10000)</f>
        <v>0</v>
      </c>
      <c r="Q2271" s="1" cm="1">
        <f t="array" ref="Q2271">SUMPRODUCT(([1]OUT_FinalEnergyCons!$B$4:$B$10000="var_ncap")*1, (ISNUMBER(SEARCH("RH*-WHH2BR",[1]OUT_FinalEnergyCons!$A$4:$A$10000)))*1,[1]OUT_FinalEnergyCons!O$4:O$10000)</f>
        <v>0</v>
      </c>
      <c r="S2271" s="3"/>
    </row>
    <row r="2272" spans="2:19" x14ac:dyDescent="0.5">
      <c r="B2272" s="9" t="str">
        <f t="shared" si="2284"/>
        <v>SPS1</v>
      </c>
      <c r="C2272" s="9" t="str">
        <f t="shared" si="2285"/>
        <v>CH</v>
      </c>
      <c r="D2272" s="2" t="s">
        <v>2406</v>
      </c>
      <c r="E2272" s="9" t="str">
        <f t="shared" si="2286"/>
        <v>GWth/yr.</v>
      </c>
      <c r="F2272" s="17">
        <f t="shared" ref="F2272:K2272" si="2289">SUM(F2273,F2276,F2279,F2283,F2285,F2287,F2289,F2291,F2293)</f>
        <v>4.0430754281848202E-4</v>
      </c>
      <c r="G2272" s="17">
        <f t="shared" si="2289"/>
        <v>0.30740371112589893</v>
      </c>
      <c r="H2272" s="17">
        <f t="shared" si="2289"/>
        <v>0.12031382322409004</v>
      </c>
      <c r="I2272" s="17">
        <f t="shared" si="2289"/>
        <v>0.22519184324468863</v>
      </c>
      <c r="J2272" s="17">
        <f t="shared" si="2289"/>
        <v>2.1590419942357228</v>
      </c>
      <c r="K2272" s="17">
        <f t="shared" si="2289"/>
        <v>1.1663332912527955</v>
      </c>
      <c r="L2272" s="17">
        <f t="shared" ref="L2272:O2272" si="2290">SUM(L2273,L2276,L2279,L2283,L2285,L2287,L2289,L2291,L2293)</f>
        <v>0.33550451034808948</v>
      </c>
      <c r="M2272" s="17">
        <f t="shared" si="2290"/>
        <v>1.9416872721993783</v>
      </c>
      <c r="N2272" s="17">
        <f t="shared" si="2290"/>
        <v>0.89031247405005376</v>
      </c>
      <c r="O2272" s="17">
        <f t="shared" si="2290"/>
        <v>0.69902937669923437</v>
      </c>
      <c r="P2272" s="17">
        <f>SUM(P2273,P2276,P2279,P2283,P2285,P2287,P2289,P2291,P2293)</f>
        <v>1.6163181800773068</v>
      </c>
      <c r="Q2272" s="17">
        <f>SUM(Q2273,Q2276,Q2279,Q2283,Q2285,Q2287,Q2289,Q2291,Q2293)</f>
        <v>0.94453954959047204</v>
      </c>
      <c r="S2272" s="3"/>
    </row>
    <row r="2273" spans="2:19" x14ac:dyDescent="0.5">
      <c r="B2273" s="5" t="str">
        <f t="shared" si="2284"/>
        <v>SPS1</v>
      </c>
      <c r="C2273" s="5" t="str">
        <f t="shared" si="2285"/>
        <v>CH</v>
      </c>
      <c r="D2273" t="s">
        <v>2407</v>
      </c>
      <c r="E2273" t="str">
        <f t="shared" si="2286"/>
        <v>GWth/yr.</v>
      </c>
      <c r="F2273" s="18">
        <f t="shared" ref="F2273:K2273" si="2291">SUM(F2274:F2275)</f>
        <v>0</v>
      </c>
      <c r="G2273" s="18">
        <f t="shared" si="2291"/>
        <v>0.23539005730495469</v>
      </c>
      <c r="H2273" s="18">
        <f t="shared" si="2291"/>
        <v>0.11722116598928568</v>
      </c>
      <c r="I2273" s="18">
        <f t="shared" si="2291"/>
        <v>0.17518993094858828</v>
      </c>
      <c r="J2273" s="18">
        <f t="shared" si="2291"/>
        <v>0.76624974160814197</v>
      </c>
      <c r="K2273" s="18">
        <f t="shared" si="2291"/>
        <v>0.52360350807937395</v>
      </c>
      <c r="L2273" s="18">
        <f t="shared" ref="L2273:O2273" si="2292">SUM(L2274:L2275)</f>
        <v>0.239753901561023</v>
      </c>
      <c r="M2273" s="18">
        <f t="shared" si="2292"/>
        <v>0.72548659349215694</v>
      </c>
      <c r="N2273" s="18">
        <f t="shared" si="2292"/>
        <v>0.44692478940233604</v>
      </c>
      <c r="O2273" s="18">
        <f t="shared" si="2292"/>
        <v>0.39875634629900503</v>
      </c>
      <c r="P2273" s="18">
        <f>SUM(P2274:P2275)</f>
        <v>0.71688180342178698</v>
      </c>
      <c r="Q2273" s="18">
        <f>SUM(Q2274:Q2275)</f>
        <v>0.45067793214179702</v>
      </c>
      <c r="S2273" s="3"/>
    </row>
    <row r="2274" spans="2:19" x14ac:dyDescent="0.5">
      <c r="B2274" s="5" t="str">
        <f t="shared" si="2284"/>
        <v>SPS1</v>
      </c>
      <c r="C2274" s="5" t="str">
        <f t="shared" si="2285"/>
        <v>CH</v>
      </c>
      <c r="D2274" t="s">
        <v>2408</v>
      </c>
      <c r="E2274" t="str">
        <f t="shared" si="2286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0.219337621298311</v>
      </c>
      <c r="H2274" s="1" cm="1">
        <f t="array" ref="H2274">SUMPRODUCT(([1]OUT_FinalEnergyCons!$B$4:$B$10000="var_ncap")*1,  (ISNUMBER(SEARCH("ITOT-SWHELCBR",[1]OUT_FinalEnergyCons!$A$4:$A$10000)))*1,[1]OUT_FinalEnergyCons!F$4:F$10000)</f>
        <v>3.8619956828468401E-4</v>
      </c>
      <c r="I2274" s="1" cm="1">
        <f t="array" ref="I2274">SUMPRODUCT(([1]OUT_FinalEnergyCons!$B$4:$B$10000="var_ncap")*1,  (ISNUMBER(SEARCH("ITOT-SWHELCBR",[1]OUT_FinalEnergyCons!$A$4:$A$10000)))*1,[1]OUT_FinalEnergyCons!G$4:G$10000)</f>
        <v>5.1905187287363298E-2</v>
      </c>
      <c r="J2274" s="1" cm="1">
        <f t="array" ref="J2274">SUMPRODUCT(([1]OUT_FinalEnergyCons!$B$4:$B$10000="var_ncap")*1,  (ISNUMBER(SEARCH("ITOT-SWHELCBR",[1]OUT_FinalEnergyCons!$A$4:$A$10000)))*1,[1]OUT_FinalEnergyCons!H$4:H$10000)</f>
        <v>0.58343132860119995</v>
      </c>
      <c r="K2274" s="1" cm="1">
        <f t="array" ref="K2274">SUMPRODUCT(([1]OUT_FinalEnergyCons!$B$4:$B$10000="var_ncap")*1,  (ISNUMBER(SEARCH("ITOT-SWHELCBR",[1]OUT_FinalEnergyCons!$A$4:$A$10000)))*1,[1]OUT_FinalEnergyCons!I$4:I$10000)</f>
        <v>0.34859413600704198</v>
      </c>
      <c r="L2274" s="1" cm="1">
        <f t="array" ref="L2274">SUMPRODUCT(([1]OUT_FinalEnergyCons!$B$4:$B$10000="var_ncap")*1,  (ISNUMBER(SEARCH("ITOT-SWHELCBR",[1]OUT_FinalEnergyCons!$A$4:$A$10000)))*1,[1]OUT_FinalEnergyCons!J$4:J$10000)</f>
        <v>0.11542985959649001</v>
      </c>
      <c r="M2274" s="1" cm="1">
        <f t="array" ref="M2274">SUMPRODUCT(([1]OUT_FinalEnergyCons!$B$4:$B$10000="var_ncap")*1,  (ISNUMBER(SEARCH("ITOT-SWHELCBR",[1]OUT_FinalEnergyCons!$A$4:$A$10000)))*1,[1]OUT_FinalEnergyCons!K$4:K$10000)</f>
        <v>0.54357262215368496</v>
      </c>
      <c r="N2274" s="1" cm="1">
        <f t="array" ref="N2274">SUMPRODUCT(([1]OUT_FinalEnergyCons!$B$4:$B$10000="var_ncap")*1,  (ISNUMBER(SEARCH("ITOT-SWHELCBR",[1]OUT_FinalEnergyCons!$A$4:$A$10000)))*1,[1]OUT_FinalEnergyCons!L$4:L$10000)</f>
        <v>0.28209355404168901</v>
      </c>
      <c r="O2274" s="1" cm="1">
        <f t="array" ref="O2274">SUMPRODUCT(([1]OUT_FinalEnergyCons!$B$4:$B$10000="var_ncap")*1,  (ISNUMBER(SEARCH("ITOT-SWHELCBR",[1]OUT_FinalEnergyCons!$A$4:$A$10000)))*1,[1]OUT_FinalEnergyCons!M$4:M$10000)</f>
        <v>0.20428745132957599</v>
      </c>
      <c r="P2274" s="1" cm="1">
        <f t="array" ref="P2274">SUMPRODUCT(([1]OUT_FinalEnergyCons!$B$4:$B$10000="var_ncap")*1,  (ISNUMBER(SEARCH("ITOT-SWHELCBR",[1]OUT_FinalEnergyCons!$A$4:$A$10000)))*1,[1]OUT_FinalEnergyCons!N$4:N$10000)</f>
        <v>0.51616118203711703</v>
      </c>
      <c r="Q2274" s="1" cm="1">
        <f t="array" ref="Q2274">SUMPRODUCT(([1]OUT_FinalEnergyCons!$B$4:$B$10000="var_ncap")*1,  (ISNUMBER(SEARCH("ITOT-SWHELCBR",[1]OUT_FinalEnergyCons!$A$4:$A$10000)))*1,[1]OUT_FinalEnergyCons!O$4:O$10000)</f>
        <v>0.30699016357954201</v>
      </c>
      <c r="S2274" s="3"/>
    </row>
    <row r="2275" spans="2:19" x14ac:dyDescent="0.5">
      <c r="B2275" s="5" t="str">
        <f t="shared" si="2284"/>
        <v>SPS1</v>
      </c>
      <c r="C2275" s="5" t="str">
        <f t="shared" si="2285"/>
        <v>CH</v>
      </c>
      <c r="D2275" t="s">
        <v>2409</v>
      </c>
      <c r="E2275" t="str">
        <f t="shared" si="2286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1.6052436006643699E-2</v>
      </c>
      <c r="H2275" s="1" cm="1">
        <f t="array" ref="H2275">SUMPRODUCT(([1]OUT_FinalEnergyCons!$B$4:$B$10000="var_ncap")*1,  (ISNUMBER(SEARCH("ITOT-SWHELCHP",[1]OUT_FinalEnergyCons!$A$4:$A$10000)))*1,[1]OUT_FinalEnergyCons!F$4:F$10000)</f>
        <v>0.116834966421001</v>
      </c>
      <c r="I2275" s="1" cm="1">
        <f t="array" ref="I2275">SUMPRODUCT(([1]OUT_FinalEnergyCons!$B$4:$B$10000="var_ncap")*1,  (ISNUMBER(SEARCH("ITOT-SWHELCHP",[1]OUT_FinalEnergyCons!$A$4:$A$10000)))*1,[1]OUT_FinalEnergyCons!G$4:G$10000)</f>
        <v>0.12328474366122499</v>
      </c>
      <c r="J2275" s="1" cm="1">
        <f t="array" ref="J2275">SUMPRODUCT(([1]OUT_FinalEnergyCons!$B$4:$B$10000="var_ncap")*1,  (ISNUMBER(SEARCH("ITOT-SWHELCHP",[1]OUT_FinalEnergyCons!$A$4:$A$10000)))*1,[1]OUT_FinalEnergyCons!H$4:H$10000)</f>
        <v>0.18281841300694199</v>
      </c>
      <c r="K2275" s="1" cm="1">
        <f t="array" ref="K2275">SUMPRODUCT(([1]OUT_FinalEnergyCons!$B$4:$B$10000="var_ncap")*1,  (ISNUMBER(SEARCH("ITOT-SWHELCHP",[1]OUT_FinalEnergyCons!$A$4:$A$10000)))*1,[1]OUT_FinalEnergyCons!I$4:I$10000)</f>
        <v>0.175009372072332</v>
      </c>
      <c r="L2275" s="1" cm="1">
        <f t="array" ref="L2275">SUMPRODUCT(([1]OUT_FinalEnergyCons!$B$4:$B$10000="var_ncap")*1,  (ISNUMBER(SEARCH("ITOT-SWHELCHP",[1]OUT_FinalEnergyCons!$A$4:$A$10000)))*1,[1]OUT_FinalEnergyCons!J$4:J$10000)</f>
        <v>0.12432404196453301</v>
      </c>
      <c r="M2275" s="1" cm="1">
        <f t="array" ref="M2275">SUMPRODUCT(([1]OUT_FinalEnergyCons!$B$4:$B$10000="var_ncap")*1,  (ISNUMBER(SEARCH("ITOT-SWHELCHP",[1]OUT_FinalEnergyCons!$A$4:$A$10000)))*1,[1]OUT_FinalEnergyCons!K$4:K$10000)</f>
        <v>0.18191397133847201</v>
      </c>
      <c r="N2275" s="1" cm="1">
        <f t="array" ref="N2275">SUMPRODUCT(([1]OUT_FinalEnergyCons!$B$4:$B$10000="var_ncap")*1,  (ISNUMBER(SEARCH("ITOT-SWHELCHP",[1]OUT_FinalEnergyCons!$A$4:$A$10000)))*1,[1]OUT_FinalEnergyCons!L$4:L$10000)</f>
        <v>0.164831235360647</v>
      </c>
      <c r="O2275" s="1" cm="1">
        <f t="array" ref="O2275">SUMPRODUCT(([1]OUT_FinalEnergyCons!$B$4:$B$10000="var_ncap")*1,  (ISNUMBER(SEARCH("ITOT-SWHELCHP",[1]OUT_FinalEnergyCons!$A$4:$A$10000)))*1,[1]OUT_FinalEnergyCons!M$4:M$10000)</f>
        <v>0.19446889496942901</v>
      </c>
      <c r="P2275" s="1" cm="1">
        <f t="array" ref="P2275">SUMPRODUCT(([1]OUT_FinalEnergyCons!$B$4:$B$10000="var_ncap")*1,  (ISNUMBER(SEARCH("ITOT-SWHELCHP",[1]OUT_FinalEnergyCons!$A$4:$A$10000)))*1,[1]OUT_FinalEnergyCons!N$4:N$10000)</f>
        <v>0.20072062138467001</v>
      </c>
      <c r="Q2275" s="1" cm="1">
        <f t="array" ref="Q2275">SUMPRODUCT(([1]OUT_FinalEnergyCons!$B$4:$B$10000="var_ncap")*1,  (ISNUMBER(SEARCH("ITOT-SWHELCHP",[1]OUT_FinalEnergyCons!$A$4:$A$10000)))*1,[1]OUT_FinalEnergyCons!O$4:O$10000)</f>
        <v>0.14368776856225501</v>
      </c>
      <c r="S2275" s="3"/>
    </row>
    <row r="2276" spans="2:19" x14ac:dyDescent="0.5">
      <c r="B2276" s="5" t="str">
        <f t="shared" si="2284"/>
        <v>SPS1</v>
      </c>
      <c r="C2276" s="5" t="str">
        <f t="shared" si="2285"/>
        <v>CH</v>
      </c>
      <c r="D2276" t="s">
        <v>2410</v>
      </c>
      <c r="E2276" t="str">
        <f t="shared" si="2286"/>
        <v>GWth/yr.</v>
      </c>
      <c r="F2276" s="18">
        <f t="shared" ref="F2276:K2276" si="2293">SUM(F2277:F2278)</f>
        <v>4.0430754281848202E-4</v>
      </c>
      <c r="G2276" s="18">
        <f t="shared" si="2293"/>
        <v>1.1391826631361835E-2</v>
      </c>
      <c r="H2276" s="18">
        <f t="shared" si="2293"/>
        <v>2.9429813247107398E-5</v>
      </c>
      <c r="I2276" s="18">
        <f t="shared" si="2293"/>
        <v>4.3171940360903E-5</v>
      </c>
      <c r="J2276" s="18">
        <f t="shared" si="2293"/>
        <v>0.16352717548842072</v>
      </c>
      <c r="K2276" s="18">
        <f t="shared" si="2293"/>
        <v>3.5969710548201029E-3</v>
      </c>
      <c r="L2276" s="18">
        <f t="shared" ref="L2276:O2276" si="2294">SUM(L2277:L2278)</f>
        <v>6.1243448544106001E-5</v>
      </c>
      <c r="M2276" s="18">
        <f t="shared" si="2294"/>
        <v>1.7424544232149921E-2</v>
      </c>
      <c r="N2276" s="18">
        <f t="shared" si="2294"/>
        <v>6.1410754259700153E-4</v>
      </c>
      <c r="O2276" s="18">
        <f t="shared" si="2294"/>
        <v>2.8257898074380498E-4</v>
      </c>
      <c r="P2276" s="18">
        <f>SUM(P2277:P2278)</f>
        <v>1.4363945031132872E-2</v>
      </c>
      <c r="Q2276" s="18">
        <f>SUM(Q2277:Q2278)</f>
        <v>5.7836310355202682E-3</v>
      </c>
      <c r="S2276" s="3"/>
    </row>
    <row r="2277" spans="2:19" x14ac:dyDescent="0.5">
      <c r="B2277" s="5" t="str">
        <f t="shared" si="2284"/>
        <v>SPS1</v>
      </c>
      <c r="C2277" s="5" t="str">
        <f t="shared" si="2285"/>
        <v>CH</v>
      </c>
      <c r="D2277" t="s">
        <v>2411</v>
      </c>
      <c r="E2277" t="str">
        <f t="shared" si="2286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1.13718051380937E-2</v>
      </c>
      <c r="H2277" s="1" cm="1">
        <f t="array" ref="H2277">SUMPRODUCT(([1]OUT_FinalEnergyCons!$B$4:$B$10000="var_ncap")*1,  (ISNUMBER(SEARCH("ITOT-SWHLFOBR",[1]OUT_FinalEnergyCons!$A$4:$A$10000)))*1,[1]OUT_FinalEnergyCons!F$4:F$10000)</f>
        <v>1.7959989415378998E-5</v>
      </c>
      <c r="I2277" s="1" cm="1">
        <f t="array" ref="I2277">SUMPRODUCT(([1]OUT_FinalEnergyCons!$B$4:$B$10000="var_ncap")*1,  (ISNUMBER(SEARCH("ITOT-SWHLFOBR",[1]OUT_FinalEnergyCons!$A$4:$A$10000)))*1,[1]OUT_FinalEnergyCons!G$4:G$10000)</f>
        <v>2.8785534027016699E-5</v>
      </c>
      <c r="J2277" s="1" cm="1">
        <f t="array" ref="J2277">SUMPRODUCT(([1]OUT_FinalEnergyCons!$B$4:$B$10000="var_ncap")*1,  (ISNUMBER(SEARCH("ITOT-SWHLFOBR",[1]OUT_FinalEnergyCons!$A$4:$A$10000)))*1,[1]OUT_FinalEnergyCons!H$4:H$10000)</f>
        <v>0.163449868148143</v>
      </c>
      <c r="K2277" s="1" cm="1">
        <f t="array" ref="K2277">SUMPRODUCT(([1]OUT_FinalEnergyCons!$B$4:$B$10000="var_ncap")*1,  (ISNUMBER(SEARCH("ITOT-SWHLFOBR",[1]OUT_FinalEnergyCons!$A$4:$A$10000)))*1,[1]OUT_FinalEnergyCons!I$4:I$10000)</f>
        <v>3.5782991846222399E-3</v>
      </c>
      <c r="L2277" s="1" cm="1">
        <f t="array" ref="L2277">SUMPRODUCT(([1]OUT_FinalEnergyCons!$B$4:$B$10000="var_ncap")*1,  (ISNUMBER(SEARCH("ITOT-SWHLFOBR",[1]OUT_FinalEnergyCons!$A$4:$A$10000)))*1,[1]OUT_FinalEnergyCons!J$4:J$10000)</f>
        <v>2.6649620302508799E-5</v>
      </c>
      <c r="M2277" s="1" cm="1">
        <f t="array" ref="M2277">SUMPRODUCT(([1]OUT_FinalEnergyCons!$B$4:$B$10000="var_ncap")*1,  (ISNUMBER(SEARCH("ITOT-SWHLFOBR",[1]OUT_FinalEnergyCons!$A$4:$A$10000)))*1,[1]OUT_FinalEnergyCons!K$4:K$10000)</f>
        <v>1.7410442730747301E-2</v>
      </c>
      <c r="N2277" s="1" cm="1">
        <f t="array" ref="N2277">SUMPRODUCT(([1]OUT_FinalEnergyCons!$B$4:$B$10000="var_ncap")*1,  (ISNUMBER(SEARCH("ITOT-SWHLFOBR",[1]OUT_FinalEnergyCons!$A$4:$A$10000)))*1,[1]OUT_FinalEnergyCons!L$4:L$10000)</f>
        <v>5.9306218782487099E-4</v>
      </c>
      <c r="O2277" s="1" cm="1">
        <f t="array" ref="O2277">SUMPRODUCT(([1]OUT_FinalEnergyCons!$B$4:$B$10000="var_ncap")*1,  (ISNUMBER(SEARCH("ITOT-SWHLFOBR",[1]OUT_FinalEnergyCons!$A$4:$A$10000)))*1,[1]OUT_FinalEnergyCons!M$4:M$10000)</f>
        <v>2.6561825460689499E-4</v>
      </c>
      <c r="P2277" s="1" cm="1">
        <f t="array" ref="P2277">SUMPRODUCT(([1]OUT_FinalEnergyCons!$B$4:$B$10000="var_ncap")*1,  (ISNUMBER(SEARCH("ITOT-SWHLFOBR",[1]OUT_FinalEnergyCons!$A$4:$A$10000)))*1,[1]OUT_FinalEnergyCons!N$4:N$10000)</f>
        <v>1.43496480363993E-2</v>
      </c>
      <c r="Q2277" s="1" cm="1">
        <f t="array" ref="Q2277">SUMPRODUCT(([1]OUT_FinalEnergyCons!$B$4:$B$10000="var_ncap")*1,  (ISNUMBER(SEARCH("ITOT-SWHLFOBR",[1]OUT_FinalEnergyCons!$A$4:$A$10000)))*1,[1]OUT_FinalEnergyCons!O$4:O$10000)</f>
        <v>5.7744218639297898E-3</v>
      </c>
      <c r="S2277" s="3"/>
    </row>
    <row r="2278" spans="2:19" x14ac:dyDescent="0.5">
      <c r="B2278" s="5" t="str">
        <f t="shared" si="2284"/>
        <v>SPS1</v>
      </c>
      <c r="C2278" s="5" t="str">
        <f t="shared" si="2285"/>
        <v>CH</v>
      </c>
      <c r="D2278" t="s">
        <v>2412</v>
      </c>
      <c r="E2278" t="str">
        <f t="shared" si="2286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4.0430754281848202E-4</v>
      </c>
      <c r="G2278" s="1" cm="1">
        <f t="array" ref="G2278">SUMPRODUCT(([1]OUT_FinalEnergyCons!$B$4:$B$10000="var_ncap")*1,  (ISNUMBER(SEARCH("ITOT-SWHHFOBR",[1]OUT_FinalEnergyCons!$A$4:$A$10000)))*1,[1]OUT_FinalEnergyCons!E$4:E$10000)</f>
        <v>2.00214932681354E-5</v>
      </c>
      <c r="H2278" s="1" cm="1">
        <f t="array" ref="H2278">SUMPRODUCT(([1]OUT_FinalEnergyCons!$B$4:$B$10000="var_ncap")*1,  (ISNUMBER(SEARCH("ITOT-SWHHFOBR",[1]OUT_FinalEnergyCons!$A$4:$A$10000)))*1,[1]OUT_FinalEnergyCons!F$4:F$10000)</f>
        <v>1.14698238317284E-5</v>
      </c>
      <c r="I2278" s="1" cm="1">
        <f t="array" ref="I2278">SUMPRODUCT(([1]OUT_FinalEnergyCons!$B$4:$B$10000="var_ncap")*1,  (ISNUMBER(SEARCH("ITOT-SWHHFOBR",[1]OUT_FinalEnergyCons!$A$4:$A$10000)))*1,[1]OUT_FinalEnergyCons!G$4:G$10000)</f>
        <v>1.43864063338863E-5</v>
      </c>
      <c r="J2278" s="1" cm="1">
        <f t="array" ref="J2278">SUMPRODUCT(([1]OUT_FinalEnergyCons!$B$4:$B$10000="var_ncap")*1,  (ISNUMBER(SEARCH("ITOT-SWHHFOBR",[1]OUT_FinalEnergyCons!$A$4:$A$10000)))*1,[1]OUT_FinalEnergyCons!H$4:H$10000)</f>
        <v>7.7307340277734901E-5</v>
      </c>
      <c r="K2278" s="1" cm="1">
        <f t="array" ref="K2278">SUMPRODUCT(([1]OUT_FinalEnergyCons!$B$4:$B$10000="var_ncap")*1,  (ISNUMBER(SEARCH("ITOT-SWHHFOBR",[1]OUT_FinalEnergyCons!$A$4:$A$10000)))*1,[1]OUT_FinalEnergyCons!I$4:I$10000)</f>
        <v>1.8671870197863001E-5</v>
      </c>
      <c r="L2278" s="1" cm="1">
        <f t="array" ref="L2278">SUMPRODUCT(([1]OUT_FinalEnergyCons!$B$4:$B$10000="var_ncap")*1,  (ISNUMBER(SEARCH("ITOT-SWHHFOBR",[1]OUT_FinalEnergyCons!$A$4:$A$10000)))*1,[1]OUT_FinalEnergyCons!J$4:J$10000)</f>
        <v>3.4593828241597199E-5</v>
      </c>
      <c r="M2278" s="1" cm="1">
        <f t="array" ref="M2278">SUMPRODUCT(([1]OUT_FinalEnergyCons!$B$4:$B$10000="var_ncap")*1,  (ISNUMBER(SEARCH("ITOT-SWHHFOBR",[1]OUT_FinalEnergyCons!$A$4:$A$10000)))*1,[1]OUT_FinalEnergyCons!K$4:K$10000)</f>
        <v>1.41015014026191E-5</v>
      </c>
      <c r="N2278" s="1" cm="1">
        <f t="array" ref="N2278">SUMPRODUCT(([1]OUT_FinalEnergyCons!$B$4:$B$10000="var_ncap")*1,  (ISNUMBER(SEARCH("ITOT-SWHHFOBR",[1]OUT_FinalEnergyCons!$A$4:$A$10000)))*1,[1]OUT_FinalEnergyCons!L$4:L$10000)</f>
        <v>2.1045354772130499E-5</v>
      </c>
      <c r="O2278" s="1" cm="1">
        <f t="array" ref="O2278">SUMPRODUCT(([1]OUT_FinalEnergyCons!$B$4:$B$10000="var_ncap")*1,  (ISNUMBER(SEARCH("ITOT-SWHHFOBR",[1]OUT_FinalEnergyCons!$A$4:$A$10000)))*1,[1]OUT_FinalEnergyCons!M$4:M$10000)</f>
        <v>1.6960726136910001E-5</v>
      </c>
      <c r="P2278" s="1" cm="1">
        <f t="array" ref="P2278">SUMPRODUCT(([1]OUT_FinalEnergyCons!$B$4:$B$10000="var_ncap")*1,  (ISNUMBER(SEARCH("ITOT-SWHHFOBR",[1]OUT_FinalEnergyCons!$A$4:$A$10000)))*1,[1]OUT_FinalEnergyCons!N$4:N$10000)</f>
        <v>1.4296994733571201E-5</v>
      </c>
      <c r="Q2278" s="1" cm="1">
        <f t="array" ref="Q2278">SUMPRODUCT(([1]OUT_FinalEnergyCons!$B$4:$B$10000="var_ncap")*1,  (ISNUMBER(SEARCH("ITOT-SWHHFOBR",[1]OUT_FinalEnergyCons!$A$4:$A$10000)))*1,[1]OUT_FinalEnergyCons!O$4:O$10000)</f>
        <v>9.2091715904783097E-6</v>
      </c>
      <c r="S2278" s="3"/>
    </row>
    <row r="2279" spans="2:19" x14ac:dyDescent="0.5">
      <c r="B2279" s="5" t="str">
        <f t="shared" si="2284"/>
        <v>SPS1</v>
      </c>
      <c r="C2279" s="5" t="str">
        <f t="shared" si="2285"/>
        <v>CH</v>
      </c>
      <c r="D2279" t="s">
        <v>2413</v>
      </c>
      <c r="E2279" t="str">
        <f t="shared" si="2286"/>
        <v>GWth/yr.</v>
      </c>
      <c r="F2279" s="18">
        <f t="shared" ref="F2279:K2279" si="2295">SUM(F2280:F2281)</f>
        <v>0</v>
      </c>
      <c r="G2279" s="18">
        <f t="shared" si="2295"/>
        <v>1.2232800258712509E-4</v>
      </c>
      <c r="H2279" s="18">
        <f t="shared" si="2295"/>
        <v>2.9719427317373708E-3</v>
      </c>
      <c r="I2279" s="18">
        <f t="shared" si="2295"/>
        <v>5.8837080369523705E-3</v>
      </c>
      <c r="J2279" s="18">
        <f t="shared" si="2295"/>
        <v>0.83635513051237786</v>
      </c>
      <c r="K2279" s="18">
        <f t="shared" si="2295"/>
        <v>0.38233451259474094</v>
      </c>
      <c r="L2279" s="18">
        <f t="shared" ref="L2279:O2279" si="2296">SUM(L2280:L2281)</f>
        <v>5.4079402536963694E-3</v>
      </c>
      <c r="M2279" s="18">
        <f t="shared" si="2296"/>
        <v>0.76026430418556457</v>
      </c>
      <c r="N2279" s="18">
        <f t="shared" si="2296"/>
        <v>0.15554043021103678</v>
      </c>
      <c r="O2279" s="18">
        <f t="shared" si="2296"/>
        <v>0.18027483371554434</v>
      </c>
      <c r="P2279" s="18">
        <f>SUM(P2280:P2281)</f>
        <v>0.48597465633477738</v>
      </c>
      <c r="Q2279" s="18">
        <f>SUM(Q2280:Q2281)</f>
        <v>0.21546860949856803</v>
      </c>
      <c r="S2279" s="3"/>
    </row>
    <row r="2280" spans="2:19" x14ac:dyDescent="0.5">
      <c r="B2280" s="5" t="str">
        <f t="shared" si="2284"/>
        <v>SPS1</v>
      </c>
      <c r="C2280" s="5" t="str">
        <f t="shared" si="2285"/>
        <v>CH</v>
      </c>
      <c r="D2280" t="s">
        <v>2414</v>
      </c>
      <c r="E2280" t="str">
        <f t="shared" si="2286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2.7113019556286101E-5</v>
      </c>
      <c r="H2280" s="1" cm="1">
        <f t="array" ref="H2280">SUMPRODUCT(([1]OUT_FinalEnergyCons!$B$4:$B$10000="var_ncap")*1,  (ISNUMBER(SEARCH("ITOT-SWHNGA*BR",[1]OUT_FinalEnergyCons!$A$4:$A$10000)))*1,[1]OUT_FinalEnergyCons!F$4:F$10000)</f>
        <v>5.3508648969540599E-5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2.0759972292130901E-5</v>
      </c>
      <c r="J2280" s="1" cm="1">
        <f t="array" ref="J2280">SUMPRODUCT(([1]OUT_FinalEnergyCons!$B$4:$B$10000="var_ncap")*1,  (ISNUMBER(SEARCH("ITOT-SWHNGA*BR",[1]OUT_FinalEnergyCons!$A$4:$A$10000)))*1,[1]OUT_FinalEnergyCons!H$4:H$10000)</f>
        <v>0.83410792832948599</v>
      </c>
      <c r="K2280" s="1" cm="1">
        <f t="array" ref="K2280">SUMPRODUCT(([1]OUT_FinalEnergyCons!$B$4:$B$10000="var_ncap")*1,  (ISNUMBER(SEARCH("ITOT-SWHNGA*BR",[1]OUT_FinalEnergyCons!$A$4:$A$10000)))*1,[1]OUT_FinalEnergyCons!I$4:I$10000)</f>
        <v>0.37711579039266202</v>
      </c>
      <c r="L2280" s="1" cm="1">
        <f t="array" ref="L2280">SUMPRODUCT(([1]OUT_FinalEnergyCons!$B$4:$B$10000="var_ncap")*1,  (ISNUMBER(SEARCH("ITOT-SWHNGA*BR",[1]OUT_FinalEnergyCons!$A$4:$A$10000)))*1,[1]OUT_FinalEnergyCons!J$4:J$10000)</f>
        <v>3.90624228427197E-5</v>
      </c>
      <c r="M2280" s="1" cm="1">
        <f t="array" ref="M2280">SUMPRODUCT(([1]OUT_FinalEnergyCons!$B$4:$B$10000="var_ncap")*1,  (ISNUMBER(SEARCH("ITOT-SWHNGA*BR",[1]OUT_FinalEnergyCons!$A$4:$A$10000)))*1,[1]OUT_FinalEnergyCons!K$4:K$10000)</f>
        <v>0.75778864857828598</v>
      </c>
      <c r="N2280" s="1" cm="1">
        <f t="array" ref="N2280">SUMPRODUCT(([1]OUT_FinalEnergyCons!$B$4:$B$10000="var_ncap")*1,  (ISNUMBER(SEARCH("ITOT-SWHNGA*BR",[1]OUT_FinalEnergyCons!$A$4:$A$10000)))*1,[1]OUT_FinalEnergyCons!L$4:L$10000)</f>
        <v>0.15061013365947201</v>
      </c>
      <c r="O2280" s="1" cm="1">
        <f t="array" ref="O2280">SUMPRODUCT(([1]OUT_FinalEnergyCons!$B$4:$B$10000="var_ncap")*1,  (ISNUMBER(SEARCH("ITOT-SWHNGA*BR",[1]OUT_FinalEnergyCons!$A$4:$A$10000)))*1,[1]OUT_FinalEnergyCons!M$4:M$10000)</f>
        <v>2.6165906025734498E-4</v>
      </c>
      <c r="P2280" s="1" cm="1">
        <f t="array" ref="P2280">SUMPRODUCT(([1]OUT_FinalEnergyCons!$B$4:$B$10000="var_ncap")*1,  (ISNUMBER(SEARCH("ITOT-SWHNGA*BR",[1]OUT_FinalEnergyCons!$A$4:$A$10000)))*1,[1]OUT_FinalEnergyCons!N$4:N$10000)</f>
        <v>0.48242146872618402</v>
      </c>
      <c r="Q2280" s="1" cm="1">
        <f t="array" ref="Q2280">SUMPRODUCT(([1]OUT_FinalEnergyCons!$B$4:$B$10000="var_ncap")*1,  (ISNUMBER(SEARCH("ITOT-SWHNGA*BR",[1]OUT_FinalEnergyCons!$A$4:$A$10000)))*1,[1]OUT_FinalEnergyCons!O$4:O$10000)</f>
        <v>0.21138668090795701</v>
      </c>
      <c r="S2280" s="3"/>
    </row>
    <row r="2281" spans="2:19" x14ac:dyDescent="0.5">
      <c r="B2281" s="5" t="str">
        <f t="shared" si="2284"/>
        <v>SPS1</v>
      </c>
      <c r="C2281" s="5" t="str">
        <f t="shared" si="2285"/>
        <v>CH</v>
      </c>
      <c r="D2281" t="s">
        <v>2415</v>
      </c>
      <c r="E2281" t="str">
        <f t="shared" si="2286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9.5214983030838995E-5</v>
      </c>
      <c r="H2281" s="1" cm="1">
        <f t="array" ref="H2281">SUMPRODUCT(([1]OUT_FinalEnergyCons!$B$4:$B$10000="var_ncap")*1,  (ISNUMBER(SEARCH("ITOT-SWHNGAHP",[1]OUT_FinalEnergyCons!$A$4:$A$10000)))*1,[1]OUT_FinalEnergyCons!F$4:F$10000)</f>
        <v>2.91843408276783E-3</v>
      </c>
      <c r="I2281" s="1" cm="1">
        <f t="array" ref="I2281">SUMPRODUCT(([1]OUT_FinalEnergyCons!$B$4:$B$10000="var_ncap")*1,  (ISNUMBER(SEARCH("ITOT-SWHNGAHP",[1]OUT_FinalEnergyCons!$A$4:$A$10000)))*1,[1]OUT_FinalEnergyCons!G$4:G$10000)</f>
        <v>5.8629480646602396E-3</v>
      </c>
      <c r="J2281" s="1" cm="1">
        <f t="array" ref="J2281">SUMPRODUCT(([1]OUT_FinalEnergyCons!$B$4:$B$10000="var_ncap")*1,  (ISNUMBER(SEARCH("ITOT-SWHNGAHP",[1]OUT_FinalEnergyCons!$A$4:$A$10000)))*1,[1]OUT_FinalEnergyCons!H$4:H$10000)</f>
        <v>2.2472021828919102E-3</v>
      </c>
      <c r="K2281" s="1" cm="1">
        <f t="array" ref="K2281">SUMPRODUCT(([1]OUT_FinalEnergyCons!$B$4:$B$10000="var_ncap")*1,  (ISNUMBER(SEARCH("ITOT-SWHNGAHP",[1]OUT_FinalEnergyCons!$A$4:$A$10000)))*1,[1]OUT_FinalEnergyCons!I$4:I$10000)</f>
        <v>5.2187222020788904E-3</v>
      </c>
      <c r="L2281" s="1" cm="1">
        <f t="array" ref="L2281">SUMPRODUCT(([1]OUT_FinalEnergyCons!$B$4:$B$10000="var_ncap")*1,  (ISNUMBER(SEARCH("ITOT-SWHNGAHP",[1]OUT_FinalEnergyCons!$A$4:$A$10000)))*1,[1]OUT_FinalEnergyCons!J$4:J$10000)</f>
        <v>5.36887783085365E-3</v>
      </c>
      <c r="M2281" s="1" cm="1">
        <f t="array" ref="M2281">SUMPRODUCT(([1]OUT_FinalEnergyCons!$B$4:$B$10000="var_ncap")*1,  (ISNUMBER(SEARCH("ITOT-SWHNGAHP",[1]OUT_FinalEnergyCons!$A$4:$A$10000)))*1,[1]OUT_FinalEnergyCons!K$4:K$10000)</f>
        <v>2.4756556072786299E-3</v>
      </c>
      <c r="N2281" s="1" cm="1">
        <f t="array" ref="N2281">SUMPRODUCT(([1]OUT_FinalEnergyCons!$B$4:$B$10000="var_ncap")*1,  (ISNUMBER(SEARCH("ITOT-SWHNGAHP",[1]OUT_FinalEnergyCons!$A$4:$A$10000)))*1,[1]OUT_FinalEnergyCons!L$4:L$10000)</f>
        <v>4.9302965515647798E-3</v>
      </c>
      <c r="O2281" s="1" cm="1">
        <f t="array" ref="O2281">SUMPRODUCT(([1]OUT_FinalEnergyCons!$B$4:$B$10000="var_ncap")*1,  (ISNUMBER(SEARCH("ITOT-SWHNGAHP",[1]OUT_FinalEnergyCons!$A$4:$A$10000)))*1,[1]OUT_FinalEnergyCons!M$4:M$10000)</f>
        <v>0.18001317465528699</v>
      </c>
      <c r="P2281" s="1" cm="1">
        <f t="array" ref="P2281">SUMPRODUCT(([1]OUT_FinalEnergyCons!$B$4:$B$10000="var_ncap")*1,  (ISNUMBER(SEARCH("ITOT-SWHNGAHP",[1]OUT_FinalEnergyCons!$A$4:$A$10000)))*1,[1]OUT_FinalEnergyCons!N$4:N$10000)</f>
        <v>3.5531876085933599E-3</v>
      </c>
      <c r="Q2281" s="1" cm="1">
        <f t="array" ref="Q2281">SUMPRODUCT(([1]OUT_FinalEnergyCons!$B$4:$B$10000="var_ncap")*1,  (ISNUMBER(SEARCH("ITOT-SWHNGAHP",[1]OUT_FinalEnergyCons!$A$4:$A$10000)))*1,[1]OUT_FinalEnergyCons!O$4:O$10000)</f>
        <v>4.08192859061103E-3</v>
      </c>
      <c r="S2281" s="3"/>
    </row>
    <row r="2282" spans="2:19" x14ac:dyDescent="0.5">
      <c r="B2282" s="5" t="str">
        <f t="shared" si="2284"/>
        <v>SPS1</v>
      </c>
      <c r="C2282" s="5" t="str">
        <f t="shared" si="2285"/>
        <v>CH</v>
      </c>
      <c r="D2282" t="s">
        <v>2416</v>
      </c>
      <c r="E2282" t="str">
        <f t="shared" si="2286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1.35354962375528E-2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1.1149049931613199E-2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5.2100688100978801E-2</v>
      </c>
      <c r="J2282" s="1" cm="1">
        <f t="array" ref="J2282">SUMPRODUCT(([1]OUT_FinalEnergyCons!$B$4:$B$10000="var_ncap")*1,  (("ITOT-SWHBIOBR"=[1]OUT_FinalEnergyCons!$A$4:$A$10000)*1+("ITOT-SWHBNGABR"=[1]OUT_FinalEnergyCons!$A$4:$A$10000))*1,[1]OUT_FinalEnergyCons!H$4:H$10000)</f>
        <v>9.3768600671747998E-2</v>
      </c>
      <c r="K2282" s="1" cm="1">
        <f t="array" ref="K2282">SUMPRODUCT(([1]OUT_FinalEnergyCons!$B$4:$B$10000="var_ncap")*1,  (("ITOT-SWHBIOBR"=[1]OUT_FinalEnergyCons!$A$4:$A$10000)*1+("ITOT-SWHBNGABR"=[1]OUT_FinalEnergyCons!$A$4:$A$10000))*1,[1]OUT_FinalEnergyCons!I$4:I$10000)</f>
        <v>0.21590916942490301</v>
      </c>
      <c r="L2282" s="1" cm="1">
        <f t="array" ref="L2282">SUMPRODUCT(([1]OUT_FinalEnergyCons!$B$4:$B$10000="var_ncap")*1,  (("ITOT-SWHBIOBR"=[1]OUT_FinalEnergyCons!$A$4:$A$10000)*1+("ITOT-SWHBNGABR"=[1]OUT_FinalEnergyCons!$A$4:$A$10000))*1,[1]OUT_FinalEnergyCons!J$4:J$10000)</f>
        <v>2.9854294548486E-4</v>
      </c>
      <c r="M2282" s="1" cm="1">
        <f t="array" ref="M2282">SUMPRODUCT(([1]OUT_FinalEnergyCons!$B$4:$B$10000="var_ncap")*1,  (("ITOT-SWHBIOBR"=[1]OUT_FinalEnergyCons!$A$4:$A$10000)*1+("ITOT-SWHBNGABR"=[1]OUT_FinalEnergyCons!$A$4:$A$10000))*1,[1]OUT_FinalEnergyCons!K$4:K$10000)</f>
        <v>0.126880648754334</v>
      </c>
      <c r="N2282" s="1" cm="1">
        <f t="array" ref="N2282">SUMPRODUCT(([1]OUT_FinalEnergyCons!$B$4:$B$10000="var_ncap")*1,  (("ITOT-SWHBIOBR"=[1]OUT_FinalEnergyCons!$A$4:$A$10000)*1+("ITOT-SWHBNGABR"=[1]OUT_FinalEnergyCons!$A$4:$A$10000))*1,[1]OUT_FinalEnergyCons!L$4:L$10000)</f>
        <v>0.14926355871000899</v>
      </c>
      <c r="O2282" s="1" cm="1">
        <f t="array" ref="O2282">SUMPRODUCT(([1]OUT_FinalEnergyCons!$B$4:$B$10000="var_ncap")*1,  (("ITOT-SWHBIOBR"=[1]OUT_FinalEnergyCons!$A$4:$A$10000)*1+("ITOT-SWHBNGABR"=[1]OUT_FinalEnergyCons!$A$4:$A$10000))*1,[1]OUT_FinalEnergyCons!M$4:M$10000)</f>
        <v>2.7044112844680699E-2</v>
      </c>
      <c r="P2282" s="1" cm="1">
        <f t="array" ref="P2282">SUMPRODUCT(([1]OUT_FinalEnergyCons!$B$4:$B$10000="var_ncap")*1,  (("ITOT-SWHBIOBR"=[1]OUT_FinalEnergyCons!$A$4:$A$10000)*1+("ITOT-SWHBNGABR"=[1]OUT_FinalEnergyCons!$A$4:$A$10000))*1,[1]OUT_FinalEnergyCons!N$4:N$10000)</f>
        <v>0.17218634977480499</v>
      </c>
      <c r="Q2282" s="1" cm="1">
        <f t="array" ref="Q2282">SUMPRODUCT(([1]OUT_FinalEnergyCons!$B$4:$B$10000="var_ncap")*1,  (("ITOT-SWHBIOBR"=[1]OUT_FinalEnergyCons!$A$4:$A$10000)*1+("ITOT-SWHBNGABR"=[1]OUT_FinalEnergyCons!$A$4:$A$10000))*1,[1]OUT_FinalEnergyCons!O$4:O$10000)</f>
        <v>0.16191029139405799</v>
      </c>
      <c r="S2282" s="3"/>
    </row>
    <row r="2283" spans="2:19" x14ac:dyDescent="0.5">
      <c r="B2283" s="5" t="str">
        <f t="shared" si="2284"/>
        <v>SPS1</v>
      </c>
      <c r="C2283" s="5" t="str">
        <f t="shared" si="2285"/>
        <v>CH</v>
      </c>
      <c r="D2283" t="s">
        <v>2417</v>
      </c>
      <c r="E2283" t="str">
        <f t="shared" si="2286"/>
        <v>GWth/yr.</v>
      </c>
      <c r="F2283" s="1">
        <f t="shared" ref="F2283:O2283" si="2297">F2284</f>
        <v>0</v>
      </c>
      <c r="G2283" s="1">
        <f t="shared" si="2297"/>
        <v>5.2313691754635304E-6</v>
      </c>
      <c r="H2283" s="1">
        <f t="shared" si="2297"/>
        <v>7.8372688085475694E-6</v>
      </c>
      <c r="I2283" s="1">
        <f t="shared" si="2297"/>
        <v>1.02314642364046E-5</v>
      </c>
      <c r="J2283" s="1">
        <f t="shared" si="2297"/>
        <v>6.6790172630510895E-5</v>
      </c>
      <c r="K2283" s="1">
        <f t="shared" si="2297"/>
        <v>3.1941320610881402E-5</v>
      </c>
      <c r="L2283" s="1">
        <f t="shared" si="2297"/>
        <v>5.1907706141560497E-5</v>
      </c>
      <c r="M2283" s="1">
        <f t="shared" si="2297"/>
        <v>2.10997066900438E-4</v>
      </c>
      <c r="N2283" s="1">
        <f t="shared" si="2297"/>
        <v>1.0899254598093899E-5</v>
      </c>
      <c r="O2283" s="1">
        <f t="shared" si="2297"/>
        <v>9.8050014207224005E-5</v>
      </c>
      <c r="P2283" s="1">
        <f>P2284</f>
        <v>3.4163503017968002E-5</v>
      </c>
      <c r="Q2283" s="1">
        <f>Q2284</f>
        <v>1.45824713153425E-4</v>
      </c>
      <c r="S2283" s="3"/>
    </row>
    <row r="2284" spans="2:19" x14ac:dyDescent="0.5">
      <c r="B2284" s="5" t="str">
        <f t="shared" si="2284"/>
        <v>SPS1</v>
      </c>
      <c r="C2284" s="5" t="str">
        <f t="shared" si="2285"/>
        <v>CH</v>
      </c>
      <c r="D2284" t="s">
        <v>2418</v>
      </c>
      <c r="E2284" t="str">
        <f t="shared" si="2286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5.2313691754635304E-6</v>
      </c>
      <c r="H2284" s="1" cm="1">
        <f t="array" ref="H2284">SUMPRODUCT(([1]OUT_FinalEnergyCons!$B$4:$B$10000="var_ncap")*1,  (ISNUMBER(SEARCH("ITOT-SWHCOA*BR",[1]OUT_FinalEnergyCons!$A$4:$A$10000)))*1,[1]OUT_FinalEnergyCons!F$4:F$10000)</f>
        <v>7.8372688085475694E-6</v>
      </c>
      <c r="I2284" s="1" cm="1">
        <f t="array" ref="I2284">SUMPRODUCT(([1]OUT_FinalEnergyCons!$B$4:$B$10000="var_ncap")*1,  (ISNUMBER(SEARCH("ITOT-SWHCOA*BR",[1]OUT_FinalEnergyCons!$A$4:$A$10000)))*1,[1]OUT_FinalEnergyCons!G$4:G$10000)</f>
        <v>1.02314642364046E-5</v>
      </c>
      <c r="J2284" s="1" cm="1">
        <f t="array" ref="J2284">SUMPRODUCT(([1]OUT_FinalEnergyCons!$B$4:$B$10000="var_ncap")*1,  (ISNUMBER(SEARCH("ITOT-SWHCOA*BR",[1]OUT_FinalEnergyCons!$A$4:$A$10000)))*1,[1]OUT_FinalEnergyCons!H$4:H$10000)</f>
        <v>6.6790172630510895E-5</v>
      </c>
      <c r="K2284" s="1" cm="1">
        <f t="array" ref="K2284">SUMPRODUCT(([1]OUT_FinalEnergyCons!$B$4:$B$10000="var_ncap")*1,  (ISNUMBER(SEARCH("ITOT-SWHCOA*BR",[1]OUT_FinalEnergyCons!$A$4:$A$10000)))*1,[1]OUT_FinalEnergyCons!I$4:I$10000)</f>
        <v>3.1941320610881402E-5</v>
      </c>
      <c r="L2284" s="1" cm="1">
        <f t="array" ref="L2284">SUMPRODUCT(([1]OUT_FinalEnergyCons!$B$4:$B$10000="var_ncap")*1,  (ISNUMBER(SEARCH("ITOT-SWHCOA*BR",[1]OUT_FinalEnergyCons!$A$4:$A$10000)))*1,[1]OUT_FinalEnergyCons!J$4:J$10000)</f>
        <v>5.1907706141560497E-5</v>
      </c>
      <c r="M2284" s="1" cm="1">
        <f t="array" ref="M2284">SUMPRODUCT(([1]OUT_FinalEnergyCons!$B$4:$B$10000="var_ncap")*1,  (ISNUMBER(SEARCH("ITOT-SWHCOA*BR",[1]OUT_FinalEnergyCons!$A$4:$A$10000)))*1,[1]OUT_FinalEnergyCons!K$4:K$10000)</f>
        <v>2.10997066900438E-4</v>
      </c>
      <c r="N2284" s="1" cm="1">
        <f t="array" ref="N2284">SUMPRODUCT(([1]OUT_FinalEnergyCons!$B$4:$B$10000="var_ncap")*1,  (ISNUMBER(SEARCH("ITOT-SWHCOA*BR",[1]OUT_FinalEnergyCons!$A$4:$A$10000)))*1,[1]OUT_FinalEnergyCons!L$4:L$10000)</f>
        <v>1.0899254598093899E-5</v>
      </c>
      <c r="O2284" s="1" cm="1">
        <f t="array" ref="O2284">SUMPRODUCT(([1]OUT_FinalEnergyCons!$B$4:$B$10000="var_ncap")*1,  (ISNUMBER(SEARCH("ITOT-SWHCOA*BR",[1]OUT_FinalEnergyCons!$A$4:$A$10000)))*1,[1]OUT_FinalEnergyCons!M$4:M$10000)</f>
        <v>9.8050014207224005E-5</v>
      </c>
      <c r="P2284" s="1" cm="1">
        <f t="array" ref="P2284">SUMPRODUCT(([1]OUT_FinalEnergyCons!$B$4:$B$10000="var_ncap")*1,  (ISNUMBER(SEARCH("ITOT-SWHCOA*BR",[1]OUT_FinalEnergyCons!$A$4:$A$10000)))*1,[1]OUT_FinalEnergyCons!N$4:N$10000)</f>
        <v>3.4163503017968002E-5</v>
      </c>
      <c r="Q2284" s="1" cm="1">
        <f t="array" ref="Q2284">SUMPRODUCT(([1]OUT_FinalEnergyCons!$B$4:$B$10000="var_ncap")*1,  (ISNUMBER(SEARCH("ITOT-SWHCOA*BR",[1]OUT_FinalEnergyCons!$A$4:$A$10000)))*1,[1]OUT_FinalEnergyCons!O$4:O$10000)</f>
        <v>1.45824713153425E-4</v>
      </c>
      <c r="S2284" s="3"/>
    </row>
    <row r="2285" spans="2:19" x14ac:dyDescent="0.5">
      <c r="B2285" s="5" t="str">
        <f t="shared" si="2284"/>
        <v>SPS1</v>
      </c>
      <c r="C2285" s="5" t="str">
        <f t="shared" si="2285"/>
        <v>CH</v>
      </c>
      <c r="D2285" t="s">
        <v>2419</v>
      </c>
      <c r="E2285" t="str">
        <f t="shared" si="2286"/>
        <v>GWth/yr.</v>
      </c>
      <c r="F2285" s="1">
        <f t="shared" ref="F2285:O2285" si="2298">F2286</f>
        <v>0</v>
      </c>
      <c r="G2285" s="1">
        <f t="shared" si="2298"/>
        <v>5.2671381507499601E-2</v>
      </c>
      <c r="H2285" s="1">
        <f t="shared" si="2298"/>
        <v>2.2739061550662499E-5</v>
      </c>
      <c r="I2285" s="1">
        <f t="shared" si="2298"/>
        <v>3.6982800295275703E-2</v>
      </c>
      <c r="J2285" s="1">
        <f t="shared" si="2298"/>
        <v>0.276693723828982</v>
      </c>
      <c r="K2285" s="1">
        <f t="shared" si="2298"/>
        <v>0.144535168902374</v>
      </c>
      <c r="L2285" s="1">
        <f t="shared" si="2298"/>
        <v>8.2500127127003595E-2</v>
      </c>
      <c r="M2285" s="1">
        <f t="shared" si="2298"/>
        <v>0.31451922785219899</v>
      </c>
      <c r="N2285" s="1">
        <f t="shared" si="2298"/>
        <v>0.171586955301536</v>
      </c>
      <c r="O2285" s="1">
        <f t="shared" si="2298"/>
        <v>0.107314953007094</v>
      </c>
      <c r="P2285" s="1">
        <f>P2286</f>
        <v>0.24475121973517</v>
      </c>
      <c r="Q2285" s="1">
        <f>Q2286</f>
        <v>0.18421739028848</v>
      </c>
      <c r="S2285" s="3"/>
    </row>
    <row r="2286" spans="2:19" x14ac:dyDescent="0.5">
      <c r="B2286" s="5" t="str">
        <f t="shared" si="2284"/>
        <v>SPS1</v>
      </c>
      <c r="C2286" s="5" t="str">
        <f t="shared" si="2285"/>
        <v>CH</v>
      </c>
      <c r="D2286" t="s">
        <v>2420</v>
      </c>
      <c r="E2286" t="str">
        <f t="shared" si="2286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5.2671381507499601E-2</v>
      </c>
      <c r="H2286" s="1" cm="1">
        <f t="array" ref="H2286">SUMPRODUCT(([1]OUT_FinalEnergyCons!$B$4:$B$10000="var_ncap")*1,  (ISNUMBER(SEARCH("ITOT-SWHWOD*BR",[1]OUT_FinalEnergyCons!$A$4:$A$10000)))*1,[1]OUT_FinalEnergyCons!F$4:F$10000)</f>
        <v>2.2739061550662499E-5</v>
      </c>
      <c r="I2286" s="1" cm="1">
        <f t="array" ref="I2286">SUMPRODUCT(([1]OUT_FinalEnergyCons!$B$4:$B$10000="var_ncap")*1,  (ISNUMBER(SEARCH("ITOT-SWHWOD*BR",[1]OUT_FinalEnergyCons!$A$4:$A$10000)))*1,[1]OUT_FinalEnergyCons!G$4:G$10000)</f>
        <v>3.6982800295275703E-2</v>
      </c>
      <c r="J2286" s="1" cm="1">
        <f t="array" ref="J2286">SUMPRODUCT(([1]OUT_FinalEnergyCons!$B$4:$B$10000="var_ncap")*1,  (ISNUMBER(SEARCH("ITOT-SWHWOD*BR",[1]OUT_FinalEnergyCons!$A$4:$A$10000)))*1,[1]OUT_FinalEnergyCons!H$4:H$10000)</f>
        <v>0.276693723828982</v>
      </c>
      <c r="K2286" s="1" cm="1">
        <f t="array" ref="K2286">SUMPRODUCT(([1]OUT_FinalEnergyCons!$B$4:$B$10000="var_ncap")*1,  (ISNUMBER(SEARCH("ITOT-SWHWOD*BR",[1]OUT_FinalEnergyCons!$A$4:$A$10000)))*1,[1]OUT_FinalEnergyCons!I$4:I$10000)</f>
        <v>0.144535168902374</v>
      </c>
      <c r="L2286" s="1" cm="1">
        <f t="array" ref="L2286">SUMPRODUCT(([1]OUT_FinalEnergyCons!$B$4:$B$10000="var_ncap")*1,  (ISNUMBER(SEARCH("ITOT-SWHWOD*BR",[1]OUT_FinalEnergyCons!$A$4:$A$10000)))*1,[1]OUT_FinalEnergyCons!J$4:J$10000)</f>
        <v>8.2500127127003595E-2</v>
      </c>
      <c r="M2286" s="1" cm="1">
        <f t="array" ref="M2286">SUMPRODUCT(([1]OUT_FinalEnergyCons!$B$4:$B$10000="var_ncap")*1,  (ISNUMBER(SEARCH("ITOT-SWHWOD*BR",[1]OUT_FinalEnergyCons!$A$4:$A$10000)))*1,[1]OUT_FinalEnergyCons!K$4:K$10000)</f>
        <v>0.31451922785219899</v>
      </c>
      <c r="N2286" s="1" cm="1">
        <f t="array" ref="N2286">SUMPRODUCT(([1]OUT_FinalEnergyCons!$B$4:$B$10000="var_ncap")*1,  (ISNUMBER(SEARCH("ITOT-SWHWOD*BR",[1]OUT_FinalEnergyCons!$A$4:$A$10000)))*1,[1]OUT_FinalEnergyCons!L$4:L$10000)</f>
        <v>0.171586955301536</v>
      </c>
      <c r="O2286" s="1" cm="1">
        <f t="array" ref="O2286">SUMPRODUCT(([1]OUT_FinalEnergyCons!$B$4:$B$10000="var_ncap")*1,  (ISNUMBER(SEARCH("ITOT-SWHWOD*BR",[1]OUT_FinalEnergyCons!$A$4:$A$10000)))*1,[1]OUT_FinalEnergyCons!M$4:M$10000)</f>
        <v>0.107314953007094</v>
      </c>
      <c r="P2286" s="1" cm="1">
        <f t="array" ref="P2286">SUMPRODUCT(([1]OUT_FinalEnergyCons!$B$4:$B$10000="var_ncap")*1,  (ISNUMBER(SEARCH("ITOT-SWHWOD*BR",[1]OUT_FinalEnergyCons!$A$4:$A$10000)))*1,[1]OUT_FinalEnergyCons!N$4:N$10000)</f>
        <v>0.24475121973517</v>
      </c>
      <c r="Q2286" s="1" cm="1">
        <f t="array" ref="Q2286">SUMPRODUCT(([1]OUT_FinalEnergyCons!$B$4:$B$10000="var_ncap")*1,  (ISNUMBER(SEARCH("ITOT-SWHWOD*BR",[1]OUT_FinalEnergyCons!$A$4:$A$10000)))*1,[1]OUT_FinalEnergyCons!O$4:O$10000)</f>
        <v>0.18421739028848</v>
      </c>
      <c r="S2286" s="3"/>
    </row>
    <row r="2287" spans="2:19" x14ac:dyDescent="0.5">
      <c r="B2287" s="5" t="str">
        <f t="shared" si="2284"/>
        <v>SPS1</v>
      </c>
      <c r="C2287" s="5" t="str">
        <f t="shared" si="2285"/>
        <v>CH</v>
      </c>
      <c r="D2287" t="s">
        <v>2421</v>
      </c>
      <c r="E2287" t="str">
        <f t="shared" si="2286"/>
        <v>GWth/yr.</v>
      </c>
      <c r="F2287" s="1">
        <f t="shared" ref="F2287:O2287" si="2299">F2288</f>
        <v>0</v>
      </c>
      <c r="G2287" s="1">
        <f t="shared" si="2299"/>
        <v>5.1670686545941397E-3</v>
      </c>
      <c r="H2287" s="1">
        <f t="shared" si="2299"/>
        <v>5.81594889285751E-5</v>
      </c>
      <c r="I2287" s="1">
        <f t="shared" si="2299"/>
        <v>7.0268744750450803E-3</v>
      </c>
      <c r="J2287" s="1">
        <f t="shared" si="2299"/>
        <v>2.41505558214276E-2</v>
      </c>
      <c r="K2287" s="1">
        <f t="shared" si="2299"/>
        <v>9.6876196033868992E-3</v>
      </c>
      <c r="L2287" s="1">
        <f t="shared" si="2299"/>
        <v>5.0604088832136001E-3</v>
      </c>
      <c r="M2287" s="1">
        <f t="shared" si="2299"/>
        <v>2.5284401992138598E-2</v>
      </c>
      <c r="N2287" s="1">
        <f t="shared" si="2299"/>
        <v>8.5470263793821794E-3</v>
      </c>
      <c r="O2287" s="1">
        <f t="shared" si="2299"/>
        <v>4.9048502485078702E-3</v>
      </c>
      <c r="P2287" s="1">
        <f>P2288</f>
        <v>2.51363600422011E-2</v>
      </c>
      <c r="Q2287" s="1">
        <f>Q2288</f>
        <v>1.0414466066777499E-2</v>
      </c>
      <c r="S2287" s="3"/>
    </row>
    <row r="2288" spans="2:19" x14ac:dyDescent="0.5">
      <c r="B2288" s="5" t="str">
        <f t="shared" si="2284"/>
        <v>SPS1</v>
      </c>
      <c r="C2288" s="5" t="str">
        <f t="shared" si="2285"/>
        <v>CH</v>
      </c>
      <c r="D2288" t="s">
        <v>2422</v>
      </c>
      <c r="E2288" t="str">
        <f t="shared" si="2286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5.1670686545941397E-3</v>
      </c>
      <c r="H2288" s="1" cm="1">
        <f t="array" ref="H2288">SUMPRODUCT(([1]OUT_FinalEnergyCons!$B$4:$B$10000="var_ncap")*1,  (ISNUMBER(SEARCH("ITOT-SWHPLT*BR",[1]OUT_FinalEnergyCons!$A$4:$A$10000)))*1,[1]OUT_FinalEnergyCons!F$4:F$10000)</f>
        <v>5.81594889285751E-5</v>
      </c>
      <c r="I2288" s="1" cm="1">
        <f t="array" ref="I2288">SUMPRODUCT(([1]OUT_FinalEnergyCons!$B$4:$B$10000="var_ncap")*1,  (ISNUMBER(SEARCH("ITOT-SWHPLT*BR",[1]OUT_FinalEnergyCons!$A$4:$A$10000)))*1,[1]OUT_FinalEnergyCons!G$4:G$10000)</f>
        <v>7.0268744750450803E-3</v>
      </c>
      <c r="J2288" s="1" cm="1">
        <f t="array" ref="J2288">SUMPRODUCT(([1]OUT_FinalEnergyCons!$B$4:$B$10000="var_ncap")*1,  (ISNUMBER(SEARCH("ITOT-SWHPLT*BR",[1]OUT_FinalEnergyCons!$A$4:$A$10000)))*1,[1]OUT_FinalEnergyCons!H$4:H$10000)</f>
        <v>2.41505558214276E-2</v>
      </c>
      <c r="K2288" s="1" cm="1">
        <f t="array" ref="K2288">SUMPRODUCT(([1]OUT_FinalEnergyCons!$B$4:$B$10000="var_ncap")*1,  (ISNUMBER(SEARCH("ITOT-SWHPLT*BR",[1]OUT_FinalEnergyCons!$A$4:$A$10000)))*1,[1]OUT_FinalEnergyCons!I$4:I$10000)</f>
        <v>9.6876196033868992E-3</v>
      </c>
      <c r="L2288" s="1" cm="1">
        <f t="array" ref="L2288">SUMPRODUCT(([1]OUT_FinalEnergyCons!$B$4:$B$10000="var_ncap")*1,  (ISNUMBER(SEARCH("ITOT-SWHPLT*BR",[1]OUT_FinalEnergyCons!$A$4:$A$10000)))*1,[1]OUT_FinalEnergyCons!J$4:J$10000)</f>
        <v>5.0604088832136001E-3</v>
      </c>
      <c r="M2288" s="1" cm="1">
        <f t="array" ref="M2288">SUMPRODUCT(([1]OUT_FinalEnergyCons!$B$4:$B$10000="var_ncap")*1,  (ISNUMBER(SEARCH("ITOT-SWHPLT*BR",[1]OUT_FinalEnergyCons!$A$4:$A$10000)))*1,[1]OUT_FinalEnergyCons!K$4:K$10000)</f>
        <v>2.5284401992138598E-2</v>
      </c>
      <c r="N2288" s="1" cm="1">
        <f t="array" ref="N2288">SUMPRODUCT(([1]OUT_FinalEnergyCons!$B$4:$B$10000="var_ncap")*1,  (ISNUMBER(SEARCH("ITOT-SWHPLT*BR",[1]OUT_FinalEnergyCons!$A$4:$A$10000)))*1,[1]OUT_FinalEnergyCons!L$4:L$10000)</f>
        <v>8.5470263793821794E-3</v>
      </c>
      <c r="O2288" s="1" cm="1">
        <f t="array" ref="O2288">SUMPRODUCT(([1]OUT_FinalEnergyCons!$B$4:$B$10000="var_ncap")*1,  (ISNUMBER(SEARCH("ITOT-SWHPLT*BR",[1]OUT_FinalEnergyCons!$A$4:$A$10000)))*1,[1]OUT_FinalEnergyCons!M$4:M$10000)</f>
        <v>4.9048502485078702E-3</v>
      </c>
      <c r="P2288" s="1" cm="1">
        <f t="array" ref="P2288">SUMPRODUCT(([1]OUT_FinalEnergyCons!$B$4:$B$10000="var_ncap")*1,  (ISNUMBER(SEARCH("ITOT-SWHPLT*BR",[1]OUT_FinalEnergyCons!$A$4:$A$10000)))*1,[1]OUT_FinalEnergyCons!N$4:N$10000)</f>
        <v>2.51363600422011E-2</v>
      </c>
      <c r="Q2288" s="1" cm="1">
        <f t="array" ref="Q2288">SUMPRODUCT(([1]OUT_FinalEnergyCons!$B$4:$B$10000="var_ncap")*1,  (ISNUMBER(SEARCH("ITOT-SWHPLT*BR",[1]OUT_FinalEnergyCons!$A$4:$A$10000)))*1,[1]OUT_FinalEnergyCons!O$4:O$10000)</f>
        <v>1.0414466066777499E-2</v>
      </c>
      <c r="S2288" s="3"/>
    </row>
    <row r="2289" spans="2:19" x14ac:dyDescent="0.5">
      <c r="B2289" s="5" t="str">
        <f t="shared" si="2284"/>
        <v>SPS1</v>
      </c>
      <c r="C2289" s="5" t="str">
        <f t="shared" si="2285"/>
        <v>CH</v>
      </c>
      <c r="D2289" t="s">
        <v>2423</v>
      </c>
      <c r="E2289" t="str">
        <f t="shared" si="2286"/>
        <v>GWth/yr.</v>
      </c>
      <c r="F2289" s="1">
        <f t="shared" ref="F2289:O2289" si="2300">F2290</f>
        <v>0</v>
      </c>
      <c r="G2289" s="1">
        <f t="shared" si="2300"/>
        <v>3.4131124507364499E-6</v>
      </c>
      <c r="H2289" s="1">
        <f t="shared" si="2300"/>
        <v>2.4632590739461302E-6</v>
      </c>
      <c r="I2289" s="1">
        <f t="shared" si="2300"/>
        <v>5.7063496983638104E-6</v>
      </c>
      <c r="J2289" s="1">
        <f t="shared" si="2300"/>
        <v>8.3196623318106205E-2</v>
      </c>
      <c r="K2289" s="1">
        <f t="shared" si="2300"/>
        <v>9.8520968402837097E-2</v>
      </c>
      <c r="L2289" s="1">
        <f t="shared" si="2300"/>
        <v>2.6164526478232599E-3</v>
      </c>
      <c r="M2289" s="1">
        <f t="shared" si="2300"/>
        <v>8.6900037251508702E-2</v>
      </c>
      <c r="N2289" s="1">
        <f t="shared" si="2300"/>
        <v>0.102030213414603</v>
      </c>
      <c r="O2289" s="1">
        <f t="shared" si="2300"/>
        <v>3.4559472780608998E-4</v>
      </c>
      <c r="P2289" s="1">
        <f>P2290</f>
        <v>0.116989784163196</v>
      </c>
      <c r="Q2289" s="1">
        <f>Q2290</f>
        <v>7.2859560400388101E-2</v>
      </c>
      <c r="S2289" s="3"/>
    </row>
    <row r="2290" spans="2:19" x14ac:dyDescent="0.5">
      <c r="B2290" s="5" t="str">
        <f t="shared" si="2284"/>
        <v>SPS1</v>
      </c>
      <c r="C2290" s="5" t="str">
        <f t="shared" si="2285"/>
        <v>CH</v>
      </c>
      <c r="D2290" t="s">
        <v>2424</v>
      </c>
      <c r="E2290" t="str">
        <f t="shared" si="2286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3.4131124507364499E-6</v>
      </c>
      <c r="H2290" s="1" cm="1">
        <f t="array" ref="H2290">SUMPRODUCT(([1]OUT_FinalEnergyCons!$B$4:$B$10000="var_ncap")*1,  (ISNUMBER(SEARCH("ITOT-SWHWST*BR",[1]OUT_FinalEnergyCons!$A$4:$A$10000)))*1,[1]OUT_FinalEnergyCons!F$4:F$10000)</f>
        <v>2.4632590739461302E-6</v>
      </c>
      <c r="I2290" s="1" cm="1">
        <f t="array" ref="I2290">SUMPRODUCT(([1]OUT_FinalEnergyCons!$B$4:$B$10000="var_ncap")*1,  (ISNUMBER(SEARCH("ITOT-SWHWST*BR",[1]OUT_FinalEnergyCons!$A$4:$A$10000)))*1,[1]OUT_FinalEnergyCons!G$4:G$10000)</f>
        <v>5.7063496983638104E-6</v>
      </c>
      <c r="J2290" s="1" cm="1">
        <f t="array" ref="J2290">SUMPRODUCT(([1]OUT_FinalEnergyCons!$B$4:$B$10000="var_ncap")*1,  (ISNUMBER(SEARCH("ITOT-SWHWST*BR",[1]OUT_FinalEnergyCons!$A$4:$A$10000)))*1,[1]OUT_FinalEnergyCons!H$4:H$10000)</f>
        <v>8.3196623318106205E-2</v>
      </c>
      <c r="K2290" s="1" cm="1">
        <f t="array" ref="K2290">SUMPRODUCT(([1]OUT_FinalEnergyCons!$B$4:$B$10000="var_ncap")*1,  (ISNUMBER(SEARCH("ITOT-SWHWST*BR",[1]OUT_FinalEnergyCons!$A$4:$A$10000)))*1,[1]OUT_FinalEnergyCons!I$4:I$10000)</f>
        <v>9.8520968402837097E-2</v>
      </c>
      <c r="L2290" s="1" cm="1">
        <f t="array" ref="L2290">SUMPRODUCT(([1]OUT_FinalEnergyCons!$B$4:$B$10000="var_ncap")*1,  (ISNUMBER(SEARCH("ITOT-SWHWST*BR",[1]OUT_FinalEnergyCons!$A$4:$A$10000)))*1,[1]OUT_FinalEnergyCons!J$4:J$10000)</f>
        <v>2.6164526478232599E-3</v>
      </c>
      <c r="M2290" s="1" cm="1">
        <f t="array" ref="M2290">SUMPRODUCT(([1]OUT_FinalEnergyCons!$B$4:$B$10000="var_ncap")*1,  (ISNUMBER(SEARCH("ITOT-SWHWST*BR",[1]OUT_FinalEnergyCons!$A$4:$A$10000)))*1,[1]OUT_FinalEnergyCons!K$4:K$10000)</f>
        <v>8.6900037251508702E-2</v>
      </c>
      <c r="N2290" s="1" cm="1">
        <f t="array" ref="N2290">SUMPRODUCT(([1]OUT_FinalEnergyCons!$B$4:$B$10000="var_ncap")*1,  (ISNUMBER(SEARCH("ITOT-SWHWST*BR",[1]OUT_FinalEnergyCons!$A$4:$A$10000)))*1,[1]OUT_FinalEnergyCons!L$4:L$10000)</f>
        <v>0.102030213414603</v>
      </c>
      <c r="O2290" s="1" cm="1">
        <f t="array" ref="O2290">SUMPRODUCT(([1]OUT_FinalEnergyCons!$B$4:$B$10000="var_ncap")*1,  (ISNUMBER(SEARCH("ITOT-SWHWST*BR",[1]OUT_FinalEnergyCons!$A$4:$A$10000)))*1,[1]OUT_FinalEnergyCons!M$4:M$10000)</f>
        <v>3.4559472780608998E-4</v>
      </c>
      <c r="P2290" s="1" cm="1">
        <f t="array" ref="P2290">SUMPRODUCT(([1]OUT_FinalEnergyCons!$B$4:$B$10000="var_ncap")*1,  (ISNUMBER(SEARCH("ITOT-SWHWST*BR",[1]OUT_FinalEnergyCons!$A$4:$A$10000)))*1,[1]OUT_FinalEnergyCons!N$4:N$10000)</f>
        <v>0.116989784163196</v>
      </c>
      <c r="Q2290" s="1" cm="1">
        <f t="array" ref="Q2290">SUMPRODUCT(([1]OUT_FinalEnergyCons!$B$4:$B$10000="var_ncap")*1,  (ISNUMBER(SEARCH("ITOT-SWHWST*BR",[1]OUT_FinalEnergyCons!$A$4:$A$10000)))*1,[1]OUT_FinalEnergyCons!O$4:O$10000)</f>
        <v>7.2859560400388101E-2</v>
      </c>
      <c r="S2290" s="3"/>
    </row>
    <row r="2291" spans="2:19" x14ac:dyDescent="0.5">
      <c r="B2291" s="5" t="str">
        <f t="shared" si="2284"/>
        <v>SPS1</v>
      </c>
      <c r="C2291" s="5" t="str">
        <f t="shared" si="2285"/>
        <v>CH</v>
      </c>
      <c r="D2291" t="s">
        <v>2425</v>
      </c>
      <c r="E2291" t="str">
        <f t="shared" si="2286"/>
        <v>GWth/yr.</v>
      </c>
      <c r="F2291" s="1">
        <f t="shared" ref="F2291:O2291" si="2301">F2292</f>
        <v>0</v>
      </c>
      <c r="G2291" s="1">
        <f t="shared" si="2301"/>
        <v>2.6524045432753198E-3</v>
      </c>
      <c r="H2291" s="1">
        <f t="shared" si="2301"/>
        <v>8.5611458147694202E-8</v>
      </c>
      <c r="I2291" s="1">
        <f t="shared" si="2301"/>
        <v>1.26213364280372E-7</v>
      </c>
      <c r="J2291" s="1">
        <f t="shared" si="2301"/>
        <v>8.5653836538459299E-3</v>
      </c>
      <c r="K2291" s="1">
        <f t="shared" si="2301"/>
        <v>3.9032193996515301E-3</v>
      </c>
      <c r="L2291" s="1">
        <f t="shared" si="2301"/>
        <v>9.930265951706931E-7</v>
      </c>
      <c r="M2291" s="1">
        <f t="shared" si="2301"/>
        <v>8.5601275479921801E-3</v>
      </c>
      <c r="N2291" s="1">
        <f t="shared" si="2301"/>
        <v>3.3024546004585499E-3</v>
      </c>
      <c r="O2291" s="1">
        <f t="shared" si="2301"/>
        <v>6.9225387456318098E-4</v>
      </c>
      <c r="P2291" s="1">
        <f>P2292</f>
        <v>8.0883347675120391E-3</v>
      </c>
      <c r="Q2291" s="1">
        <f>Q2292</f>
        <v>3.8665048541515301E-3</v>
      </c>
      <c r="S2291" s="3"/>
    </row>
    <row r="2292" spans="2:19" x14ac:dyDescent="0.5">
      <c r="B2292" s="5" t="str">
        <f t="shared" si="2284"/>
        <v>SPS1</v>
      </c>
      <c r="C2292" s="5" t="str">
        <f t="shared" si="2285"/>
        <v>CH</v>
      </c>
      <c r="D2292" t="s">
        <v>2426</v>
      </c>
      <c r="E2292" t="str">
        <f t="shared" si="2286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2.6524045432753198E-3</v>
      </c>
      <c r="H2292" s="1" cm="1">
        <f t="array" ref="H2292">SUMPRODUCT(([1]OUT_FinalEnergyCons!$B$4:$B$10000="var_ncap")*1, (ISNUMBER(SEARCH("ITOT-SWHSOLBR",[1]OUT_FinalEnergyCons!$A$4:$A$10000)))*1,[1]OUT_FinalEnergyCons!F$4:F$10000)</f>
        <v>8.5611458147694202E-8</v>
      </c>
      <c r="I2292" s="1" cm="1">
        <f t="array" ref="I2292">SUMPRODUCT(([1]OUT_FinalEnergyCons!$B$4:$B$10000="var_ncap")*1, (ISNUMBER(SEARCH("ITOT-SWHSOLBR",[1]OUT_FinalEnergyCons!$A$4:$A$10000)))*1,[1]OUT_FinalEnergyCons!G$4:G$10000)</f>
        <v>1.26213364280372E-7</v>
      </c>
      <c r="J2292" s="1" cm="1">
        <f t="array" ref="J2292">SUMPRODUCT(([1]OUT_FinalEnergyCons!$B$4:$B$10000="var_ncap")*1, (ISNUMBER(SEARCH("ITOT-SWHSOLBR",[1]OUT_FinalEnergyCons!$A$4:$A$10000)))*1,[1]OUT_FinalEnergyCons!H$4:H$10000)</f>
        <v>8.5653836538459299E-3</v>
      </c>
      <c r="K2292" s="1" cm="1">
        <f t="array" ref="K2292">SUMPRODUCT(([1]OUT_FinalEnergyCons!$B$4:$B$10000="var_ncap")*1, (ISNUMBER(SEARCH("ITOT-SWHSOLBR",[1]OUT_FinalEnergyCons!$A$4:$A$10000)))*1,[1]OUT_FinalEnergyCons!I$4:I$10000)</f>
        <v>3.9032193996515301E-3</v>
      </c>
      <c r="L2292" s="1" cm="1">
        <f t="array" ref="L2292">SUMPRODUCT(([1]OUT_FinalEnergyCons!$B$4:$B$10000="var_ncap")*1, (ISNUMBER(SEARCH("ITOT-SWHSOLBR",[1]OUT_FinalEnergyCons!$A$4:$A$10000)))*1,[1]OUT_FinalEnergyCons!J$4:J$10000)</f>
        <v>9.930265951706931E-7</v>
      </c>
      <c r="M2292" s="1" cm="1">
        <f t="array" ref="M2292">SUMPRODUCT(([1]OUT_FinalEnergyCons!$B$4:$B$10000="var_ncap")*1, (ISNUMBER(SEARCH("ITOT-SWHSOLBR",[1]OUT_FinalEnergyCons!$A$4:$A$10000)))*1,[1]OUT_FinalEnergyCons!K$4:K$10000)</f>
        <v>8.5601275479921801E-3</v>
      </c>
      <c r="N2292" s="1" cm="1">
        <f t="array" ref="N2292">SUMPRODUCT(([1]OUT_FinalEnergyCons!$B$4:$B$10000="var_ncap")*1, (ISNUMBER(SEARCH("ITOT-SWHSOLBR",[1]OUT_FinalEnergyCons!$A$4:$A$10000)))*1,[1]OUT_FinalEnergyCons!L$4:L$10000)</f>
        <v>3.3024546004585499E-3</v>
      </c>
      <c r="O2292" s="1" cm="1">
        <f t="array" ref="O2292">SUMPRODUCT(([1]OUT_FinalEnergyCons!$B$4:$B$10000="var_ncap")*1, (ISNUMBER(SEARCH("ITOT-SWHSOLBR",[1]OUT_FinalEnergyCons!$A$4:$A$10000)))*1,[1]OUT_FinalEnergyCons!M$4:M$10000)</f>
        <v>6.9225387456318098E-4</v>
      </c>
      <c r="P2292" s="1" cm="1">
        <f t="array" ref="P2292">SUMPRODUCT(([1]OUT_FinalEnergyCons!$B$4:$B$10000="var_ncap")*1, (ISNUMBER(SEARCH("ITOT-SWHSOLBR",[1]OUT_FinalEnergyCons!$A$4:$A$10000)))*1,[1]OUT_FinalEnergyCons!N$4:N$10000)</f>
        <v>8.0883347675120391E-3</v>
      </c>
      <c r="Q2292" s="1" cm="1">
        <f t="array" ref="Q2292">SUMPRODUCT(([1]OUT_FinalEnergyCons!$B$4:$B$10000="var_ncap")*1, (ISNUMBER(SEARCH("ITOT-SWHSOLBR",[1]OUT_FinalEnergyCons!$A$4:$A$10000)))*1,[1]OUT_FinalEnergyCons!O$4:O$10000)</f>
        <v>3.8665048541515301E-3</v>
      </c>
      <c r="S2292" s="3"/>
    </row>
    <row r="2293" spans="2:19" x14ac:dyDescent="0.5">
      <c r="B2293" s="5" t="str">
        <f t="shared" si="2284"/>
        <v>SPS1</v>
      </c>
      <c r="C2293" s="5" t="str">
        <f t="shared" si="2285"/>
        <v>CH</v>
      </c>
      <c r="D2293" t="s">
        <v>2427</v>
      </c>
      <c r="E2293" t="str">
        <f t="shared" si="2286"/>
        <v>GWth/yr.</v>
      </c>
      <c r="F2293" s="1">
        <f t="shared" ref="F2293:O2293" si="2302">F2294</f>
        <v>0</v>
      </c>
      <c r="G2293" s="1">
        <f t="shared" si="2302"/>
        <v>0</v>
      </c>
      <c r="H2293" s="1">
        <f t="shared" si="2302"/>
        <v>0</v>
      </c>
      <c r="I2293" s="1">
        <f t="shared" si="2302"/>
        <v>4.9293521167238398E-5</v>
      </c>
      <c r="J2293" s="1">
        <f t="shared" si="2302"/>
        <v>2.3686983178965301E-4</v>
      </c>
      <c r="K2293" s="1">
        <f t="shared" si="2302"/>
        <v>1.19381894999972E-4</v>
      </c>
      <c r="L2293" s="1">
        <f t="shared" si="2302"/>
        <v>5.15356940488367E-5</v>
      </c>
      <c r="M2293" s="1">
        <f t="shared" si="2302"/>
        <v>3.03703857876794E-3</v>
      </c>
      <c r="N2293" s="1">
        <f t="shared" si="2302"/>
        <v>1.75559794350612E-3</v>
      </c>
      <c r="O2293" s="1">
        <f t="shared" si="2302"/>
        <v>6.3599158317628399E-3</v>
      </c>
      <c r="P2293" s="1">
        <f>P2294</f>
        <v>4.0979130785126399E-3</v>
      </c>
      <c r="Q2293" s="1">
        <f>Q2294</f>
        <v>1.1056305916361401E-3</v>
      </c>
      <c r="S2293" s="3"/>
    </row>
    <row r="2294" spans="2:19" x14ac:dyDescent="0.5">
      <c r="B2294" s="5" t="str">
        <f t="shared" si="2284"/>
        <v>SPS1</v>
      </c>
      <c r="C2294" s="5" t="str">
        <f t="shared" si="2285"/>
        <v>CH</v>
      </c>
      <c r="D2294" t="s">
        <v>2428</v>
      </c>
      <c r="E2294" t="str">
        <f t="shared" si="2286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4.9293521167238398E-5</v>
      </c>
      <c r="J2294" s="1" cm="1">
        <f t="array" ref="J2294">SUMPRODUCT(([1]OUT_FinalEnergyCons!$B$4:$B$10000="var_ncap")*1, (ISNUMBER(SEARCH("ITOT-SWHH2BR",[1]OUT_FinalEnergyCons!$A$4:$A$10000)))*1,[1]OUT_FinalEnergyCons!H$4:H$10000)</f>
        <v>2.3686983178965301E-4</v>
      </c>
      <c r="K2294" s="1" cm="1">
        <f t="array" ref="K2294">SUMPRODUCT(([1]OUT_FinalEnergyCons!$B$4:$B$10000="var_ncap")*1, (ISNUMBER(SEARCH("ITOT-SWHH2BR",[1]OUT_FinalEnergyCons!$A$4:$A$10000)))*1,[1]OUT_FinalEnergyCons!I$4:I$10000)</f>
        <v>1.19381894999972E-4</v>
      </c>
      <c r="L2294" s="1" cm="1">
        <f t="array" ref="L2294">SUMPRODUCT(([1]OUT_FinalEnergyCons!$B$4:$B$10000="var_ncap")*1, (ISNUMBER(SEARCH("ITOT-SWHH2BR",[1]OUT_FinalEnergyCons!$A$4:$A$10000)))*1,[1]OUT_FinalEnergyCons!J$4:J$10000)</f>
        <v>5.15356940488367E-5</v>
      </c>
      <c r="M2294" s="1" cm="1">
        <f t="array" ref="M2294">SUMPRODUCT(([1]OUT_FinalEnergyCons!$B$4:$B$10000="var_ncap")*1, (ISNUMBER(SEARCH("ITOT-SWHH2BR",[1]OUT_FinalEnergyCons!$A$4:$A$10000)))*1,[1]OUT_FinalEnergyCons!K$4:K$10000)</f>
        <v>3.03703857876794E-3</v>
      </c>
      <c r="N2294" s="1" cm="1">
        <f t="array" ref="N2294">SUMPRODUCT(([1]OUT_FinalEnergyCons!$B$4:$B$10000="var_ncap")*1, (ISNUMBER(SEARCH("ITOT-SWHH2BR",[1]OUT_FinalEnergyCons!$A$4:$A$10000)))*1,[1]OUT_FinalEnergyCons!L$4:L$10000)</f>
        <v>1.75559794350612E-3</v>
      </c>
      <c r="O2294" s="1" cm="1">
        <f t="array" ref="O2294">SUMPRODUCT(([1]OUT_FinalEnergyCons!$B$4:$B$10000="var_ncap")*1, (ISNUMBER(SEARCH("ITOT-SWHH2BR",[1]OUT_FinalEnergyCons!$A$4:$A$10000)))*1,[1]OUT_FinalEnergyCons!M$4:M$10000)</f>
        <v>6.3599158317628399E-3</v>
      </c>
      <c r="P2294" s="1" cm="1">
        <f t="array" ref="P2294">SUMPRODUCT(([1]OUT_FinalEnergyCons!$B$4:$B$10000="var_ncap")*1, (ISNUMBER(SEARCH("ITOT-SWHH2BR",[1]OUT_FinalEnergyCons!$A$4:$A$10000)))*1,[1]OUT_FinalEnergyCons!N$4:N$10000)</f>
        <v>4.0979130785126399E-3</v>
      </c>
      <c r="Q2294" s="1" cm="1">
        <f t="array" ref="Q2294">SUMPRODUCT(([1]OUT_FinalEnergyCons!$B$4:$B$10000="var_ncap")*1, (ISNUMBER(SEARCH("ITOT-SWHH2BR",[1]OUT_FinalEnergyCons!$A$4:$A$10000)))*1,[1]OUT_FinalEnergyCons!O$4:O$10000)</f>
        <v>1.1056305916361401E-3</v>
      </c>
      <c r="S2294" s="3"/>
    </row>
    <row r="2295" spans="2:19" x14ac:dyDescent="0.5">
      <c r="B2295" s="9" t="str">
        <f>'SPS1'!B1813</f>
        <v>SPS1</v>
      </c>
      <c r="C2295" s="9" t="str">
        <f>'SPS1'!C1813</f>
        <v>CH</v>
      </c>
      <c r="D2295" s="2" t="s">
        <v>2429</v>
      </c>
      <c r="E2295" s="9" t="str">
        <f t="shared" si="2286"/>
        <v>GWth/yr.</v>
      </c>
      <c r="F2295" s="17">
        <f t="shared" ref="F2295:K2295" si="2303">SUM(F2296,F2299,F2301,F2305,F2307,F2309,F2311)</f>
        <v>3.3938376958810967E-5</v>
      </c>
      <c r="G2295" s="17">
        <f t="shared" si="2303"/>
        <v>7.2863496663399252E-2</v>
      </c>
      <c r="H2295" s="17">
        <f t="shared" si="2303"/>
        <v>0.11549805478810968</v>
      </c>
      <c r="I2295" s="17">
        <f t="shared" si="2303"/>
        <v>1.6068420859677066E-2</v>
      </c>
      <c r="J2295" s="17">
        <f t="shared" si="2303"/>
        <v>2.7413296980025743</v>
      </c>
      <c r="K2295" s="17">
        <f t="shared" si="2303"/>
        <v>1.4621998216177821</v>
      </c>
      <c r="L2295" s="17">
        <f t="shared" ref="L2295:O2295" si="2304">SUM(L2296,L2299,L2301,L2305,L2307,L2309,L2311)</f>
        <v>3.5928624600283197E-2</v>
      </c>
      <c r="M2295" s="17">
        <f t="shared" si="2304"/>
        <v>2.1870199500321017</v>
      </c>
      <c r="N2295" s="17">
        <f t="shared" si="2304"/>
        <v>1.1747179126261742</v>
      </c>
      <c r="O2295" s="17">
        <f t="shared" si="2304"/>
        <v>0.15230606320416956</v>
      </c>
      <c r="P2295" s="17">
        <f>SUM(P2296,P2299,P2301,P2305,P2307,P2309,P2311)</f>
        <v>2.0807621086791186</v>
      </c>
      <c r="Q2295" s="17">
        <f>SUM(Q2296,Q2299,Q2301,Q2305,Q2307,Q2309,Q2311)</f>
        <v>1.0043551164827587</v>
      </c>
      <c r="S2295" s="3"/>
    </row>
    <row r="2296" spans="2:19" x14ac:dyDescent="0.5">
      <c r="B2296" s="5" t="str">
        <f t="shared" ref="B2296:B2312" si="2305">B2295</f>
        <v>SPS1</v>
      </c>
      <c r="C2296" s="5" t="str">
        <f t="shared" ref="C2296:C2312" si="2306">C2295</f>
        <v>CH</v>
      </c>
      <c r="D2296" t="s">
        <v>2430</v>
      </c>
      <c r="E2296" t="str">
        <f t="shared" si="2286"/>
        <v>GWth/yr.</v>
      </c>
      <c r="F2296" s="1">
        <f t="shared" ref="F2296:K2296" si="2307">SUM(F2297:F2298)</f>
        <v>1.8169606039043848E-6</v>
      </c>
      <c r="G2296" s="1">
        <f t="shared" si="2307"/>
        <v>9.7145882681462491E-7</v>
      </c>
      <c r="H2296" s="1">
        <f t="shared" si="2307"/>
        <v>0.11098452557069916</v>
      </c>
      <c r="I2296" s="1">
        <f t="shared" si="2307"/>
        <v>9.3233610257358827E-6</v>
      </c>
      <c r="J2296" s="1">
        <f t="shared" si="2307"/>
        <v>0.3536163234188926</v>
      </c>
      <c r="K2296" s="1">
        <f t="shared" si="2307"/>
        <v>0.22251414719354551</v>
      </c>
      <c r="L2296" s="1">
        <f t="shared" ref="L2296:O2296" si="2308">SUM(L2297:L2298)</f>
        <v>3.4732721721766072E-2</v>
      </c>
      <c r="M2296" s="1">
        <f t="shared" si="2308"/>
        <v>0.36390374812774468</v>
      </c>
      <c r="N2296" s="1">
        <f t="shared" si="2308"/>
        <v>0.23848355876098382</v>
      </c>
      <c r="O2296" s="1">
        <f t="shared" si="2308"/>
        <v>0.10513407241239531</v>
      </c>
      <c r="P2296" s="1">
        <f>SUM(P2297:P2298)</f>
        <v>0.4260558973571586</v>
      </c>
      <c r="Q2296" s="1">
        <f>SUM(Q2297:Q2298)</f>
        <v>0.27302241179938419</v>
      </c>
      <c r="S2296" s="3"/>
    </row>
    <row r="2297" spans="2:19" x14ac:dyDescent="0.5">
      <c r="B2297" s="5" t="str">
        <f t="shared" si="2305"/>
        <v>SPS1</v>
      </c>
      <c r="C2297" s="5" t="str">
        <f t="shared" si="2306"/>
        <v>CH</v>
      </c>
      <c r="D2297" t="s">
        <v>2431</v>
      </c>
      <c r="E2297" t="str">
        <f t="shared" si="2286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1.7195153841418599E-6</v>
      </c>
      <c r="G2297" s="1" cm="1">
        <f t="array" ref="G2297">SUMPRODUCT(([1]OUT_FinalEnergyCons!$B$4:$B$10000="var_ncap")*1, (ISNUMBER(SEARCH("SCOM-SHELCBR",[1]OUT_FinalEnergyCons!$A$4:$A$10000)))*1,[1]OUT_FinalEnergyCons!E$4:E$10000)</f>
        <v>8.2401389363939401E-7</v>
      </c>
      <c r="H2297" s="1" cm="1">
        <f t="array" ref="H2297">SUMPRODUCT(([1]OUT_FinalEnergyCons!$B$4:$B$10000="var_ncap")*1, (ISNUMBER(SEARCH("SCOM-SHELCBR",[1]OUT_FinalEnergyCons!$A$4:$A$10000)))*1,[1]OUT_FinalEnergyCons!F$4:F$10000)</f>
        <v>0.11098426137959599</v>
      </c>
      <c r="I2297" s="1" cm="1">
        <f t="array" ref="I2297">SUMPRODUCT(([1]OUT_FinalEnergyCons!$B$4:$B$10000="var_ncap")*1, (ISNUMBER(SEARCH("SCOM-SHELCBR",[1]OUT_FinalEnergyCons!$A$4:$A$10000)))*1,[1]OUT_FinalEnergyCons!G$4:G$10000)</f>
        <v>8.6581496105893701E-6</v>
      </c>
      <c r="J2297" s="1" cm="1">
        <f t="array" ref="J2297">SUMPRODUCT(([1]OUT_FinalEnergyCons!$B$4:$B$10000="var_ncap")*1, (ISNUMBER(SEARCH("SCOM-SHELCBR",[1]OUT_FinalEnergyCons!$A$4:$A$10000)))*1,[1]OUT_FinalEnergyCons!H$4:H$10000)</f>
        <v>3.2961135146912603E-2</v>
      </c>
      <c r="K2297" s="1" cm="1">
        <f t="array" ref="K2297">SUMPRODUCT(([1]OUT_FinalEnergyCons!$B$4:$B$10000="var_ncap")*1, (ISNUMBER(SEARCH("SCOM-SHELCBR",[1]OUT_FinalEnergyCons!$A$4:$A$10000)))*1,[1]OUT_FinalEnergyCons!I$4:I$10000)</f>
        <v>7.7553770130768501E-2</v>
      </c>
      <c r="L2297" s="1" cm="1">
        <f t="array" ref="L2297">SUMPRODUCT(([1]OUT_FinalEnergyCons!$B$4:$B$10000="var_ncap")*1, (ISNUMBER(SEARCH("SCOM-SHELCBR",[1]OUT_FinalEnergyCons!$A$4:$A$10000)))*1,[1]OUT_FinalEnergyCons!J$4:J$10000)</f>
        <v>2.0425206351474501E-5</v>
      </c>
      <c r="M2297" s="1" cm="1">
        <f t="array" ref="M2297">SUMPRODUCT(([1]OUT_FinalEnergyCons!$B$4:$B$10000="var_ncap")*1, (ISNUMBER(SEARCH("SCOM-SHELCBR",[1]OUT_FinalEnergyCons!$A$4:$A$10000)))*1,[1]OUT_FinalEnergyCons!K$4:K$10000)</f>
        <v>4.0385444435106603E-3</v>
      </c>
      <c r="N2297" s="1" cm="1">
        <f t="array" ref="N2297">SUMPRODUCT(([1]OUT_FinalEnergyCons!$B$4:$B$10000="var_ncap")*1, (ISNUMBER(SEARCH("SCOM-SHELCBR",[1]OUT_FinalEnergyCons!$A$4:$A$10000)))*1,[1]OUT_FinalEnergyCons!L$4:L$10000)</f>
        <v>6.8837136988861805E-2</v>
      </c>
      <c r="O2297" s="1" cm="1">
        <f t="array" ref="O2297">SUMPRODUCT(([1]OUT_FinalEnergyCons!$B$4:$B$10000="var_ncap")*1, (ISNUMBER(SEARCH("SCOM-SHELCBR",[1]OUT_FinalEnergyCons!$A$4:$A$10000)))*1,[1]OUT_FinalEnergyCons!M$4:M$10000)</f>
        <v>1.0887203312786999E-2</v>
      </c>
      <c r="P2297" s="1" cm="1">
        <f t="array" ref="P2297">SUMPRODUCT(([1]OUT_FinalEnergyCons!$B$4:$B$10000="var_ncap")*1, (ISNUMBER(SEARCH("SCOM-SHELCBR",[1]OUT_FinalEnergyCons!$A$4:$A$10000)))*1,[1]OUT_FinalEnergyCons!N$4:N$10000)</f>
        <v>2.7484302567343601E-2</v>
      </c>
      <c r="Q2297" s="1" cm="1">
        <f t="array" ref="Q2297">SUMPRODUCT(([1]OUT_FinalEnergyCons!$B$4:$B$10000="var_ncap")*1, (ISNUMBER(SEARCH("SCOM-SHELCBR",[1]OUT_FinalEnergyCons!$A$4:$A$10000)))*1,[1]OUT_FinalEnergyCons!O$4:O$10000)</f>
        <v>4.49733513341612E-2</v>
      </c>
      <c r="S2297" s="3"/>
    </row>
    <row r="2298" spans="2:19" x14ac:dyDescent="0.5">
      <c r="B2298" s="5" t="str">
        <f t="shared" si="2305"/>
        <v>SPS1</v>
      </c>
      <c r="C2298" s="5" t="str">
        <f t="shared" si="2306"/>
        <v>CH</v>
      </c>
      <c r="D2298" t="s">
        <v>2432</v>
      </c>
      <c r="E2298" t="str">
        <f t="shared" si="2286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9.7445219762524798E-8</v>
      </c>
      <c r="G2298" s="1" cm="1">
        <f t="array" ref="G2298">SUMPRODUCT(([1]OUT_FinalEnergyCons!$B$4:$B$10000="var_ncap")*1, (ISNUMBER(SEARCH("SCOM-SHELCHP",[1]OUT_FinalEnergyCons!$A$4:$A$10000)))*1,[1]OUT_FinalEnergyCons!E$4:E$10000)</f>
        <v>1.47444933175231E-7</v>
      </c>
      <c r="H2298" s="1" cm="1">
        <f t="array" ref="H2298">SUMPRODUCT(([1]OUT_FinalEnergyCons!$B$4:$B$10000="var_ncap")*1, (ISNUMBER(SEARCH("SCOM-SHELCHP",[1]OUT_FinalEnergyCons!$A$4:$A$10000)))*1,[1]OUT_FinalEnergyCons!F$4:F$10000)</f>
        <v>2.6419110316598697E-7</v>
      </c>
      <c r="I2298" s="1" cm="1">
        <f t="array" ref="I2298">SUMPRODUCT(([1]OUT_FinalEnergyCons!$B$4:$B$10000="var_ncap")*1, (ISNUMBER(SEARCH("SCOM-SHELCHP",[1]OUT_FinalEnergyCons!$A$4:$A$10000)))*1,[1]OUT_FinalEnergyCons!G$4:G$10000)</f>
        <v>6.6521141514651299E-7</v>
      </c>
      <c r="J2298" s="1" cm="1">
        <f t="array" ref="J2298">SUMPRODUCT(([1]OUT_FinalEnergyCons!$B$4:$B$10000="var_ncap")*1, (ISNUMBER(SEARCH("SCOM-SHELCHP",[1]OUT_FinalEnergyCons!$A$4:$A$10000)))*1,[1]OUT_FinalEnergyCons!H$4:H$10000)</f>
        <v>0.32065518827197997</v>
      </c>
      <c r="K2298" s="1" cm="1">
        <f t="array" ref="K2298">SUMPRODUCT(([1]OUT_FinalEnergyCons!$B$4:$B$10000="var_ncap")*1, (ISNUMBER(SEARCH("SCOM-SHELCHP",[1]OUT_FinalEnergyCons!$A$4:$A$10000)))*1,[1]OUT_FinalEnergyCons!I$4:I$10000)</f>
        <v>0.14496037706277701</v>
      </c>
      <c r="L2298" s="1" cm="1">
        <f t="array" ref="L2298">SUMPRODUCT(([1]OUT_FinalEnergyCons!$B$4:$B$10000="var_ncap")*1, (ISNUMBER(SEARCH("SCOM-SHELCHP",[1]OUT_FinalEnergyCons!$A$4:$A$10000)))*1,[1]OUT_FinalEnergyCons!J$4:J$10000)</f>
        <v>3.4712296515414597E-2</v>
      </c>
      <c r="M2298" s="1" cm="1">
        <f t="array" ref="M2298">SUMPRODUCT(([1]OUT_FinalEnergyCons!$B$4:$B$10000="var_ncap")*1, (ISNUMBER(SEARCH("SCOM-SHELCHP",[1]OUT_FinalEnergyCons!$A$4:$A$10000)))*1,[1]OUT_FinalEnergyCons!K$4:K$10000)</f>
        <v>0.35986520368423403</v>
      </c>
      <c r="N2298" s="1" cm="1">
        <f t="array" ref="N2298">SUMPRODUCT(([1]OUT_FinalEnergyCons!$B$4:$B$10000="var_ncap")*1, (ISNUMBER(SEARCH("SCOM-SHELCHP",[1]OUT_FinalEnergyCons!$A$4:$A$10000)))*1,[1]OUT_FinalEnergyCons!L$4:L$10000)</f>
        <v>0.169646421772122</v>
      </c>
      <c r="O2298" s="1" cm="1">
        <f t="array" ref="O2298">SUMPRODUCT(([1]OUT_FinalEnergyCons!$B$4:$B$10000="var_ncap")*1, (ISNUMBER(SEARCH("SCOM-SHELCHP",[1]OUT_FinalEnergyCons!$A$4:$A$10000)))*1,[1]OUT_FinalEnergyCons!M$4:M$10000)</f>
        <v>9.4246869099608305E-2</v>
      </c>
      <c r="P2298" s="1" cm="1">
        <f t="array" ref="P2298">SUMPRODUCT(([1]OUT_FinalEnergyCons!$B$4:$B$10000="var_ncap")*1, (ISNUMBER(SEARCH("SCOM-SHELCHP",[1]OUT_FinalEnergyCons!$A$4:$A$10000)))*1,[1]OUT_FinalEnergyCons!N$4:N$10000)</f>
        <v>0.39857159478981502</v>
      </c>
      <c r="Q2298" s="1" cm="1">
        <f t="array" ref="Q2298">SUMPRODUCT(([1]OUT_FinalEnergyCons!$B$4:$B$10000="var_ncap")*1, (ISNUMBER(SEARCH("SCOM-SHELCHP",[1]OUT_FinalEnergyCons!$A$4:$A$10000)))*1,[1]OUT_FinalEnergyCons!O$4:O$10000)</f>
        <v>0.228049060465223</v>
      </c>
      <c r="S2298" s="3"/>
    </row>
    <row r="2299" spans="2:19" x14ac:dyDescent="0.5">
      <c r="B2299" s="5" t="str">
        <f t="shared" si="2305"/>
        <v>SPS1</v>
      </c>
      <c r="C2299" s="5" t="str">
        <f t="shared" si="2306"/>
        <v>CH</v>
      </c>
      <c r="D2299" t="s">
        <v>2433</v>
      </c>
      <c r="E2299" t="str">
        <f t="shared" si="2286"/>
        <v>GWth/yr.</v>
      </c>
      <c r="F2299" s="1">
        <f t="shared" ref="F2299:O2299" si="2309">F2300</f>
        <v>8.04891080929577E-7</v>
      </c>
      <c r="G2299" s="1">
        <f t="shared" si="2309"/>
        <v>7.3224603469887002E-7</v>
      </c>
      <c r="H2299" s="1">
        <f t="shared" si="2309"/>
        <v>1.0019532296312801E-6</v>
      </c>
      <c r="I2299" s="1">
        <f t="shared" si="2309"/>
        <v>1.0066824568834E-6</v>
      </c>
      <c r="J2299" s="1">
        <f t="shared" si="2309"/>
        <v>0.60924888134229904</v>
      </c>
      <c r="K2299" s="1">
        <f t="shared" si="2309"/>
        <v>0.33372159269360802</v>
      </c>
      <c r="L2299" s="1">
        <f t="shared" si="2309"/>
        <v>2.4766084136706498E-6</v>
      </c>
      <c r="M2299" s="1">
        <f t="shared" si="2309"/>
        <v>0.336950550609104</v>
      </c>
      <c r="N2299" s="1">
        <f t="shared" si="2309"/>
        <v>0.17206891674713501</v>
      </c>
      <c r="O2299" s="1">
        <f t="shared" si="2309"/>
        <v>1.47177893127161E-5</v>
      </c>
      <c r="P2299" s="1">
        <f>P2300</f>
        <v>9.3808509806899198E-2</v>
      </c>
      <c r="Q2299" s="1">
        <f>Q2300</f>
        <v>8.01571795362759E-5</v>
      </c>
      <c r="S2299" s="3"/>
    </row>
    <row r="2300" spans="2:19" x14ac:dyDescent="0.5">
      <c r="B2300" s="5" t="str">
        <f t="shared" si="2305"/>
        <v>SPS1</v>
      </c>
      <c r="C2300" s="5" t="str">
        <f t="shared" si="2306"/>
        <v>CH</v>
      </c>
      <c r="D2300" t="s">
        <v>2434</v>
      </c>
      <c r="E2300" t="str">
        <f t="shared" ref="E2300:E2312" si="2310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8.04891080929577E-7</v>
      </c>
      <c r="G2300" s="1" cm="1">
        <f t="array" ref="G2300">SUMPRODUCT(([1]OUT_FinalEnergyCons!$B$4:$B$10000="var_ncap")*1,(ISNUMBER(SEARCH("SCOM-SHLFOBR",[1]OUT_FinalEnergyCons!$A$4:$A$10000)))*1,[1]OUT_FinalEnergyCons!E$4:E$10000)</f>
        <v>7.3224603469887002E-7</v>
      </c>
      <c r="H2300" s="1" cm="1">
        <f t="array" ref="H2300">SUMPRODUCT(([1]OUT_FinalEnergyCons!$B$4:$B$10000="var_ncap")*1,(ISNUMBER(SEARCH("SCOM-SHLFOBR",[1]OUT_FinalEnergyCons!$A$4:$A$10000)))*1,[1]OUT_FinalEnergyCons!F$4:F$10000)</f>
        <v>1.0019532296312801E-6</v>
      </c>
      <c r="I2300" s="1" cm="1">
        <f t="array" ref="I2300">SUMPRODUCT(([1]OUT_FinalEnergyCons!$B$4:$B$10000="var_ncap")*1,(ISNUMBER(SEARCH("SCOM-SHLFOBR",[1]OUT_FinalEnergyCons!$A$4:$A$10000)))*1,[1]OUT_FinalEnergyCons!G$4:G$10000)</f>
        <v>1.0066824568834E-6</v>
      </c>
      <c r="J2300" s="1" cm="1">
        <f t="array" ref="J2300">SUMPRODUCT(([1]OUT_FinalEnergyCons!$B$4:$B$10000="var_ncap")*1,(ISNUMBER(SEARCH("SCOM-SHLFOBR",[1]OUT_FinalEnergyCons!$A$4:$A$10000)))*1,[1]OUT_FinalEnergyCons!H$4:H$10000)</f>
        <v>0.60924888134229904</v>
      </c>
      <c r="K2300" s="1" cm="1">
        <f t="array" ref="K2300">SUMPRODUCT(([1]OUT_FinalEnergyCons!$B$4:$B$10000="var_ncap")*1,(ISNUMBER(SEARCH("SCOM-SHLFOBR",[1]OUT_FinalEnergyCons!$A$4:$A$10000)))*1,[1]OUT_FinalEnergyCons!I$4:I$10000)</f>
        <v>0.33372159269360802</v>
      </c>
      <c r="L2300" s="1" cm="1">
        <f t="array" ref="L2300">SUMPRODUCT(([1]OUT_FinalEnergyCons!$B$4:$B$10000="var_ncap")*1,(ISNUMBER(SEARCH("SCOM-SHLFOBR",[1]OUT_FinalEnergyCons!$A$4:$A$10000)))*1,[1]OUT_FinalEnergyCons!J$4:J$10000)</f>
        <v>2.4766084136706498E-6</v>
      </c>
      <c r="M2300" s="1" cm="1">
        <f t="array" ref="M2300">SUMPRODUCT(([1]OUT_FinalEnergyCons!$B$4:$B$10000="var_ncap")*1,(ISNUMBER(SEARCH("SCOM-SHLFOBR",[1]OUT_FinalEnergyCons!$A$4:$A$10000)))*1,[1]OUT_FinalEnergyCons!K$4:K$10000)</f>
        <v>0.336950550609104</v>
      </c>
      <c r="N2300" s="1" cm="1">
        <f t="array" ref="N2300">SUMPRODUCT(([1]OUT_FinalEnergyCons!$B$4:$B$10000="var_ncap")*1,(ISNUMBER(SEARCH("SCOM-SHLFOBR",[1]OUT_FinalEnergyCons!$A$4:$A$10000)))*1,[1]OUT_FinalEnergyCons!L$4:L$10000)</f>
        <v>0.17206891674713501</v>
      </c>
      <c r="O2300" s="1" cm="1">
        <f t="array" ref="O2300">SUMPRODUCT(([1]OUT_FinalEnergyCons!$B$4:$B$10000="var_ncap")*1,(ISNUMBER(SEARCH("SCOM-SHLFOBR",[1]OUT_FinalEnergyCons!$A$4:$A$10000)))*1,[1]OUT_FinalEnergyCons!M$4:M$10000)</f>
        <v>1.47177893127161E-5</v>
      </c>
      <c r="P2300" s="1" cm="1">
        <f t="array" ref="P2300">SUMPRODUCT(([1]OUT_FinalEnergyCons!$B$4:$B$10000="var_ncap")*1,(ISNUMBER(SEARCH("SCOM-SHLFOBR",[1]OUT_FinalEnergyCons!$A$4:$A$10000)))*1,[1]OUT_FinalEnergyCons!N$4:N$10000)</f>
        <v>9.3808509806899198E-2</v>
      </c>
      <c r="Q2300" s="1" cm="1">
        <f t="array" ref="Q2300">SUMPRODUCT(([1]OUT_FinalEnergyCons!$B$4:$B$10000="var_ncap")*1,(ISNUMBER(SEARCH("SCOM-SHLFOBR",[1]OUT_FinalEnergyCons!$A$4:$A$10000)))*1,[1]OUT_FinalEnergyCons!O$4:O$10000)</f>
        <v>8.01571795362759E-5</v>
      </c>
      <c r="S2300" s="3"/>
    </row>
    <row r="2301" spans="2:19" x14ac:dyDescent="0.5">
      <c r="B2301" s="5" t="str">
        <f t="shared" si="2305"/>
        <v>SPS1</v>
      </c>
      <c r="C2301" s="5" t="str">
        <f t="shared" si="2306"/>
        <v>CH</v>
      </c>
      <c r="D2301" t="s">
        <v>2435</v>
      </c>
      <c r="E2301" t="str">
        <f t="shared" si="2310"/>
        <v>GWth/yr.</v>
      </c>
      <c r="F2301" s="1">
        <f t="shared" ref="F2301:K2301" si="2311">SUM(F2302:F2304)</f>
        <v>3.2855075272130788E-6</v>
      </c>
      <c r="G2301" s="1">
        <f t="shared" si="2311"/>
        <v>2.7203632183403239E-5</v>
      </c>
      <c r="H2301" s="1">
        <f t="shared" si="2311"/>
        <v>4.5074668944296665E-3</v>
      </c>
      <c r="I2301" s="1">
        <f t="shared" si="2311"/>
        <v>1.4449463441061511E-5</v>
      </c>
      <c r="J2301" s="1">
        <f t="shared" si="2311"/>
        <v>1.4293142585092353</v>
      </c>
      <c r="K2301" s="1">
        <f t="shared" si="2311"/>
        <v>0.76355793495914859</v>
      </c>
      <c r="L2301" s="1">
        <f t="shared" ref="L2301:O2301" si="2312">SUM(L2302:L2304)</f>
        <v>1.1762743924147467E-3</v>
      </c>
      <c r="M2301" s="1">
        <f t="shared" si="2312"/>
        <v>1.271834371557935</v>
      </c>
      <c r="N2301" s="1">
        <f t="shared" si="2312"/>
        <v>0.650224090161859</v>
      </c>
      <c r="O2301" s="1">
        <f t="shared" si="2312"/>
        <v>2.5772816250263769E-2</v>
      </c>
      <c r="P2301" s="1">
        <f>SUM(P2302:P2304)</f>
        <v>1.3455234944937935</v>
      </c>
      <c r="Q2301" s="1">
        <f>SUM(Q2302:Q2304)</f>
        <v>0.62562433053035438</v>
      </c>
      <c r="S2301" s="3"/>
    </row>
    <row r="2302" spans="2:19" x14ac:dyDescent="0.5">
      <c r="B2302" s="5" t="str">
        <f t="shared" si="2305"/>
        <v>SPS1</v>
      </c>
      <c r="C2302" s="5" t="str">
        <f t="shared" si="2306"/>
        <v>CH</v>
      </c>
      <c r="D2302" t="s">
        <v>2436</v>
      </c>
      <c r="E2302" t="str">
        <f t="shared" si="2310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1.7005712232473699E-7</v>
      </c>
      <c r="G2302" s="1" cm="1">
        <f t="array" ref="G2302">SUMPRODUCT(([1]OUT_FinalEnergyCons!$B$4:$B$10000="var_ncap")*1, (ISNUMBER(SEARCH("SCOM-SHNGABR",[1]OUT_FinalEnergyCons!$A$4:$A$10000)))*1,[1]OUT_FinalEnergyCons!E$4:E$10000)</f>
        <v>1.08694409273694E-6</v>
      </c>
      <c r="H2302" s="1" cm="1">
        <f t="array" ref="H2302">SUMPRODUCT(([1]OUT_FinalEnergyCons!$B$4:$B$10000="var_ncap")*1, (ISNUMBER(SEARCH("SCOM-SHNGABR",[1]OUT_FinalEnergyCons!$A$4:$A$10000)))*1,[1]OUT_FinalEnergyCons!F$4:F$10000)</f>
        <v>8.7710477477508395E-7</v>
      </c>
      <c r="I2302" s="1" cm="1">
        <f t="array" ref="I2302">SUMPRODUCT(([1]OUT_FinalEnergyCons!$B$4:$B$10000="var_ncap")*1, (ISNUMBER(SEARCH("SCOM-SHNGABR",[1]OUT_FinalEnergyCons!$A$4:$A$10000)))*1,[1]OUT_FinalEnergyCons!G$4:G$10000)</f>
        <v>2.5361657017791102E-6</v>
      </c>
      <c r="J2302" s="1" cm="1">
        <f t="array" ref="J2302">SUMPRODUCT(([1]OUT_FinalEnergyCons!$B$4:$B$10000="var_ncap")*1, (ISNUMBER(SEARCH("SCOM-SHNGABR",[1]OUT_FinalEnergyCons!$A$4:$A$10000)))*1,[1]OUT_FinalEnergyCons!H$4:H$10000)</f>
        <v>1.32480717222174</v>
      </c>
      <c r="K2302" s="1" cm="1">
        <f t="array" ref="K2302">SUMPRODUCT(([1]OUT_FinalEnergyCons!$B$4:$B$10000="var_ncap")*1, (ISNUMBER(SEARCH("SCOM-SHNGABR",[1]OUT_FinalEnergyCons!$A$4:$A$10000)))*1,[1]OUT_FinalEnergyCons!I$4:I$10000)</f>
        <v>0.726515336130101</v>
      </c>
      <c r="L2302" s="1" cm="1">
        <f t="array" ref="L2302">SUMPRODUCT(([1]OUT_FinalEnergyCons!$B$4:$B$10000="var_ncap")*1, (ISNUMBER(SEARCH("SCOM-SHNGABR",[1]OUT_FinalEnergyCons!$A$4:$A$10000)))*1,[1]OUT_FinalEnergyCons!J$4:J$10000)</f>
        <v>5.4458781501364201E-6</v>
      </c>
      <c r="M2302" s="1" cm="1">
        <f t="array" ref="M2302">SUMPRODUCT(([1]OUT_FinalEnergyCons!$B$4:$B$10000="var_ncap")*1, (ISNUMBER(SEARCH("SCOM-SHNGABR",[1]OUT_FinalEnergyCons!$A$4:$A$10000)))*1,[1]OUT_FinalEnergyCons!K$4:K$10000)</f>
        <v>1.1209685140694801</v>
      </c>
      <c r="N2302" s="1" cm="1">
        <f t="array" ref="N2302">SUMPRODUCT(([1]OUT_FinalEnergyCons!$B$4:$B$10000="var_ncap")*1, (ISNUMBER(SEARCH("SCOM-SHNGABR",[1]OUT_FinalEnergyCons!$A$4:$A$10000)))*1,[1]OUT_FinalEnergyCons!L$4:L$10000)</f>
        <v>0.62630514855629604</v>
      </c>
      <c r="O2302" s="1" cm="1">
        <f t="array" ref="O2302">SUMPRODUCT(([1]OUT_FinalEnergyCons!$B$4:$B$10000="var_ncap")*1, (ISNUMBER(SEARCH("SCOM-SHNGABR",[1]OUT_FinalEnergyCons!$A$4:$A$10000)))*1,[1]OUT_FinalEnergyCons!M$4:M$10000)</f>
        <v>2.02203022325998E-2</v>
      </c>
      <c r="P2302" s="1" cm="1">
        <f t="array" ref="P2302">SUMPRODUCT(([1]OUT_FinalEnergyCons!$B$4:$B$10000="var_ncap")*1, (ISNUMBER(SEARCH("SCOM-SHNGABR",[1]OUT_FinalEnergyCons!$A$4:$A$10000)))*1,[1]OUT_FinalEnergyCons!N$4:N$10000)</f>
        <v>1.1288902924336299</v>
      </c>
      <c r="Q2302" s="1" cm="1">
        <f t="array" ref="Q2302">SUMPRODUCT(([1]OUT_FinalEnergyCons!$B$4:$B$10000="var_ncap")*1, (ISNUMBER(SEARCH("SCOM-SHNGABR",[1]OUT_FinalEnergyCons!$A$4:$A$10000)))*1,[1]OUT_FinalEnergyCons!O$4:O$10000)</f>
        <v>0.550388423833027</v>
      </c>
      <c r="S2302" s="3"/>
    </row>
    <row r="2303" spans="2:19" x14ac:dyDescent="0.5">
      <c r="B2303" s="5" t="str">
        <f t="shared" si="2305"/>
        <v>SPS1</v>
      </c>
      <c r="C2303" s="5" t="str">
        <f t="shared" si="2306"/>
        <v>CH</v>
      </c>
      <c r="D2303" t="s">
        <v>2437</v>
      </c>
      <c r="E2303" t="str">
        <f t="shared" si="2310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3.93193975698172E-7</v>
      </c>
      <c r="G2303" s="1" cm="1">
        <f t="array" ref="G2303">SUMPRODUCT(([1]OUT_FinalEnergyCons!$B$4:$B$10000="var_ncap")*1, (ISNUMBER(SEARCH("SCOM-SHngahp",[1]OUT_FinalEnergyCons!$A$4:$A$10000)))*1,[1]OUT_FinalEnergyCons!E$4:E$10000)</f>
        <v>1.43007143950039E-5</v>
      </c>
      <c r="H2303" s="1" cm="1">
        <f t="array" ref="H2303">SUMPRODUCT(([1]OUT_FinalEnergyCons!$B$4:$B$10000="var_ncap")*1, (ISNUMBER(SEARCH("SCOM-SHngahp",[1]OUT_FinalEnergyCons!$A$4:$A$10000)))*1,[1]OUT_FinalEnergyCons!F$4:F$10000)</f>
        <v>1.47645923915602E-4</v>
      </c>
      <c r="I2303" s="1" cm="1">
        <f t="array" ref="I2303">SUMPRODUCT(([1]OUT_FinalEnergyCons!$B$4:$B$10000="var_ncap")*1, (ISNUMBER(SEARCH("SCOM-SHngahp",[1]OUT_FinalEnergyCons!$A$4:$A$10000)))*1,[1]OUT_FinalEnergyCons!G$4:G$10000)</f>
        <v>1.5733966537878E-6</v>
      </c>
      <c r="J2303" s="1" cm="1">
        <f t="array" ref="J2303">SUMPRODUCT(([1]OUT_FinalEnergyCons!$B$4:$B$10000="var_ncap")*1, (ISNUMBER(SEARCH("SCOM-SHngahp",[1]OUT_FinalEnergyCons!$A$4:$A$10000)))*1,[1]OUT_FinalEnergyCons!H$4:H$10000)</f>
        <v>5.3367060505835398E-4</v>
      </c>
      <c r="K2303" s="1" cm="1">
        <f t="array" ref="K2303">SUMPRODUCT(([1]OUT_FinalEnergyCons!$B$4:$B$10000="var_ncap")*1, (ISNUMBER(SEARCH("SCOM-SHngahp",[1]OUT_FinalEnergyCons!$A$4:$A$10000)))*1,[1]OUT_FinalEnergyCons!I$4:I$10000)</f>
        <v>5.0710933182480803E-4</v>
      </c>
      <c r="L2303" s="1" cm="1">
        <f t="array" ref="L2303">SUMPRODUCT(([1]OUT_FinalEnergyCons!$B$4:$B$10000="var_ncap")*1, (ISNUMBER(SEARCH("SCOM-SHngahp",[1]OUT_FinalEnergyCons!$A$4:$A$10000)))*1,[1]OUT_FinalEnergyCons!J$4:J$10000)</f>
        <v>1.16536939520726E-3</v>
      </c>
      <c r="M2303" s="1" cm="1">
        <f t="array" ref="M2303">SUMPRODUCT(([1]OUT_FinalEnergyCons!$B$4:$B$10000="var_ncap")*1, (ISNUMBER(SEARCH("SCOM-SHngahp",[1]OUT_FinalEnergyCons!$A$4:$A$10000)))*1,[1]OUT_FinalEnergyCons!K$4:K$10000)</f>
        <v>1.6446224008286999E-4</v>
      </c>
      <c r="N2303" s="1" cm="1">
        <f t="array" ref="N2303">SUMPRODUCT(([1]OUT_FinalEnergyCons!$B$4:$B$10000="var_ncap")*1, (ISNUMBER(SEARCH("SCOM-SHngahp",[1]OUT_FinalEnergyCons!$A$4:$A$10000)))*1,[1]OUT_FinalEnergyCons!L$4:L$10000)</f>
        <v>6.0756820147637899E-5</v>
      </c>
      <c r="O2303" s="1" cm="1">
        <f t="array" ref="O2303">SUMPRODUCT(([1]OUT_FinalEnergyCons!$B$4:$B$10000="var_ncap")*1, (ISNUMBER(SEARCH("SCOM-SHngahp",[1]OUT_FinalEnergyCons!$A$4:$A$10000)))*1,[1]OUT_FinalEnergyCons!M$4:M$10000)</f>
        <v>4.3023355875799396E-3</v>
      </c>
      <c r="P2303" s="1" cm="1">
        <f t="array" ref="P2303">SUMPRODUCT(([1]OUT_FinalEnergyCons!$B$4:$B$10000="var_ncap")*1, (ISNUMBER(SEARCH("SCOM-SHngahp",[1]OUT_FinalEnergyCons!$A$4:$A$10000)))*1,[1]OUT_FinalEnergyCons!N$4:N$10000)</f>
        <v>4.6423889069646597E-5</v>
      </c>
      <c r="Q2303" s="1" cm="1">
        <f t="array" ref="Q2303">SUMPRODUCT(([1]OUT_FinalEnergyCons!$B$4:$B$10000="var_ncap")*1, (ISNUMBER(SEARCH("SCOM-SHngahp",[1]OUT_FinalEnergyCons!$A$4:$A$10000)))*1,[1]OUT_FinalEnergyCons!O$4:O$10000)</f>
        <v>3.9462638460561802E-3</v>
      </c>
      <c r="S2303" s="3"/>
    </row>
    <row r="2304" spans="2:19" x14ac:dyDescent="0.5">
      <c r="B2304" s="5" t="str">
        <f t="shared" si="2305"/>
        <v>SPS1</v>
      </c>
      <c r="C2304" s="5" t="str">
        <f t="shared" si="2306"/>
        <v>CH</v>
      </c>
      <c r="D2304" t="s">
        <v>2438</v>
      </c>
      <c r="E2304" t="str">
        <f t="shared" si="2310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2.7222564291901699E-6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1.1815973695662399E-5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4.3589438657392898E-3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1.03399010854946E-5</v>
      </c>
      <c r="J2304" s="1" cm="1">
        <f t="array" ref="J2304">SUMPRODUCT(([1]OUT_FinalEnergyCons!$B$4:$B$10000="var_ncap")*1, (("SCOM-SHBIOBR"=[1]OUT_FinalEnergyCons!$A$4:$A$10000)*1+("SCOM-SHBNGABR"=[1]OUT_FinalEnergyCons!$A$4:$A$10000)*1),[1]OUT_FinalEnergyCons!H$4:H$10000)</f>
        <v>0.103973415682437</v>
      </c>
      <c r="K2304" s="1" cm="1">
        <f t="array" ref="K2304">SUMPRODUCT(([1]OUT_FinalEnergyCons!$B$4:$B$10000="var_ncap")*1, (("SCOM-SHBIOBR"=[1]OUT_FinalEnergyCons!$A$4:$A$10000)*1+("SCOM-SHBNGABR"=[1]OUT_FinalEnergyCons!$A$4:$A$10000)*1),[1]OUT_FinalEnergyCons!I$4:I$10000)</f>
        <v>3.6535489497222698E-2</v>
      </c>
      <c r="L2304" s="1" cm="1">
        <f t="array" ref="L2304">SUMPRODUCT(([1]OUT_FinalEnergyCons!$B$4:$B$10000="var_ncap")*1, (("SCOM-SHBIOBR"=[1]OUT_FinalEnergyCons!$A$4:$A$10000)*1+("SCOM-SHBNGABR"=[1]OUT_FinalEnergyCons!$A$4:$A$10000)*1),[1]OUT_FinalEnergyCons!J$4:J$10000)</f>
        <v>5.4591190573504099E-6</v>
      </c>
      <c r="M2304" s="1" cm="1">
        <f t="array" ref="M2304">SUMPRODUCT(([1]OUT_FinalEnergyCons!$B$4:$B$10000="var_ncap")*1, (("SCOM-SHBIOBR"=[1]OUT_FinalEnergyCons!$A$4:$A$10000)*1+("SCOM-SHBNGABR"=[1]OUT_FinalEnergyCons!$A$4:$A$10000)*1),[1]OUT_FinalEnergyCons!K$4:K$10000)</f>
        <v>0.15070139524837201</v>
      </c>
      <c r="N2304" s="1" cm="1">
        <f t="array" ref="N2304">SUMPRODUCT(([1]OUT_FinalEnergyCons!$B$4:$B$10000="var_ncap")*1, (("SCOM-SHBIOBR"=[1]OUT_FinalEnergyCons!$A$4:$A$10000)*1+("SCOM-SHBNGABR"=[1]OUT_FinalEnergyCons!$A$4:$A$10000)*1),[1]OUT_FinalEnergyCons!L$4:L$10000)</f>
        <v>2.38581847854153E-2</v>
      </c>
      <c r="O2304" s="1" cm="1">
        <f t="array" ref="O2304">SUMPRODUCT(([1]OUT_FinalEnergyCons!$B$4:$B$10000="var_ncap")*1, (("SCOM-SHBIOBR"=[1]OUT_FinalEnergyCons!$A$4:$A$10000)*1+("SCOM-SHBNGABR"=[1]OUT_FinalEnergyCons!$A$4:$A$10000)*1),[1]OUT_FinalEnergyCons!M$4:M$10000)</f>
        <v>1.25017843008403E-3</v>
      </c>
      <c r="P2304" s="1" cm="1">
        <f t="array" ref="P2304">SUMPRODUCT(([1]OUT_FinalEnergyCons!$B$4:$B$10000="var_ncap")*1, (("SCOM-SHBIOBR"=[1]OUT_FinalEnergyCons!$A$4:$A$10000)*1+("SCOM-SHBNGABR"=[1]OUT_FinalEnergyCons!$A$4:$A$10000)*1),[1]OUT_FinalEnergyCons!N$4:N$10000)</f>
        <v>0.21658677817109401</v>
      </c>
      <c r="Q2304" s="1" cm="1">
        <f t="array" ref="Q2304">SUMPRODUCT(([1]OUT_FinalEnergyCons!$B$4:$B$10000="var_ncap")*1, (("SCOM-SHBIOBR"=[1]OUT_FinalEnergyCons!$A$4:$A$10000)*1+("SCOM-SHBNGABR"=[1]OUT_FinalEnergyCons!$A$4:$A$10000)*1),[1]OUT_FinalEnergyCons!O$4:O$10000)</f>
        <v>7.1289642851271096E-2</v>
      </c>
      <c r="S2304" s="3"/>
    </row>
    <row r="2305" spans="2:19" x14ac:dyDescent="0.5">
      <c r="B2305" s="5" t="str">
        <f t="shared" si="2305"/>
        <v>SPS1</v>
      </c>
      <c r="C2305" s="5" t="str">
        <f t="shared" si="2306"/>
        <v>CH</v>
      </c>
      <c r="D2305" t="s">
        <v>2439</v>
      </c>
      <c r="E2305" t="str">
        <f t="shared" si="2310"/>
        <v>GWth/yr.</v>
      </c>
      <c r="F2305" s="1">
        <f t="shared" ref="F2305:O2305" si="2313">F2306</f>
        <v>9.2795328785153805E-6</v>
      </c>
      <c r="G2305" s="1">
        <f t="shared" si="2313"/>
        <v>4.2027012257271103E-2</v>
      </c>
      <c r="H2305" s="1">
        <f t="shared" si="2313"/>
        <v>1.2472648261263E-6</v>
      </c>
      <c r="I2305" s="1">
        <f t="shared" si="2313"/>
        <v>4.8626885293431901E-6</v>
      </c>
      <c r="J2305" s="1">
        <f t="shared" si="2313"/>
        <v>0.14231096592811701</v>
      </c>
      <c r="K2305" s="1">
        <f t="shared" si="2313"/>
        <v>3.6797580238364297E-2</v>
      </c>
      <c r="L2305" s="1">
        <f t="shared" si="2313"/>
        <v>8.4892049760895502E-7</v>
      </c>
      <c r="M2305" s="1">
        <f t="shared" si="2313"/>
        <v>1.8535439867112899E-5</v>
      </c>
      <c r="N2305" s="1">
        <f t="shared" si="2313"/>
        <v>2.9174276950744E-2</v>
      </c>
      <c r="O2305" s="1">
        <f t="shared" si="2313"/>
        <v>4.87208415357533E-3</v>
      </c>
      <c r="P2305" s="1">
        <f>P2306</f>
        <v>8.5733926467414304E-3</v>
      </c>
      <c r="Q2305" s="1">
        <f>Q2306</f>
        <v>1.86902252998822E-2</v>
      </c>
      <c r="S2305" s="3"/>
    </row>
    <row r="2306" spans="2:19" x14ac:dyDescent="0.5">
      <c r="B2306" s="5" t="str">
        <f t="shared" si="2305"/>
        <v>SPS1</v>
      </c>
      <c r="C2306" s="5" t="str">
        <f t="shared" si="2306"/>
        <v>CH</v>
      </c>
      <c r="D2306" t="s">
        <v>2440</v>
      </c>
      <c r="E2306" t="str">
        <f t="shared" si="2310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9.2795328785153805E-6</v>
      </c>
      <c r="G2306" s="1" cm="1">
        <f t="array" ref="G2306">SUMPRODUCT(([1]OUT_FinalEnergyCons!$B$4:$B$10000="var_ncap")*1, (ISNUMBER(SEARCH("SCOM-SHWODBR",[1]OUT_FinalEnergyCons!$A$4:$A$10000)))*1,[1]OUT_FinalEnergyCons!E$4:E$10000)</f>
        <v>4.2027012257271103E-2</v>
      </c>
      <c r="H2306" s="1" cm="1">
        <f t="array" ref="H2306">SUMPRODUCT(([1]OUT_FinalEnergyCons!$B$4:$B$10000="var_ncap")*1, (ISNUMBER(SEARCH("SCOM-SHWODBR",[1]OUT_FinalEnergyCons!$A$4:$A$10000)))*1,[1]OUT_FinalEnergyCons!F$4:F$10000)</f>
        <v>1.2472648261263E-6</v>
      </c>
      <c r="I2306" s="1" cm="1">
        <f t="array" ref="I2306">SUMPRODUCT(([1]OUT_FinalEnergyCons!$B$4:$B$10000="var_ncap")*1, (ISNUMBER(SEARCH("SCOM-SHWODBR",[1]OUT_FinalEnergyCons!$A$4:$A$10000)))*1,[1]OUT_FinalEnergyCons!G$4:G$10000)</f>
        <v>4.8626885293431901E-6</v>
      </c>
      <c r="J2306" s="1" cm="1">
        <f t="array" ref="J2306">SUMPRODUCT(([1]OUT_FinalEnergyCons!$B$4:$B$10000="var_ncap")*1, (ISNUMBER(SEARCH("SCOM-SHWODBR",[1]OUT_FinalEnergyCons!$A$4:$A$10000)))*1,[1]OUT_FinalEnergyCons!H$4:H$10000)</f>
        <v>0.14231096592811701</v>
      </c>
      <c r="K2306" s="1" cm="1">
        <f t="array" ref="K2306">SUMPRODUCT(([1]OUT_FinalEnergyCons!$B$4:$B$10000="var_ncap")*1, (ISNUMBER(SEARCH("SCOM-SHWODBR",[1]OUT_FinalEnergyCons!$A$4:$A$10000)))*1,[1]OUT_FinalEnergyCons!I$4:I$10000)</f>
        <v>3.6797580238364297E-2</v>
      </c>
      <c r="L2306" s="1" cm="1">
        <f t="array" ref="L2306">SUMPRODUCT(([1]OUT_FinalEnergyCons!$B$4:$B$10000="var_ncap")*1, (ISNUMBER(SEARCH("SCOM-SHWODBR",[1]OUT_FinalEnergyCons!$A$4:$A$10000)))*1,[1]OUT_FinalEnergyCons!J$4:J$10000)</f>
        <v>8.4892049760895502E-7</v>
      </c>
      <c r="M2306" s="1" cm="1">
        <f t="array" ref="M2306">SUMPRODUCT(([1]OUT_FinalEnergyCons!$B$4:$B$10000="var_ncap")*1, (ISNUMBER(SEARCH("SCOM-SHWODBR",[1]OUT_FinalEnergyCons!$A$4:$A$10000)))*1,[1]OUT_FinalEnergyCons!K$4:K$10000)</f>
        <v>1.8535439867112899E-5</v>
      </c>
      <c r="N2306" s="1" cm="1">
        <f t="array" ref="N2306">SUMPRODUCT(([1]OUT_FinalEnergyCons!$B$4:$B$10000="var_ncap")*1, (ISNUMBER(SEARCH("SCOM-SHWODBR",[1]OUT_FinalEnergyCons!$A$4:$A$10000)))*1,[1]OUT_FinalEnergyCons!L$4:L$10000)</f>
        <v>2.9174276950744E-2</v>
      </c>
      <c r="O2306" s="1" cm="1">
        <f t="array" ref="O2306">SUMPRODUCT(([1]OUT_FinalEnergyCons!$B$4:$B$10000="var_ncap")*1, (ISNUMBER(SEARCH("SCOM-SHWODBR",[1]OUT_FinalEnergyCons!$A$4:$A$10000)))*1,[1]OUT_FinalEnergyCons!M$4:M$10000)</f>
        <v>4.87208415357533E-3</v>
      </c>
      <c r="P2306" s="1" cm="1">
        <f t="array" ref="P2306">SUMPRODUCT(([1]OUT_FinalEnergyCons!$B$4:$B$10000="var_ncap")*1, (ISNUMBER(SEARCH("SCOM-SHWODBR",[1]OUT_FinalEnergyCons!$A$4:$A$10000)))*1,[1]OUT_FinalEnergyCons!N$4:N$10000)</f>
        <v>8.5733926467414304E-3</v>
      </c>
      <c r="Q2306" s="1" cm="1">
        <f t="array" ref="Q2306">SUMPRODUCT(([1]OUT_FinalEnergyCons!$B$4:$B$10000="var_ncap")*1, (ISNUMBER(SEARCH("SCOM-SHWODBR",[1]OUT_FinalEnergyCons!$A$4:$A$10000)))*1,[1]OUT_FinalEnergyCons!O$4:O$10000)</f>
        <v>1.86902252998822E-2</v>
      </c>
      <c r="S2306" s="3"/>
    </row>
    <row r="2307" spans="2:19" x14ac:dyDescent="0.5">
      <c r="B2307" s="5" t="str">
        <f t="shared" si="2305"/>
        <v>SPS1</v>
      </c>
      <c r="C2307" s="5" t="str">
        <f t="shared" si="2306"/>
        <v>CH</v>
      </c>
      <c r="D2307" t="s">
        <v>2441</v>
      </c>
      <c r="E2307" t="str">
        <f t="shared" si="2310"/>
        <v>GWth/yr.</v>
      </c>
      <c r="F2307" s="1">
        <f t="shared" ref="F2307:O2307" si="2314">F2308</f>
        <v>1.8645956505834399E-6</v>
      </c>
      <c r="G2307" s="1">
        <f t="shared" si="2314"/>
        <v>2.2034898642666001E-2</v>
      </c>
      <c r="H2307" s="1">
        <f t="shared" si="2314"/>
        <v>2.7362202942155499E-6</v>
      </c>
      <c r="I2307" s="1">
        <f t="shared" si="2314"/>
        <v>1.59628129216479E-2</v>
      </c>
      <c r="J2307" s="1">
        <f t="shared" si="2314"/>
        <v>0.135002484221875</v>
      </c>
      <c r="K2307" s="1">
        <f t="shared" si="2314"/>
        <v>7.7400623862161497E-2</v>
      </c>
      <c r="L2307" s="1">
        <f t="shared" si="2314"/>
        <v>2.4110101947409198E-6</v>
      </c>
      <c r="M2307" s="1">
        <f t="shared" si="2314"/>
        <v>0.14182617654844701</v>
      </c>
      <c r="N2307" s="1">
        <f t="shared" si="2314"/>
        <v>6.09576644711382E-2</v>
      </c>
      <c r="O2307" s="1">
        <f t="shared" si="2314"/>
        <v>4.2452892050041198E-3</v>
      </c>
      <c r="P2307" s="1">
        <f>P2308</f>
        <v>0.13486501041243101</v>
      </c>
      <c r="Q2307" s="1">
        <f>Q2308</f>
        <v>5.7830321133276102E-2</v>
      </c>
      <c r="S2307" s="3"/>
    </row>
    <row r="2308" spans="2:19" x14ac:dyDescent="0.5">
      <c r="B2308" s="5" t="str">
        <f t="shared" si="2305"/>
        <v>SPS1</v>
      </c>
      <c r="C2308" s="5" t="str">
        <f t="shared" si="2306"/>
        <v>CH</v>
      </c>
      <c r="D2308" t="s">
        <v>2442</v>
      </c>
      <c r="E2308" t="str">
        <f t="shared" si="2310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1.8645956505834399E-6</v>
      </c>
      <c r="G2308" s="1" cm="1">
        <f t="array" ref="G2308">SUMPRODUCT(([1]OUT_FinalEnergyCons!$B$4:$B$10000="var_ncap")*1,(ISNUMBER(SEARCH("SCOM-SHPLTBR",[1]OUT_FinalEnergyCons!$A$4:$A$10000)))*1,[1]OUT_FinalEnergyCons!E$4:E$10000)</f>
        <v>2.2034898642666001E-2</v>
      </c>
      <c r="H2308" s="1" cm="1">
        <f t="array" ref="H2308">SUMPRODUCT(([1]OUT_FinalEnergyCons!$B$4:$B$10000="var_ncap")*1,(ISNUMBER(SEARCH("SCOM-SHPLTBR",[1]OUT_FinalEnergyCons!$A$4:$A$10000)))*1,[1]OUT_FinalEnergyCons!F$4:F$10000)</f>
        <v>2.7362202942155499E-6</v>
      </c>
      <c r="I2308" s="1" cm="1">
        <f t="array" ref="I2308">SUMPRODUCT(([1]OUT_FinalEnergyCons!$B$4:$B$10000="var_ncap")*1,(ISNUMBER(SEARCH("SCOM-SHPLTBR",[1]OUT_FinalEnergyCons!$A$4:$A$10000)))*1,[1]OUT_FinalEnergyCons!G$4:G$10000)</f>
        <v>1.59628129216479E-2</v>
      </c>
      <c r="J2308" s="1" cm="1">
        <f t="array" ref="J2308">SUMPRODUCT(([1]OUT_FinalEnergyCons!$B$4:$B$10000="var_ncap")*1,(ISNUMBER(SEARCH("SCOM-SHPLTBR",[1]OUT_FinalEnergyCons!$A$4:$A$10000)))*1,[1]OUT_FinalEnergyCons!H$4:H$10000)</f>
        <v>0.135002484221875</v>
      </c>
      <c r="K2308" s="1" cm="1">
        <f t="array" ref="K2308">SUMPRODUCT(([1]OUT_FinalEnergyCons!$B$4:$B$10000="var_ncap")*1,(ISNUMBER(SEARCH("SCOM-SHPLTBR",[1]OUT_FinalEnergyCons!$A$4:$A$10000)))*1,[1]OUT_FinalEnergyCons!I$4:I$10000)</f>
        <v>7.7400623862161497E-2</v>
      </c>
      <c r="L2308" s="1" cm="1">
        <f t="array" ref="L2308">SUMPRODUCT(([1]OUT_FinalEnergyCons!$B$4:$B$10000="var_ncap")*1,(ISNUMBER(SEARCH("SCOM-SHPLTBR",[1]OUT_FinalEnergyCons!$A$4:$A$10000)))*1,[1]OUT_FinalEnergyCons!J$4:J$10000)</f>
        <v>2.4110101947409198E-6</v>
      </c>
      <c r="M2308" s="1" cm="1">
        <f t="array" ref="M2308">SUMPRODUCT(([1]OUT_FinalEnergyCons!$B$4:$B$10000="var_ncap")*1,(ISNUMBER(SEARCH("SCOM-SHPLTBR",[1]OUT_FinalEnergyCons!$A$4:$A$10000)))*1,[1]OUT_FinalEnergyCons!K$4:K$10000)</f>
        <v>0.14182617654844701</v>
      </c>
      <c r="N2308" s="1" cm="1">
        <f t="array" ref="N2308">SUMPRODUCT(([1]OUT_FinalEnergyCons!$B$4:$B$10000="var_ncap")*1,(ISNUMBER(SEARCH("SCOM-SHPLTBR",[1]OUT_FinalEnergyCons!$A$4:$A$10000)))*1,[1]OUT_FinalEnergyCons!L$4:L$10000)</f>
        <v>6.09576644711382E-2</v>
      </c>
      <c r="O2308" s="1" cm="1">
        <f t="array" ref="O2308">SUMPRODUCT(([1]OUT_FinalEnergyCons!$B$4:$B$10000="var_ncap")*1,(ISNUMBER(SEARCH("SCOM-SHPLTBR",[1]OUT_FinalEnergyCons!$A$4:$A$10000)))*1,[1]OUT_FinalEnergyCons!M$4:M$10000)</f>
        <v>4.2452892050041198E-3</v>
      </c>
      <c r="P2308" s="1" cm="1">
        <f t="array" ref="P2308">SUMPRODUCT(([1]OUT_FinalEnergyCons!$B$4:$B$10000="var_ncap")*1,(ISNUMBER(SEARCH("SCOM-SHPLTBR",[1]OUT_FinalEnergyCons!$A$4:$A$10000)))*1,[1]OUT_FinalEnergyCons!N$4:N$10000)</f>
        <v>0.13486501041243101</v>
      </c>
      <c r="Q2308" s="1" cm="1">
        <f t="array" ref="Q2308">SUMPRODUCT(([1]OUT_FinalEnergyCons!$B$4:$B$10000="var_ncap")*1,(ISNUMBER(SEARCH("SCOM-SHPLTBR",[1]OUT_FinalEnergyCons!$A$4:$A$10000)))*1,[1]OUT_FinalEnergyCons!O$4:O$10000)</f>
        <v>5.7830321133276102E-2</v>
      </c>
      <c r="S2308" s="3"/>
    </row>
    <row r="2309" spans="2:19" x14ac:dyDescent="0.5">
      <c r="B2309" s="5" t="str">
        <f t="shared" si="2305"/>
        <v>SPS1</v>
      </c>
      <c r="C2309" s="5" t="str">
        <f t="shared" si="2306"/>
        <v>CH</v>
      </c>
      <c r="D2309" t="s">
        <v>2443</v>
      </c>
      <c r="E2309" t="str">
        <f t="shared" si="2310"/>
        <v>GWth/yr.</v>
      </c>
      <c r="F2309" s="1">
        <f t="shared" ref="F2309:O2309" si="2315">F2310</f>
        <v>1.6886889217665101E-5</v>
      </c>
      <c r="G2309" s="1">
        <f t="shared" si="2315"/>
        <v>8.7726784264172408E-3</v>
      </c>
      <c r="H2309" s="1">
        <f t="shared" si="2315"/>
        <v>1.07688463087707E-6</v>
      </c>
      <c r="I2309" s="1">
        <f t="shared" si="2315"/>
        <v>2.6630810132154098E-6</v>
      </c>
      <c r="J2309" s="1">
        <f t="shared" si="2315"/>
        <v>7.1734745491369697E-2</v>
      </c>
      <c r="K2309" s="1">
        <f t="shared" si="2315"/>
        <v>2.8114652782183901E-2</v>
      </c>
      <c r="L2309" s="1">
        <f t="shared" si="2315"/>
        <v>6.6306905514059897E-6</v>
      </c>
      <c r="M2309" s="1">
        <f t="shared" si="2315"/>
        <v>7.1740329384380797E-2</v>
      </c>
      <c r="N2309" s="1">
        <f t="shared" si="2315"/>
        <v>2.3800057807980099E-2</v>
      </c>
      <c r="O2309" s="1">
        <f t="shared" si="2315"/>
        <v>4.3328592323393098E-3</v>
      </c>
      <c r="P2309" s="1">
        <f>P2310</f>
        <v>6.6591658111809601E-2</v>
      </c>
      <c r="Q2309" s="1">
        <f>Q2310</f>
        <v>2.9004443826446701E-2</v>
      </c>
      <c r="S2309" s="3"/>
    </row>
    <row r="2310" spans="2:19" x14ac:dyDescent="0.5">
      <c r="B2310" s="5" t="str">
        <f t="shared" si="2305"/>
        <v>SPS1</v>
      </c>
      <c r="C2310" s="5" t="str">
        <f t="shared" si="2306"/>
        <v>CH</v>
      </c>
      <c r="D2310" t="s">
        <v>2444</v>
      </c>
      <c r="E2310" t="str">
        <f t="shared" si="2310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1.6886889217665101E-5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8.7726784264172408E-3</v>
      </c>
      <c r="H2310" s="1" cm="1">
        <f t="array" ref="H2310">SUMPRODUCT(([1]OUT_FinalEnergyCons!$B$4:$B$10000="var_ncap")*1, (ISNUMBER(SEARCH("SCOM-SHSOLBR",[1]OUT_FinalEnergyCons!$A$4:$A$10000)))*1,[1]OUT_FinalEnergyCons!F$4:F$10000)</f>
        <v>1.07688463087707E-6</v>
      </c>
      <c r="I2310" s="1" cm="1">
        <f t="array" ref="I2310">SUMPRODUCT(([1]OUT_FinalEnergyCons!$B$4:$B$10000="var_ncap")*1, (ISNUMBER(SEARCH("SCOM-SHSOLBR",[1]OUT_FinalEnergyCons!$A$4:$A$10000)))*1,[1]OUT_FinalEnergyCons!G$4:G$10000)</f>
        <v>2.6630810132154098E-6</v>
      </c>
      <c r="J2310" s="1" cm="1">
        <f t="array" ref="J2310">SUMPRODUCT(([1]OUT_FinalEnergyCons!$B$4:$B$10000="var_ncap")*1, (ISNUMBER(SEARCH("SCOM-SHSOLBR",[1]OUT_FinalEnergyCons!$A$4:$A$10000)))*1,[1]OUT_FinalEnergyCons!H$4:H$10000)</f>
        <v>7.1734745491369697E-2</v>
      </c>
      <c r="K2310" s="1" cm="1">
        <f t="array" ref="K2310">SUMPRODUCT(([1]OUT_FinalEnergyCons!$B$4:$B$10000="var_ncap")*1, (ISNUMBER(SEARCH("SCOM-SHSOLBR",[1]OUT_FinalEnergyCons!$A$4:$A$10000)))*1,[1]OUT_FinalEnergyCons!I$4:I$10000)</f>
        <v>2.8114652782183901E-2</v>
      </c>
      <c r="L2310" s="1" cm="1">
        <f t="array" ref="L2310">SUMPRODUCT(([1]OUT_FinalEnergyCons!$B$4:$B$10000="var_ncap")*1, (ISNUMBER(SEARCH("SCOM-SHSOLBR",[1]OUT_FinalEnergyCons!$A$4:$A$10000)))*1,[1]OUT_FinalEnergyCons!J$4:J$10000)</f>
        <v>6.6306905514059897E-6</v>
      </c>
      <c r="M2310" s="1" cm="1">
        <f t="array" ref="M2310">SUMPRODUCT(([1]OUT_FinalEnergyCons!$B$4:$B$10000="var_ncap")*1, (ISNUMBER(SEARCH("SCOM-SHSOLBR",[1]OUT_FinalEnergyCons!$A$4:$A$10000)))*1,[1]OUT_FinalEnergyCons!K$4:K$10000)</f>
        <v>7.1740329384380797E-2</v>
      </c>
      <c r="N2310" s="1" cm="1">
        <f t="array" ref="N2310">SUMPRODUCT(([1]OUT_FinalEnergyCons!$B$4:$B$10000="var_ncap")*1, (ISNUMBER(SEARCH("SCOM-SHSOLBR",[1]OUT_FinalEnergyCons!$A$4:$A$10000)))*1,[1]OUT_FinalEnergyCons!L$4:L$10000)</f>
        <v>2.3800057807980099E-2</v>
      </c>
      <c r="O2310" s="1" cm="1">
        <f t="array" ref="O2310">SUMPRODUCT(([1]OUT_FinalEnergyCons!$B$4:$B$10000="var_ncap")*1, (ISNUMBER(SEARCH("SCOM-SHSOLBR",[1]OUT_FinalEnergyCons!$A$4:$A$10000)))*1,[1]OUT_FinalEnergyCons!M$4:M$10000)</f>
        <v>4.3328592323393098E-3</v>
      </c>
      <c r="P2310" s="1" cm="1">
        <f t="array" ref="P2310">SUMPRODUCT(([1]OUT_FinalEnergyCons!$B$4:$B$10000="var_ncap")*1, (ISNUMBER(SEARCH("SCOM-SHSOLBR",[1]OUT_FinalEnergyCons!$A$4:$A$10000)))*1,[1]OUT_FinalEnergyCons!N$4:N$10000)</f>
        <v>6.6591658111809601E-2</v>
      </c>
      <c r="Q2310" s="1" cm="1">
        <f t="array" ref="Q2310">SUMPRODUCT(([1]OUT_FinalEnergyCons!$B$4:$B$10000="var_ncap")*1, (ISNUMBER(SEARCH("SCOM-SHSOLBR",[1]OUT_FinalEnergyCons!$A$4:$A$10000)))*1,[1]OUT_FinalEnergyCons!O$4:O$10000)</f>
        <v>2.9004443826446701E-2</v>
      </c>
      <c r="S2310" s="3"/>
    </row>
    <row r="2311" spans="2:19" x14ac:dyDescent="0.5">
      <c r="B2311" s="5" t="str">
        <f t="shared" si="2305"/>
        <v>SPS1</v>
      </c>
      <c r="C2311" s="5" t="str">
        <f t="shared" si="2306"/>
        <v>CH</v>
      </c>
      <c r="D2311" t="s">
        <v>2445</v>
      </c>
      <c r="E2311" t="str">
        <f t="shared" si="2310"/>
        <v>GWth/yr.</v>
      </c>
      <c r="F2311" s="1">
        <f t="shared" ref="F2311:O2311" si="2316">F2312</f>
        <v>0</v>
      </c>
      <c r="G2311" s="1">
        <f t="shared" si="2316"/>
        <v>0</v>
      </c>
      <c r="H2311" s="1">
        <f t="shared" si="2316"/>
        <v>0</v>
      </c>
      <c r="I2311" s="1">
        <f t="shared" si="2316"/>
        <v>7.3302661562923797E-5</v>
      </c>
      <c r="J2311" s="1">
        <f t="shared" si="2316"/>
        <v>1.02039090785304E-4</v>
      </c>
      <c r="K2311" s="1">
        <f t="shared" si="2316"/>
        <v>9.3289888770518804E-5</v>
      </c>
      <c r="L2311" s="1">
        <f t="shared" si="2316"/>
        <v>7.2612564449546097E-6</v>
      </c>
      <c r="M2311" s="1">
        <f t="shared" si="2316"/>
        <v>7.4623836462307303E-4</v>
      </c>
      <c r="N2311" s="1">
        <f t="shared" si="2316"/>
        <v>9.3477263342216705E-6</v>
      </c>
      <c r="O2311" s="1">
        <f t="shared" si="2316"/>
        <v>7.9342241612790493E-3</v>
      </c>
      <c r="P2311" s="1">
        <f>P2312</f>
        <v>5.3441458502852196E-3</v>
      </c>
      <c r="Q2311" s="1">
        <f>Q2312</f>
        <v>1.0322671387876801E-4</v>
      </c>
      <c r="S2311" s="3"/>
    </row>
    <row r="2312" spans="2:19" x14ac:dyDescent="0.5">
      <c r="B2312" s="5" t="str">
        <f t="shared" si="2305"/>
        <v>SPS1</v>
      </c>
      <c r="C2312" s="5" t="str">
        <f t="shared" si="2306"/>
        <v>CH</v>
      </c>
      <c r="D2312" t="s">
        <v>2446</v>
      </c>
      <c r="E2312" t="str">
        <f t="shared" si="2310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7.3302661562923797E-5</v>
      </c>
      <c r="J2312" s="1" cm="1">
        <f t="array" ref="J2312">SUMPRODUCT(([1]OUT_FinalEnergyCons!$B$4:$B$10000="var_ncap")*1, (ISNUMBER(SEARCH("SCOM-SHH2BR",[1]OUT_FinalEnergyCons!$A$4:$A$10000)))*1,[1]OUT_FinalEnergyCons!H$4:H$10000)</f>
        <v>1.02039090785304E-4</v>
      </c>
      <c r="K2312" s="1" cm="1">
        <f t="array" ref="K2312">SUMPRODUCT(([1]OUT_FinalEnergyCons!$B$4:$B$10000="var_ncap")*1, (ISNUMBER(SEARCH("SCOM-SHH2BR",[1]OUT_FinalEnergyCons!$A$4:$A$10000)))*1,[1]OUT_FinalEnergyCons!I$4:I$10000)</f>
        <v>9.3289888770518804E-5</v>
      </c>
      <c r="L2312" s="1" cm="1">
        <f t="array" ref="L2312">SUMPRODUCT(([1]OUT_FinalEnergyCons!$B$4:$B$10000="var_ncap")*1, (ISNUMBER(SEARCH("SCOM-SHH2BR",[1]OUT_FinalEnergyCons!$A$4:$A$10000)))*1,[1]OUT_FinalEnergyCons!J$4:J$10000)</f>
        <v>7.2612564449546097E-6</v>
      </c>
      <c r="M2312" s="1" cm="1">
        <f t="array" ref="M2312">SUMPRODUCT(([1]OUT_FinalEnergyCons!$B$4:$B$10000="var_ncap")*1, (ISNUMBER(SEARCH("SCOM-SHH2BR",[1]OUT_FinalEnergyCons!$A$4:$A$10000)))*1,[1]OUT_FinalEnergyCons!K$4:K$10000)</f>
        <v>7.4623836462307303E-4</v>
      </c>
      <c r="N2312" s="1" cm="1">
        <f t="array" ref="N2312">SUMPRODUCT(([1]OUT_FinalEnergyCons!$B$4:$B$10000="var_ncap")*1, (ISNUMBER(SEARCH("SCOM-SHH2BR",[1]OUT_FinalEnergyCons!$A$4:$A$10000)))*1,[1]OUT_FinalEnergyCons!L$4:L$10000)</f>
        <v>9.3477263342216705E-6</v>
      </c>
      <c r="O2312" s="1" cm="1">
        <f t="array" ref="O2312">SUMPRODUCT(([1]OUT_FinalEnergyCons!$B$4:$B$10000="var_ncap")*1, (ISNUMBER(SEARCH("SCOM-SHH2BR",[1]OUT_FinalEnergyCons!$A$4:$A$10000)))*1,[1]OUT_FinalEnergyCons!M$4:M$10000)</f>
        <v>7.9342241612790493E-3</v>
      </c>
      <c r="P2312" s="1" cm="1">
        <f t="array" ref="P2312">SUMPRODUCT(([1]OUT_FinalEnergyCons!$B$4:$B$10000="var_ncap")*1, (ISNUMBER(SEARCH("SCOM-SHH2BR",[1]OUT_FinalEnergyCons!$A$4:$A$10000)))*1,[1]OUT_FinalEnergyCons!N$4:N$10000)</f>
        <v>5.3441458502852196E-3</v>
      </c>
      <c r="Q2312" s="1" cm="1">
        <f t="array" ref="Q2312">SUMPRODUCT(([1]OUT_FinalEnergyCons!$B$4:$B$10000="var_ncap")*1, (ISNUMBER(SEARCH("SCOM-SHH2BR",[1]OUT_FinalEnergyCons!$A$4:$A$10000)))*1,[1]OUT_FinalEnergyCons!O$4:O$10000)</f>
        <v>1.0322671387876801E-4</v>
      </c>
      <c r="S2312" s="3"/>
    </row>
    <row r="2313" spans="2:19" x14ac:dyDescent="0.5">
      <c r="B2313" s="5" t="str">
        <f>'SPS1'!B2021</f>
        <v>SPS1</v>
      </c>
      <c r="C2313" s="5" t="str">
        <f>'SPS1'!C2021</f>
        <v>CH</v>
      </c>
      <c r="D2313" s="2" t="s">
        <v>2448</v>
      </c>
      <c r="E2313" s="2" t="s">
        <v>2154</v>
      </c>
      <c r="F2313" s="3">
        <f t="shared" ref="F2313:K2313" si="2317">SUM(F2314,F2318,F2321)</f>
        <v>2.8141597491688401E-4</v>
      </c>
      <c r="G2313" s="3">
        <f t="shared" si="2317"/>
        <v>2.8970289792440901E-5</v>
      </c>
      <c r="H2313" s="3">
        <f t="shared" si="2317"/>
        <v>4.3982397285438796E-6</v>
      </c>
      <c r="I2313" s="3">
        <f t="shared" si="2317"/>
        <v>1.4669201135680284E-4</v>
      </c>
      <c r="J2313" s="3">
        <f t="shared" si="2317"/>
        <v>1.0887967527607599E-3</v>
      </c>
      <c r="K2313" s="3">
        <f t="shared" si="2317"/>
        <v>1.4618087092803473E-3</v>
      </c>
      <c r="L2313" s="3">
        <f t="shared" ref="L2313:O2313" si="2318">SUM(L2314,L2318,L2321)</f>
        <v>3.6031011339810105E-4</v>
      </c>
      <c r="M2313" s="3">
        <f t="shared" si="2318"/>
        <v>1.1186712247563029E-2</v>
      </c>
      <c r="N2313" s="3">
        <f t="shared" si="2318"/>
        <v>4.1871484931364387E-4</v>
      </c>
      <c r="O2313" s="3">
        <f t="shared" si="2318"/>
        <v>3.8967527412743092E-2</v>
      </c>
      <c r="P2313" s="3">
        <f>SUM(P2314,P2318,P2321)</f>
        <v>4.0459205631787412E-3</v>
      </c>
      <c r="Q2313" s="3">
        <f>SUM(Q2314,Q2318,Q2321)</f>
        <v>1.2351619282773441E-2</v>
      </c>
      <c r="S2313" s="3"/>
    </row>
    <row r="2314" spans="2:19" x14ac:dyDescent="0.5">
      <c r="B2314" s="5" t="str">
        <f t="shared" ref="B2314:B2340" si="2319">B2313</f>
        <v>SPS1</v>
      </c>
      <c r="C2314" s="5" t="str">
        <f t="shared" ref="C2314:C2340" si="2320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2.8141597491688401E-4</v>
      </c>
      <c r="G2314" s="1" cm="1">
        <f t="array" ref="G2314">SUMPRODUCT(ISNUMBER(SEARCH("SUP_ELCH2*",[1]OUT_SyntheticFuels!$C$4:$C$1000))*1,("var_ncap"=[1]OUT_SyntheticFuels!$B$4:$B$1000)*1,[1]OUT_SyntheticFuels!F$4:F$1000)</f>
        <v>2.8970289792440901E-5</v>
      </c>
      <c r="H2314" s="1" cm="1">
        <f t="array" ref="H2314">SUMPRODUCT(ISNUMBER(SEARCH("SUP_ELCH2*",[1]OUT_SyntheticFuels!$C$4:$C$1000))*1,("var_ncap"=[1]OUT_SyntheticFuels!$B$4:$B$1000)*1,[1]OUT_SyntheticFuels!G$4:G$1000)</f>
        <v>4.3982397285438796E-6</v>
      </c>
      <c r="I2314" s="1" cm="1">
        <f t="array" ref="I2314">SUMPRODUCT(ISNUMBER(SEARCH("SUP_ELCH2*",[1]OUT_SyntheticFuels!$C$4:$C$1000))*1,("var_ncap"=[1]OUT_SyntheticFuels!$B$4:$B$1000)*1,[1]OUT_SyntheticFuels!H$4:H$1000)</f>
        <v>1.4622424920851616E-4</v>
      </c>
      <c r="J2314" s="1" cm="1">
        <f t="array" ref="J2314">SUMPRODUCT(ISNUMBER(SEARCH("SUP_ELCH2*",[1]OUT_SyntheticFuels!$C$4:$C$1000))*1,("var_ncap"=[1]OUT_SyntheticFuels!$B$4:$B$1000)*1,[1]OUT_SyntheticFuels!I$4:I$1000)</f>
        <v>1.0877579869477899E-3</v>
      </c>
      <c r="K2314" s="1" cm="1">
        <f t="array" ref="K2314">SUMPRODUCT(ISNUMBER(SEARCH("SUP_ELCH2*",[1]OUT_SyntheticFuels!$C$4:$C$1000))*1,("var_ncap"=[1]OUT_SyntheticFuels!$B$4:$B$1000)*1,[1]OUT_SyntheticFuels!J$4:J$1000)</f>
        <v>1.460465023758426E-3</v>
      </c>
      <c r="L2314" s="1" cm="1">
        <f t="array" ref="L2314">SUMPRODUCT(ISNUMBER(SEARCH("SUP_ELCH2*",[1]OUT_SyntheticFuels!$C$4:$C$1000))*1,("var_ncap"=[1]OUT_SyntheticFuels!$B$4:$B$1000)*1,[1]OUT_SyntheticFuels!K$4:K$1000)</f>
        <v>3.5803249979811901E-4</v>
      </c>
      <c r="M2314" s="1" cm="1">
        <f t="array" ref="M2314">SUMPRODUCT(ISNUMBER(SEARCH("SUP_ELCH2*",[1]OUT_SyntheticFuels!$C$4:$C$1000))*1,("var_ncap"=[1]OUT_SyntheticFuels!$B$4:$B$1000)*1,[1]OUT_SyntheticFuels!L$4:L$1000)</f>
        <v>1.0764862820487183E-2</v>
      </c>
      <c r="N2314" s="1" cm="1">
        <f t="array" ref="N2314">SUMPRODUCT(ISNUMBER(SEARCH("SUP_ELCH2*",[1]OUT_SyntheticFuels!$C$4:$C$1000))*1,("var_ncap"=[1]OUT_SyntheticFuels!$B$4:$B$1000)*1,[1]OUT_SyntheticFuels!M$4:M$1000)</f>
        <v>4.1375058037121701E-4</v>
      </c>
      <c r="O2314" s="1" cm="1">
        <f t="array" ref="O2314">SUMPRODUCT(ISNUMBER(SEARCH("SUP_ELCH2*",[1]OUT_SyntheticFuels!$C$4:$C$1000))*1,("var_ncap"=[1]OUT_SyntheticFuels!$B$4:$B$1000)*1,[1]OUT_SyntheticFuels!N$4:N$1000)</f>
        <v>3.8743357210163122E-2</v>
      </c>
      <c r="P2314" s="1" cm="1">
        <f t="array" ref="P2314">SUMPRODUCT(ISNUMBER(SEARCH("SUP_ELCH2*",[1]OUT_SyntheticFuels!$C$4:$C$1000))*1,("var_ncap"=[1]OUT_SyntheticFuels!$B$4:$B$1000)*1,[1]OUT_SyntheticFuels!O$4:O$1000)</f>
        <v>4.0248466848715921E-3</v>
      </c>
      <c r="Q2314" s="1" cm="1">
        <f t="array" ref="Q2314">SUMPRODUCT(ISNUMBER(SEARCH("SUP_ELCH2*",[1]OUT_SyntheticFuels!$C$4:$C$1000))*1,("var_ncap"=[1]OUT_SyntheticFuels!$B$4:$B$1000)*1,[1]OUT_SyntheticFuels!P$4:P$1000)</f>
        <v>1.1106999969861668E-2</v>
      </c>
      <c r="S2314" s="3"/>
    </row>
    <row r="2315" spans="2:19" x14ac:dyDescent="0.5">
      <c r="B2315" s="5" t="str">
        <f t="shared" si="2319"/>
        <v>SPS1</v>
      </c>
      <c r="C2315" s="5" t="str">
        <f t="shared" si="2320"/>
        <v>CH</v>
      </c>
      <c r="D2315" t="s">
        <v>2450</v>
      </c>
      <c r="E2315" t="s">
        <v>2154</v>
      </c>
      <c r="F2315" s="1">
        <f t="shared" ref="F2315:K2315" si="2321">F2314-F2316-F2317</f>
        <v>2.8141597491688401E-4</v>
      </c>
      <c r="G2315" s="1">
        <f t="shared" si="2321"/>
        <v>2.8970289792440901E-5</v>
      </c>
      <c r="H2315" s="1">
        <f t="shared" si="2321"/>
        <v>4.3982397285438796E-6</v>
      </c>
      <c r="I2315" s="1">
        <f t="shared" si="2321"/>
        <v>1.37776178731735E-4</v>
      </c>
      <c r="J2315" s="1">
        <f t="shared" si="2321"/>
        <v>1.05169949708953E-3</v>
      </c>
      <c r="K2315" s="1">
        <f t="shared" si="2321"/>
        <v>9.1114766836936014E-4</v>
      </c>
      <c r="L2315" s="1">
        <f t="shared" ref="L2315:O2315" si="2322">L2314-L2316-L2317</f>
        <v>1.4063399686914502E-4</v>
      </c>
      <c r="M2315" s="1">
        <f t="shared" si="2322"/>
        <v>9.9392940085708398E-3</v>
      </c>
      <c r="N2315" s="1">
        <f t="shared" si="2322"/>
        <v>3.8636181677827001E-4</v>
      </c>
      <c r="O2315" s="1">
        <f t="shared" si="2322"/>
        <v>3.7570294376896698E-2</v>
      </c>
      <c r="P2315" s="1">
        <f>P2314-P2316-P2317</f>
        <v>4.0096277805178309E-3</v>
      </c>
      <c r="Q2315" s="1">
        <f>Q2314-Q2316-Q2317</f>
        <v>8.8496910305136192E-3</v>
      </c>
      <c r="S2315" s="3"/>
    </row>
    <row r="2316" spans="2:19" x14ac:dyDescent="0.5">
      <c r="B2316" s="5" t="str">
        <f t="shared" si="2319"/>
        <v>SPS1</v>
      </c>
      <c r="C2316" s="5" t="str">
        <f t="shared" si="2320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8.4480704767811504E-6</v>
      </c>
      <c r="J2316" s="1" cm="1">
        <f t="array" ref="J2316">SUMPRODUCT(ISNUMBER(SEARCH("SUP_ELCH2*D",[1]OUT_SyntheticFuels!$C$4:$C$1000))*1,("var_ncap"=[1]OUT_SyntheticFuels!$B$4:$B$1000)*1,[1]OUT_SyntheticFuels!I$4:I$1000)</f>
        <v>3.605848985826E-5</v>
      </c>
      <c r="K2316" s="1" cm="1">
        <f t="array" ref="K2316">SUMPRODUCT(ISNUMBER(SEARCH("SUP_ELCH2*D",[1]OUT_SyntheticFuels!$C$4:$C$1000))*1,("var_ncap"=[1]OUT_SyntheticFuels!$B$4:$B$1000)*1,[1]OUT_SyntheticFuels!J$4:J$1000)</f>
        <v>9.7228832971547896E-5</v>
      </c>
      <c r="L2316" s="1" cm="1">
        <f t="array" ref="L2316">SUMPRODUCT(ISNUMBER(SEARCH("SUP_ELCH2*D",[1]OUT_SyntheticFuels!$C$4:$C$1000))*1,("var_ncap"=[1]OUT_SyntheticFuels!$B$4:$B$1000)*1,[1]OUT_SyntheticFuels!K$4:K$1000)</f>
        <v>3.3368309981175002E-5</v>
      </c>
      <c r="M2316" s="1" cm="1">
        <f t="array" ref="M2316">SUMPRODUCT(ISNUMBER(SEARCH("SUP_ELCH2*D",[1]OUT_SyntheticFuels!$C$4:$C$1000))*1,("var_ncap"=[1]OUT_SyntheticFuels!$B$4:$B$1000)*1,[1]OUT_SyntheticFuels!L$4:L$1000)</f>
        <v>5.3065934840133202E-5</v>
      </c>
      <c r="N2316" s="1" cm="1">
        <f t="array" ref="N2316">SUMPRODUCT(ISNUMBER(SEARCH("SUP_ELCH2*D",[1]OUT_SyntheticFuels!$C$4:$C$1000))*1,("var_ncap"=[1]OUT_SyntheticFuels!$B$4:$B$1000)*1,[1]OUT_SyntheticFuels!M$4:M$1000)</f>
        <v>1.29499965583181E-5</v>
      </c>
      <c r="O2316" s="1" cm="1">
        <f t="array" ref="O2316">SUMPRODUCT(ISNUMBER(SEARCH("SUP_ELCH2*D",[1]OUT_SyntheticFuels!$C$4:$C$1000))*1,("var_ncap"=[1]OUT_SyntheticFuels!$B$4:$B$1000)*1,[1]OUT_SyntheticFuels!N$4:N$1000)</f>
        <v>1.3688417179400601E-4</v>
      </c>
      <c r="P2316" s="1" cm="1">
        <f t="array" ref="P2316">SUMPRODUCT(ISNUMBER(SEARCH("SUP_ELCH2*D",[1]OUT_SyntheticFuels!$C$4:$C$1000))*1,("var_ncap"=[1]OUT_SyntheticFuels!$B$4:$B$1000)*1,[1]OUT_SyntheticFuels!O$4:O$1000)</f>
        <v>8.2098600399799192E-6</v>
      </c>
      <c r="Q2316" s="1" cm="1">
        <f t="array" ref="Q2316">SUMPRODUCT(ISNUMBER(SEARCH("SUP_ELCH2*D",[1]OUT_SyntheticFuels!$C$4:$C$1000))*1,("var_ncap"=[1]OUT_SyntheticFuels!$B$4:$B$1000)*1,[1]OUT_SyntheticFuels!P$4:P$1000)</f>
        <v>2.6256321210391798E-4</v>
      </c>
      <c r="S2316" s="3"/>
    </row>
    <row r="2317" spans="2:19" x14ac:dyDescent="0.5">
      <c r="B2317" s="5" t="str">
        <f t="shared" si="2319"/>
        <v>SPS1</v>
      </c>
      <c r="C2317" s="5" t="str">
        <f t="shared" si="2320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SUMPRODUCT(ISNUMBER(SEARCH("SUP_ELCH2*SOEC*",[1]OUT_SyntheticFuels!$C$4:$C$1000))*1,("var_ncap"=[1]OUT_SyntheticFuels!$B$4:$B$1000)*1,[1]OUT_SyntheticFuels!I$4:I$1000)</f>
        <v>0</v>
      </c>
      <c r="K2317" s="1" cm="1">
        <f t="array" ref="K2317">SUMPRODUCT(ISNUMBER(SEARCH("SUP_ELCH2*SOEC*",[1]OUT_SyntheticFuels!$C$4:$C$1000))*1,("var_ncap"=[1]OUT_SyntheticFuels!$B$4:$B$1000)*1,[1]OUT_SyntheticFuels!J$4:J$1000)</f>
        <v>4.52088522417518E-4</v>
      </c>
      <c r="L2317" s="1" cm="1">
        <f t="array" ref="L2317">SUMPRODUCT(ISNUMBER(SEARCH("SUP_ELCH2*SOEC*",[1]OUT_SyntheticFuels!$C$4:$C$1000))*1,("var_ncap"=[1]OUT_SyntheticFuels!$B$4:$B$1000)*1,[1]OUT_SyntheticFuels!K$4:K$1000)</f>
        <v>1.84030192947799E-4</v>
      </c>
      <c r="M2317" s="1" cm="1">
        <f t="array" ref="M2317">SUMPRODUCT(ISNUMBER(SEARCH("SUP_ELCH2*SOEC*",[1]OUT_SyntheticFuels!$C$4:$C$1000))*1,("var_ncap"=[1]OUT_SyntheticFuels!$B$4:$B$1000)*1,[1]OUT_SyntheticFuels!L$4:L$1000)</f>
        <v>7.7250287707621005E-4</v>
      </c>
      <c r="N2317" s="1" cm="1">
        <f t="array" ref="N2317">SUMPRODUCT(ISNUMBER(SEARCH("SUP_ELCH2*SOEC*",[1]OUT_SyntheticFuels!$C$4:$C$1000))*1,("var_ncap"=[1]OUT_SyntheticFuels!$B$4:$B$1000)*1,[1]OUT_SyntheticFuels!M$4:M$1000)</f>
        <v>1.44387670346289E-5</v>
      </c>
      <c r="O2317" s="1" cm="1">
        <f t="array" ref="O2317">SUMPRODUCT(ISNUMBER(SEARCH("SUP_ELCH2*SOEC*",[1]OUT_SyntheticFuels!$C$4:$C$1000))*1,("var_ncap"=[1]OUT_SyntheticFuels!$B$4:$B$1000)*1,[1]OUT_SyntheticFuels!N$4:N$1000)</f>
        <v>1.03617866147242E-3</v>
      </c>
      <c r="P2317" s="1" cm="1">
        <f t="array" ref="P2317">SUMPRODUCT(ISNUMBER(SEARCH("SUP_ELCH2*SOEC*",[1]OUT_SyntheticFuels!$C$4:$C$1000))*1,("var_ncap"=[1]OUT_SyntheticFuels!$B$4:$B$1000)*1,[1]OUT_SyntheticFuels!O$4:O$1000)</f>
        <v>7.0090443137817803E-6</v>
      </c>
      <c r="Q2317" s="1" cm="1">
        <f t="array" ref="Q2317">SUMPRODUCT(ISNUMBER(SEARCH("SUP_ELCH2*SOEC*",[1]OUT_SyntheticFuels!$C$4:$C$1000))*1,("var_ncap"=[1]OUT_SyntheticFuels!$B$4:$B$1000)*1,[1]OUT_SyntheticFuels!P$4:P$1000)</f>
        <v>1.99474572724413E-3</v>
      </c>
      <c r="S2317" s="3"/>
    </row>
    <row r="2318" spans="2:19" x14ac:dyDescent="0.5">
      <c r="B2318" s="5" t="str">
        <f t="shared" si="2319"/>
        <v>SPS1</v>
      </c>
      <c r="C2318" s="5" t="str">
        <f t="shared" si="2320"/>
        <v>CH</v>
      </c>
      <c r="D2318" t="s">
        <v>2453</v>
      </c>
      <c r="E2318" t="s">
        <v>2154</v>
      </c>
      <c r="F2318" s="1">
        <f t="shared" ref="F2318:K2318" si="2323">SUM(F2319:F2320)</f>
        <v>0</v>
      </c>
      <c r="G2318" s="1">
        <f t="shared" si="2323"/>
        <v>0</v>
      </c>
      <c r="H2318" s="1">
        <f t="shared" si="2323"/>
        <v>0</v>
      </c>
      <c r="I2318" s="1">
        <f t="shared" si="2323"/>
        <v>4.6776214828667598E-7</v>
      </c>
      <c r="J2318" s="1">
        <f t="shared" si="2323"/>
        <v>1.03876581296997E-6</v>
      </c>
      <c r="K2318" s="1">
        <f t="shared" si="2323"/>
        <v>1.3436855219214101E-6</v>
      </c>
      <c r="L2318" s="1">
        <f t="shared" ref="L2318:O2318" si="2324">SUM(L2319:L2320)</f>
        <v>2.2776135999820601E-6</v>
      </c>
      <c r="M2318" s="1">
        <f t="shared" si="2324"/>
        <v>1.6605517228383701E-4</v>
      </c>
      <c r="N2318" s="1">
        <f t="shared" si="2324"/>
        <v>3.55983806153247E-6</v>
      </c>
      <c r="O2318" s="1">
        <f t="shared" si="2324"/>
        <v>9.1633272505122507E-5</v>
      </c>
      <c r="P2318" s="1">
        <f>SUM(P2319:P2320)</f>
        <v>6.3592530912520004E-6</v>
      </c>
      <c r="Q2318" s="1">
        <f>SUM(Q2319:Q2320)</f>
        <v>3.1775521990280898E-4</v>
      </c>
      <c r="S2318" s="3"/>
    </row>
    <row r="2319" spans="2:19" x14ac:dyDescent="0.5">
      <c r="B2319" s="5" t="str">
        <f t="shared" si="2319"/>
        <v>SPS1</v>
      </c>
      <c r="C2319" s="5" t="str">
        <f t="shared" si="2320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4.6776214828667598E-7</v>
      </c>
      <c r="J2319" s="1" cm="1">
        <f t="array" ref="J2319">SUMPRODUCT(ISNUMBER(SEARCH("SUP_NGAH2",[1]OUT_SyntheticFuels!$C$4:$C$1000))*1,("var_ncap"=[1]OUT_SyntheticFuels!$B$4:$B$1000)*1,[1]OUT_SyntheticFuels!I$4:I$1000)-J2320</f>
        <v>1.03876581296997E-6</v>
      </c>
      <c r="K2319" s="1" cm="1">
        <f t="array" ref="K2319">SUMPRODUCT(ISNUMBER(SEARCH("SUP_NGAH2",[1]OUT_SyntheticFuels!$C$4:$C$1000))*1,("var_ncap"=[1]OUT_SyntheticFuels!$B$4:$B$1000)*1,[1]OUT_SyntheticFuels!J$4:J$1000)-K2320</f>
        <v>1.3436855219214101E-6</v>
      </c>
      <c r="L2319" s="1" cm="1">
        <f t="array" ref="L2319">SUMPRODUCT(ISNUMBER(SEARCH("SUP_NGAH2",[1]OUT_SyntheticFuels!$C$4:$C$1000))*1,("var_ncap"=[1]OUT_SyntheticFuels!$B$4:$B$1000)*1,[1]OUT_SyntheticFuels!K$4:K$1000)-L2320</f>
        <v>2.2776135999820601E-6</v>
      </c>
      <c r="M2319" s="1" cm="1">
        <f t="array" ref="M2319">SUMPRODUCT(ISNUMBER(SEARCH("SUP_NGAH2",[1]OUT_SyntheticFuels!$C$4:$C$1000))*1,("var_ncap"=[1]OUT_SyntheticFuels!$B$4:$B$1000)*1,[1]OUT_SyntheticFuels!L$4:L$1000)-M2320</f>
        <v>1.6605517228383701E-4</v>
      </c>
      <c r="N2319" s="1" cm="1">
        <f t="array" ref="N2319">SUMPRODUCT(ISNUMBER(SEARCH("SUP_NGAH2",[1]OUT_SyntheticFuels!$C$4:$C$1000))*1,("var_ncap"=[1]OUT_SyntheticFuels!$B$4:$B$1000)*1,[1]OUT_SyntheticFuels!M$4:M$1000)-N2320</f>
        <v>3.55983806153247E-6</v>
      </c>
      <c r="O2319" s="1" cm="1">
        <f t="array" ref="O2319">SUMPRODUCT(ISNUMBER(SEARCH("SUP_NGAH2",[1]OUT_SyntheticFuels!$C$4:$C$1000))*1,("var_ncap"=[1]OUT_SyntheticFuels!$B$4:$B$1000)*1,[1]OUT_SyntheticFuels!N$4:N$1000)-O2320</f>
        <v>9.1633272505122507E-5</v>
      </c>
      <c r="P2319" s="1" cm="1">
        <f t="array" ref="P2319">SUMPRODUCT(ISNUMBER(SEARCH("SUP_NGAH2",[1]OUT_SyntheticFuels!$C$4:$C$1000))*1,("var_ncap"=[1]OUT_SyntheticFuels!$B$4:$B$1000)*1,[1]OUT_SyntheticFuels!O$4:O$1000)-P2320</f>
        <v>6.3592530912520004E-6</v>
      </c>
      <c r="Q2319" s="1" cm="1">
        <f t="array" ref="Q2319">SUMPRODUCT(ISNUMBER(SEARCH("SUP_NGAH2",[1]OUT_SyntheticFuels!$C$4:$C$1000))*1,("var_ncap"=[1]OUT_SyntheticFuels!$B$4:$B$1000)*1,[1]OUT_SyntheticFuels!P$4:P$1000)-Q2320</f>
        <v>3.1775521990280898E-4</v>
      </c>
      <c r="S2319" s="3"/>
    </row>
    <row r="2320" spans="2:19" x14ac:dyDescent="0.5">
      <c r="B2320" s="5" t="str">
        <f t="shared" si="2319"/>
        <v>SPS1</v>
      </c>
      <c r="C2320" s="5" t="str">
        <f t="shared" si="2320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SUMPRODUCT(ISNUMBER(SEARCH("SUP_NGAH2CCS",[1]OUT_SyntheticFuels!$C$4:$C$1000))*1,("var_ncap"=[1]OUT_SyntheticFuels!$B$4:$B$1000)*1,[1]OUT_SyntheticFuels!I$4:I$1000)</f>
        <v>0</v>
      </c>
      <c r="K2320" s="1" cm="1">
        <f t="array" ref="K2320">SUMPRODUCT(ISNUMBER(SEARCH("SUP_NGAH2CCS",[1]OUT_SyntheticFuels!$C$4:$C$1000))*1,("var_ncap"=[1]OUT_SyntheticFuels!$B$4:$B$1000)*1,[1]OUT_SyntheticFuels!J$4:J$1000)</f>
        <v>0</v>
      </c>
      <c r="L2320" s="1" cm="1">
        <f t="array" ref="L2320">SUMPRODUCT(ISNUMBER(SEARCH("SUP_NGAH2CCS",[1]OUT_SyntheticFuels!$C$4:$C$1000))*1,("var_ncap"=[1]OUT_SyntheticFuels!$B$4:$B$1000)*1,[1]OUT_SyntheticFuels!K$4:K$1000)</f>
        <v>0</v>
      </c>
      <c r="M2320" s="1" cm="1">
        <f t="array" ref="M2320">SUMPRODUCT(ISNUMBER(SEARCH("SUP_NGAH2CCS",[1]OUT_SyntheticFuels!$C$4:$C$1000))*1,("var_ncap"=[1]OUT_SyntheticFuels!$B$4:$B$1000)*1,[1]OUT_SyntheticFuels!L$4:L$1000)</f>
        <v>0</v>
      </c>
      <c r="N2320" s="1" cm="1">
        <f t="array" ref="N2320">SUMPRODUCT(ISNUMBER(SEARCH("SUP_NGAH2CCS",[1]OUT_SyntheticFuels!$C$4:$C$1000))*1,("var_ncap"=[1]OUT_SyntheticFuels!$B$4:$B$1000)*1,[1]OUT_SyntheticFuels!M$4:M$1000)</f>
        <v>0</v>
      </c>
      <c r="O2320" s="1" cm="1">
        <f t="array" ref="O2320">SUMPRODUCT(ISNUMBER(SEARCH("SUP_NGAH2CCS",[1]OUT_SyntheticFuels!$C$4:$C$1000))*1,("var_ncap"=[1]OUT_SyntheticFuels!$B$4:$B$1000)*1,[1]OUT_SyntheticFuels!N$4:N$1000)</f>
        <v>0</v>
      </c>
      <c r="P2320" s="1" cm="1">
        <f t="array" ref="P2320">SUMPRODUCT(ISNUMBER(SEARCH("SUP_NGAH2CCS",[1]OUT_SyntheticFuels!$C$4:$C$1000))*1,("var_ncap"=[1]OUT_SyntheticFuels!$B$4:$B$1000)*1,[1]OUT_SyntheticFuels!O$4:O$1000)</f>
        <v>0</v>
      </c>
      <c r="Q2320" s="1" cm="1">
        <f t="array" ref="Q2320">SUMPRODUCT(ISNUMBER(SEARCH("SUP_NGAH2CCS",[1]OUT_SyntheticFuels!$C$4:$C$1000))*1,("var_ncap"=[1]OUT_SyntheticFuels!$B$4:$B$1000)*1,[1]OUT_SyntheticFuels!P$4:P$1000)</f>
        <v>0</v>
      </c>
      <c r="S2320" s="3"/>
    </row>
    <row r="2321" spans="2:19" x14ac:dyDescent="0.5">
      <c r="B2321" s="5" t="str">
        <f t="shared" si="2319"/>
        <v>SPS1</v>
      </c>
      <c r="C2321" s="5" t="str">
        <f t="shared" si="2320"/>
        <v>CH</v>
      </c>
      <c r="D2321" t="s">
        <v>2456</v>
      </c>
      <c r="E2321" t="s">
        <v>2154</v>
      </c>
      <c r="F2321" s="1">
        <f t="shared" ref="F2321:K2321" si="2325">SUM(F2322:F2323)</f>
        <v>0</v>
      </c>
      <c r="G2321" s="1">
        <f t="shared" si="2325"/>
        <v>0</v>
      </c>
      <c r="H2321" s="1">
        <f t="shared" si="2325"/>
        <v>0</v>
      </c>
      <c r="I2321" s="1">
        <f t="shared" si="2325"/>
        <v>0</v>
      </c>
      <c r="J2321" s="1">
        <f t="shared" si="2325"/>
        <v>0</v>
      </c>
      <c r="K2321" s="1">
        <f t="shared" si="2325"/>
        <v>0</v>
      </c>
      <c r="L2321" s="1">
        <f t="shared" ref="L2321:O2321" si="2326">SUM(L2322:L2323)</f>
        <v>0</v>
      </c>
      <c r="M2321" s="1">
        <f t="shared" si="2326"/>
        <v>2.5579425479200802E-4</v>
      </c>
      <c r="N2321" s="1">
        <f t="shared" si="2326"/>
        <v>1.4044308808943701E-6</v>
      </c>
      <c r="O2321" s="1">
        <f t="shared" si="2326"/>
        <v>1.3253693007484401E-4</v>
      </c>
      <c r="P2321" s="1">
        <f>SUM(P2322:P2323)</f>
        <v>1.47146252158975E-5</v>
      </c>
      <c r="Q2321" s="1">
        <f>SUM(Q2322:Q2323)</f>
        <v>9.2686409300896501E-4</v>
      </c>
      <c r="S2321" s="3"/>
    </row>
    <row r="2322" spans="2:19" x14ac:dyDescent="0.5">
      <c r="B2322" s="5" t="str">
        <f t="shared" si="2319"/>
        <v>SPS1</v>
      </c>
      <c r="C2322" s="5" t="str">
        <f t="shared" si="2320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SUMPRODUCT(ISNUMBER(SEARCH("SUP_WODH2",[1]OUT_SyntheticFuels!$C$4:$C$1000))*1,("var_ncap"=[1]OUT_SyntheticFuels!$B$4:$B$1000)*1,[1]OUT_SyntheticFuels!I$4:I$1000)-J2323</f>
        <v>0</v>
      </c>
      <c r="K2322" s="1" cm="1">
        <f t="array" ref="K2322">SUMPRODUCT(ISNUMBER(SEARCH("SUP_WODH2",[1]OUT_SyntheticFuels!$C$4:$C$1000))*1,("var_ncap"=[1]OUT_SyntheticFuels!$B$4:$B$1000)*1,[1]OUT_SyntheticFuels!J$4:J$1000)-K2323</f>
        <v>0</v>
      </c>
      <c r="L2322" s="1" cm="1">
        <f t="array" ref="L2322">SUMPRODUCT(ISNUMBER(SEARCH("SUP_WODH2",[1]OUT_SyntheticFuels!$C$4:$C$1000))*1,("var_ncap"=[1]OUT_SyntheticFuels!$B$4:$B$1000)*1,[1]OUT_SyntheticFuels!K$4:K$1000)-L2323</f>
        <v>0</v>
      </c>
      <c r="M2322" s="1" cm="1">
        <f t="array" ref="M2322">SUMPRODUCT(ISNUMBER(SEARCH("SUP_WODH2",[1]OUT_SyntheticFuels!$C$4:$C$1000))*1,("var_ncap"=[1]OUT_SyntheticFuels!$B$4:$B$1000)*1,[1]OUT_SyntheticFuels!L$4:L$1000)-M2323</f>
        <v>2.5579425479200802E-4</v>
      </c>
      <c r="N2322" s="1" cm="1">
        <f t="array" ref="N2322">SUMPRODUCT(ISNUMBER(SEARCH("SUP_WODH2",[1]OUT_SyntheticFuels!$C$4:$C$1000))*1,("var_ncap"=[1]OUT_SyntheticFuels!$B$4:$B$1000)*1,[1]OUT_SyntheticFuels!M$4:M$1000)-N2323</f>
        <v>1.4044308808943701E-6</v>
      </c>
      <c r="O2322" s="1" cm="1">
        <f t="array" ref="O2322">SUMPRODUCT(ISNUMBER(SEARCH("SUP_WODH2",[1]OUT_SyntheticFuels!$C$4:$C$1000))*1,("var_ncap"=[1]OUT_SyntheticFuels!$B$4:$B$1000)*1,[1]OUT_SyntheticFuels!N$4:N$1000)-O2323</f>
        <v>1.3253693007484401E-4</v>
      </c>
      <c r="P2322" s="1" cm="1">
        <f t="array" ref="P2322">SUMPRODUCT(ISNUMBER(SEARCH("SUP_WODH2",[1]OUT_SyntheticFuels!$C$4:$C$1000))*1,("var_ncap"=[1]OUT_SyntheticFuels!$B$4:$B$1000)*1,[1]OUT_SyntheticFuels!O$4:O$1000)-P2323</f>
        <v>1.47146252158975E-5</v>
      </c>
      <c r="Q2322" s="1" cm="1">
        <f t="array" ref="Q2322">SUMPRODUCT(ISNUMBER(SEARCH("SUP_WODH2",[1]OUT_SyntheticFuels!$C$4:$C$1000))*1,("var_ncap"=[1]OUT_SyntheticFuels!$B$4:$B$1000)*1,[1]OUT_SyntheticFuels!P$4:P$1000)-Q2323</f>
        <v>9.2686409300896501E-4</v>
      </c>
      <c r="S2322" s="3"/>
    </row>
    <row r="2323" spans="2:19" x14ac:dyDescent="0.5">
      <c r="B2323" s="5" t="str">
        <f t="shared" si="2319"/>
        <v>SPS1</v>
      </c>
      <c r="C2323" s="5" t="str">
        <f t="shared" si="2320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SUMPRODUCT(ISNUMBER(SEARCH("SUP_WODH2CCS",[1]OUT_SyntheticFuels!$C$4:$C$1000))*1,("var_ncap"=[1]OUT_SyntheticFuels!$B$4:$B$1000)*1,[1]OUT_SyntheticFuels!I$4:I$1000)</f>
        <v>0</v>
      </c>
      <c r="K2323" s="1" cm="1">
        <f t="array" ref="K2323">SUMPRODUCT(ISNUMBER(SEARCH("SUP_WODH2CCS",[1]OUT_SyntheticFuels!$C$4:$C$1000))*1,("var_ncap"=[1]OUT_SyntheticFuels!$B$4:$B$1000)*1,[1]OUT_SyntheticFuels!J$4:J$1000)</f>
        <v>0</v>
      </c>
      <c r="L2323" s="1" cm="1">
        <f t="array" ref="L2323">SUMPRODUCT(ISNUMBER(SEARCH("SUP_WODH2CCS",[1]OUT_SyntheticFuels!$C$4:$C$1000))*1,("var_ncap"=[1]OUT_SyntheticFuels!$B$4:$B$1000)*1,[1]OUT_SyntheticFuels!K$4:K$1000)</f>
        <v>0</v>
      </c>
      <c r="M2323" s="1" cm="1">
        <f t="array" ref="M2323">SUMPRODUCT(ISNUMBER(SEARCH("SUP_WODH2CCS",[1]OUT_SyntheticFuels!$C$4:$C$1000))*1,("var_ncap"=[1]OUT_SyntheticFuels!$B$4:$B$1000)*1,[1]OUT_SyntheticFuels!L$4:L$1000)</f>
        <v>0</v>
      </c>
      <c r="N2323" s="1" cm="1">
        <f t="array" ref="N2323">SUMPRODUCT(ISNUMBER(SEARCH("SUP_WODH2CCS",[1]OUT_SyntheticFuels!$C$4:$C$1000))*1,("var_ncap"=[1]OUT_SyntheticFuels!$B$4:$B$1000)*1,[1]OUT_SyntheticFuels!M$4:M$1000)</f>
        <v>0</v>
      </c>
      <c r="O2323" s="1" cm="1">
        <f t="array" ref="O2323">SUMPRODUCT(ISNUMBER(SEARCH("SUP_WODH2CCS",[1]OUT_SyntheticFuels!$C$4:$C$1000))*1,("var_ncap"=[1]OUT_SyntheticFuels!$B$4:$B$1000)*1,[1]OUT_SyntheticFuels!N$4:N$1000)</f>
        <v>0</v>
      </c>
      <c r="P2323" s="1" cm="1">
        <f t="array" ref="P2323">SUMPRODUCT(ISNUMBER(SEARCH("SUP_WODH2CCS",[1]OUT_SyntheticFuels!$C$4:$C$1000))*1,("var_ncap"=[1]OUT_SyntheticFuels!$B$4:$B$1000)*1,[1]OUT_SyntheticFuels!O$4:O$1000)</f>
        <v>0</v>
      </c>
      <c r="Q2323" s="1" cm="1">
        <f t="array" ref="Q2323">SUMPRODUCT(ISNUMBER(SEARCH("SUP_WODH2CCS",[1]OUT_SyntheticFuels!$C$4:$C$1000))*1,("var_ncap"=[1]OUT_SyntheticFuels!$B$4:$B$1000)*1,[1]OUT_SyntheticFuels!P$4:P$1000)</f>
        <v>0</v>
      </c>
      <c r="S2323" s="3"/>
    </row>
    <row r="2324" spans="2:19" x14ac:dyDescent="0.5">
      <c r="B2324" s="5" t="str">
        <f t="shared" si="2319"/>
        <v>SPS1</v>
      </c>
      <c r="C2324" s="5" t="str">
        <f t="shared" si="2320"/>
        <v>CH</v>
      </c>
      <c r="D2324" s="2" t="s">
        <v>2459</v>
      </c>
      <c r="E2324" s="2" t="s">
        <v>2156</v>
      </c>
      <c r="F2324" s="24"/>
      <c r="G2324" s="24"/>
      <c r="H2324" s="24"/>
      <c r="I2324" s="24"/>
      <c r="J2324" s="24"/>
      <c r="K2324" s="24"/>
      <c r="L2324" s="24"/>
      <c r="M2324" s="24"/>
      <c r="N2324" s="24"/>
      <c r="O2324" s="24"/>
      <c r="P2324" s="24"/>
      <c r="Q2324" s="24"/>
      <c r="S2324" s="3"/>
    </row>
    <row r="2325" spans="2:19" x14ac:dyDescent="0.5">
      <c r="B2325" s="5" t="str">
        <f t="shared" si="2319"/>
        <v>SPS1</v>
      </c>
      <c r="C2325" s="5" t="str">
        <f t="shared" si="2320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2.0316610250016701E-7</v>
      </c>
      <c r="G2325" s="7" cm="1">
        <f t="array" ref="G2325">SUMPRODUCT(("CT_CWODBDS"=[1]OUT_SyntheticFuels!$C$4:$C$1000)*1,("var_ncap"=[1]OUT_SyntheticFuels!$B$4:$B$1000)*1,[1]OUT_SyntheticFuels!F$4:F$1000)</f>
        <v>1.4962182786023501E-7</v>
      </c>
      <c r="H2325" s="7" cm="1">
        <f t="array" ref="H2325">SUMPRODUCT(("CT_CWODBDS"=[1]OUT_SyntheticFuels!$C$4:$C$1000)*1,("var_ncap"=[1]OUT_SyntheticFuels!$B$4:$B$1000)*1,[1]OUT_SyntheticFuels!G$4:G$1000)</f>
        <v>1.42529699252386E-7</v>
      </c>
      <c r="I2325" s="7" cm="1">
        <f t="array" ref="I2325">SUMPRODUCT(("CT_CWODBDS"=[1]OUT_SyntheticFuels!$C$4:$C$1000)*1,("var_ncap"=[1]OUT_SyntheticFuels!$B$4:$B$1000)*1,[1]OUT_SyntheticFuels!H$4:H$1000)</f>
        <v>1.9027190482710101E-7</v>
      </c>
      <c r="J2325" s="7" cm="1">
        <f t="array" ref="J2325">SUMPRODUCT(("CT_CWODBDS"=[1]OUT_SyntheticFuels!$C$4:$C$1000)*1,("var_ncap"=[1]OUT_SyntheticFuels!$B$4:$B$1000)*1,[1]OUT_SyntheticFuels!I$4:I$1000)</f>
        <v>2.3451574191871099E-5</v>
      </c>
      <c r="K2325" s="7" cm="1">
        <f t="array" ref="K2325">SUMPRODUCT(("CT_CWODBDS"=[1]OUT_SyntheticFuels!$C$4:$C$1000)*1,("var_ncap"=[1]OUT_SyntheticFuels!$B$4:$B$1000)*1,[1]OUT_SyntheticFuels!J$4:J$1000)</f>
        <v>2.8360942815753999E-5</v>
      </c>
      <c r="L2325" s="7" cm="1">
        <f t="array" ref="L2325">SUMPRODUCT(("CT_CWODBDS"=[1]OUT_SyntheticFuels!$C$4:$C$1000)*1,("var_ncap"=[1]OUT_SyntheticFuels!$B$4:$B$1000)*1,[1]OUT_SyntheticFuels!K$4:K$1000)</f>
        <v>9.8534695100677892E-6</v>
      </c>
      <c r="M2325" s="7" cm="1">
        <f t="array" ref="M2325">SUMPRODUCT(("CT_CWODBDS"=[1]OUT_SyntheticFuels!$C$4:$C$1000)*1,("var_ncap"=[1]OUT_SyntheticFuels!$B$4:$B$1000)*1,[1]OUT_SyntheticFuels!L$4:L$1000)</f>
        <v>1.0757459711221299E-2</v>
      </c>
      <c r="N2325" s="7" cm="1">
        <f t="array" ref="N2325">SUMPRODUCT(("CT_CWODBDS"=[1]OUT_SyntheticFuels!$C$4:$C$1000)*1,("var_ncap"=[1]OUT_SyntheticFuels!$B$4:$B$1000)*1,[1]OUT_SyntheticFuels!M$4:M$1000)</f>
        <v>3.9914643850609E-3</v>
      </c>
      <c r="O2325" s="7" cm="1">
        <f t="array" ref="O2325">SUMPRODUCT(("CT_CWODBDS"=[1]OUT_SyntheticFuels!$C$4:$C$1000)*1,("var_ncap"=[1]OUT_SyntheticFuels!$B$4:$B$1000)*1,[1]OUT_SyntheticFuels!N$4:N$1000)</f>
        <v>9.35907481679513E-3</v>
      </c>
      <c r="P2325" s="7" cm="1">
        <f t="array" ref="P2325">SUMPRODUCT(("CT_CWODBDS"=[1]OUT_SyntheticFuels!$C$4:$C$1000)*1,("var_ncap"=[1]OUT_SyntheticFuels!$B$4:$B$1000)*1,[1]OUT_SyntheticFuels!O$4:O$1000)</f>
        <v>4.4094488074967297E-2</v>
      </c>
      <c r="Q2325" s="7" cm="1">
        <f t="array" ref="Q2325">SUMPRODUCT(("CT_CWODBDS"=[1]OUT_SyntheticFuels!$C$4:$C$1000)*1,("var_ncap"=[1]OUT_SyntheticFuels!$B$4:$B$1000)*1,[1]OUT_SyntheticFuels!P$4:P$1000)</f>
        <v>2.44350065692054E-2</v>
      </c>
      <c r="S2325" s="3"/>
    </row>
    <row r="2326" spans="2:19" x14ac:dyDescent="0.5">
      <c r="B2326" s="5" t="str">
        <f t="shared" si="2319"/>
        <v>SPS1</v>
      </c>
      <c r="C2326" s="5" t="str">
        <f t="shared" si="2320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SUMPRODUCT(("CT_CWODBDSCCS"=[1]OUT_SyntheticFuels!$C$4:$C$1000)*1,("var_ncap"=[1]OUT_SyntheticFuels!$B$4:$B$1000)*1,[1]OUT_SyntheticFuels!I$4:I$1000)</f>
        <v>0</v>
      </c>
      <c r="K2326" s="7" cm="1">
        <f t="array" ref="K2326">SUMPRODUCT(("CT_CWODBDSCCS"=[1]OUT_SyntheticFuels!$C$4:$C$1000)*1,("var_ncap"=[1]OUT_SyntheticFuels!$B$4:$B$1000)*1,[1]OUT_SyntheticFuels!J$4:J$1000)</f>
        <v>0</v>
      </c>
      <c r="L2326" s="7" cm="1">
        <f t="array" ref="L2326">SUMPRODUCT(("CT_CWODBDSCCS"=[1]OUT_SyntheticFuels!$C$4:$C$1000)*1,("var_ncap"=[1]OUT_SyntheticFuels!$B$4:$B$1000)*1,[1]OUT_SyntheticFuels!K$4:K$1000)</f>
        <v>0</v>
      </c>
      <c r="M2326" s="7" cm="1">
        <f t="array" ref="M2326">SUMPRODUCT(("CT_CWODBDSCCS"=[1]OUT_SyntheticFuels!$C$4:$C$1000)*1,("var_ncap"=[1]OUT_SyntheticFuels!$B$4:$B$1000)*1,[1]OUT_SyntheticFuels!L$4:L$1000)</f>
        <v>0</v>
      </c>
      <c r="N2326" s="7" cm="1">
        <f t="array" ref="N2326">SUMPRODUCT(("CT_CWODBDSCCS"=[1]OUT_SyntheticFuels!$C$4:$C$1000)*1,("var_ncap"=[1]OUT_SyntheticFuels!$B$4:$B$1000)*1,[1]OUT_SyntheticFuels!M$4:M$1000)</f>
        <v>0</v>
      </c>
      <c r="O2326" s="7" cm="1">
        <f t="array" ref="O2326">SUMPRODUCT(("CT_CWODBDSCCS"=[1]OUT_SyntheticFuels!$C$4:$C$1000)*1,("var_ncap"=[1]OUT_SyntheticFuels!$B$4:$B$1000)*1,[1]OUT_SyntheticFuels!N$4:N$1000)</f>
        <v>0</v>
      </c>
      <c r="P2326" s="7" cm="1">
        <f t="array" ref="P2326">SUMPRODUCT(("CT_CWODBDSCCS"=[1]OUT_SyntheticFuels!$C$4:$C$1000)*1,("var_ncap"=[1]OUT_SyntheticFuels!$B$4:$B$1000)*1,[1]OUT_SyntheticFuels!O$4:O$1000)</f>
        <v>0</v>
      </c>
      <c r="Q2326" s="7" cm="1">
        <f t="array" ref="Q2326">SUMPRODUCT(("CT_CWODBDSCCS"=[1]OUT_SyntheticFuels!$C$4:$C$1000)*1,("var_ncap"=[1]OUT_SyntheticFuels!$B$4:$B$1000)*1,[1]OUT_SyntheticFuels!P$4:P$1000)</f>
        <v>0</v>
      </c>
      <c r="S2326" s="3"/>
    </row>
    <row r="2327" spans="2:19" x14ac:dyDescent="0.5">
      <c r="B2327" s="5" t="str">
        <f t="shared" si="2319"/>
        <v>SPS1</v>
      </c>
      <c r="C2327" s="5" t="str">
        <f t="shared" si="2320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4.9455769856657601E-3</v>
      </c>
      <c r="G2327" s="7" cm="1">
        <f t="array" ref="G2327">SUMPRODUCT(("CT_CWODETH"=[1]OUT_SyntheticFuels!$C$4:$C$1000)*1,("var_ncap"=[1]OUT_SyntheticFuels!$B$4:$B$1000)*1,[1]OUT_SyntheticFuels!F$4:F$1000)</f>
        <v>1.8850153886563699E-7</v>
      </c>
      <c r="H2327" s="7" cm="1">
        <f t="array" ref="H2327">SUMPRODUCT(("CT_CWODETH"=[1]OUT_SyntheticFuels!$C$4:$C$1000)*1,("var_ncap"=[1]OUT_SyntheticFuels!$B$4:$B$1000)*1,[1]OUT_SyntheticFuels!G$4:G$1000)</f>
        <v>1.87712595538523E-7</v>
      </c>
      <c r="I2327" s="7" cm="1">
        <f t="array" ref="I2327">SUMPRODUCT(("CT_CWODETH"=[1]OUT_SyntheticFuels!$C$4:$C$1000)*1,("var_ncap"=[1]OUT_SyntheticFuels!$B$4:$B$1000)*1,[1]OUT_SyntheticFuels!H$4:H$1000)</f>
        <v>1.80542175793339E-7</v>
      </c>
      <c r="J2327" s="7" cm="1">
        <f t="array" ref="J2327">SUMPRODUCT(("CT_CWODETH"=[1]OUT_SyntheticFuels!$C$4:$C$1000)*1,("var_ncap"=[1]OUT_SyntheticFuels!$B$4:$B$1000)*1,[1]OUT_SyntheticFuels!I$4:I$1000)</f>
        <v>1.7320201494036801E-6</v>
      </c>
      <c r="K2327" s="7" cm="1">
        <f t="array" ref="K2327">SUMPRODUCT(("CT_CWODETH"=[1]OUT_SyntheticFuels!$C$4:$C$1000)*1,("var_ncap"=[1]OUT_SyntheticFuels!$B$4:$B$1000)*1,[1]OUT_SyntheticFuels!J$4:J$1000)</f>
        <v>9.5824723007527599E-6</v>
      </c>
      <c r="L2327" s="7" cm="1">
        <f t="array" ref="L2327">SUMPRODUCT(("CT_CWODETH"=[1]OUT_SyntheticFuels!$C$4:$C$1000)*1,("var_ncap"=[1]OUT_SyntheticFuels!$B$4:$B$1000)*1,[1]OUT_SyntheticFuels!K$4:K$1000)</f>
        <v>1.21503495913869E-5</v>
      </c>
      <c r="M2327" s="7" cm="1">
        <f t="array" ref="M2327">SUMPRODUCT(("CT_CWODETH"=[1]OUT_SyntheticFuels!$C$4:$C$1000)*1,("var_ncap"=[1]OUT_SyntheticFuels!$B$4:$B$1000)*1,[1]OUT_SyntheticFuels!L$4:L$1000)</f>
        <v>2.4112245451603401E-5</v>
      </c>
      <c r="N2327" s="7" cm="1">
        <f t="array" ref="N2327">SUMPRODUCT(("CT_CWODETH"=[1]OUT_SyntheticFuels!$C$4:$C$1000)*1,("var_ncap"=[1]OUT_SyntheticFuels!$B$4:$B$1000)*1,[1]OUT_SyntheticFuels!M$4:M$1000)</f>
        <v>1.12284249655241E-6</v>
      </c>
      <c r="O2327" s="7" cm="1">
        <f t="array" ref="O2327">SUMPRODUCT(("CT_CWODETH"=[1]OUT_SyntheticFuels!$C$4:$C$1000)*1,("var_ncap"=[1]OUT_SyntheticFuels!$B$4:$B$1000)*1,[1]OUT_SyntheticFuels!N$4:N$1000)</f>
        <v>3.4230827811898398E-5</v>
      </c>
      <c r="P2327" s="7" cm="1">
        <f t="array" ref="P2327">SUMPRODUCT(("CT_CWODETH"=[1]OUT_SyntheticFuels!$C$4:$C$1000)*1,("var_ncap"=[1]OUT_SyntheticFuels!$B$4:$B$1000)*1,[1]OUT_SyntheticFuels!O$4:O$1000)</f>
        <v>3.9588202499848403E-6</v>
      </c>
      <c r="Q2327" s="7" cm="1">
        <f t="array" ref="Q2327">SUMPRODUCT(("CT_CWODETH"=[1]OUT_SyntheticFuels!$C$4:$C$1000)*1,("var_ncap"=[1]OUT_SyntheticFuels!$B$4:$B$1000)*1,[1]OUT_SyntheticFuels!P$4:P$1000)</f>
        <v>9.2929323968898004E-5</v>
      </c>
      <c r="S2327" s="3"/>
    </row>
    <row r="2328" spans="2:19" x14ac:dyDescent="0.5">
      <c r="B2328" s="5" t="str">
        <f t="shared" si="2319"/>
        <v>SPS1</v>
      </c>
      <c r="C2328" s="5" t="str">
        <f t="shared" si="2320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SUMPRODUCT(("CT_CWODETHCCS"=[1]OUT_SyntheticFuels!$C$4:$C$1000)*1,("var_ncap"=[1]OUT_SyntheticFuels!$B$4:$B$1000)*1,[1]OUT_SyntheticFuels!I$4:I$1000)</f>
        <v>0</v>
      </c>
      <c r="K2328" s="7" cm="1">
        <f t="array" ref="K2328">SUMPRODUCT(("CT_CWODETHCCS"=[1]OUT_SyntheticFuels!$C$4:$C$1000)*1,("var_ncap"=[1]OUT_SyntheticFuels!$B$4:$B$1000)*1,[1]OUT_SyntheticFuels!J$4:J$1000)</f>
        <v>0</v>
      </c>
      <c r="L2328" s="7" cm="1">
        <f t="array" ref="L2328">SUMPRODUCT(("CT_CWODETHCCS"=[1]OUT_SyntheticFuels!$C$4:$C$1000)*1,("var_ncap"=[1]OUT_SyntheticFuels!$B$4:$B$1000)*1,[1]OUT_SyntheticFuels!K$4:K$1000)</f>
        <v>0</v>
      </c>
      <c r="M2328" s="7" cm="1">
        <f t="array" ref="M2328">SUMPRODUCT(("CT_CWODETHCCS"=[1]OUT_SyntheticFuels!$C$4:$C$1000)*1,("var_ncap"=[1]OUT_SyntheticFuels!$B$4:$B$1000)*1,[1]OUT_SyntheticFuels!L$4:L$1000)</f>
        <v>0</v>
      </c>
      <c r="N2328" s="7" cm="1">
        <f t="array" ref="N2328">SUMPRODUCT(("CT_CWODETHCCS"=[1]OUT_SyntheticFuels!$C$4:$C$1000)*1,("var_ncap"=[1]OUT_SyntheticFuels!$B$4:$B$1000)*1,[1]OUT_SyntheticFuels!M$4:M$1000)</f>
        <v>0</v>
      </c>
      <c r="O2328" s="7" cm="1">
        <f t="array" ref="O2328">SUMPRODUCT(("CT_CWODETHCCS"=[1]OUT_SyntheticFuels!$C$4:$C$1000)*1,("var_ncap"=[1]OUT_SyntheticFuels!$B$4:$B$1000)*1,[1]OUT_SyntheticFuels!N$4:N$1000)</f>
        <v>0</v>
      </c>
      <c r="P2328" s="7" cm="1">
        <f t="array" ref="P2328">SUMPRODUCT(("CT_CWODETHCCS"=[1]OUT_SyntheticFuels!$C$4:$C$1000)*1,("var_ncap"=[1]OUT_SyntheticFuels!$B$4:$B$1000)*1,[1]OUT_SyntheticFuels!O$4:O$1000)</f>
        <v>0</v>
      </c>
      <c r="Q2328" s="7" cm="1">
        <f t="array" ref="Q2328">SUMPRODUCT(("CT_CWODETHCCS"=[1]OUT_SyntheticFuels!$C$4:$C$1000)*1,("var_ncap"=[1]OUT_SyntheticFuels!$B$4:$B$1000)*1,[1]OUT_SyntheticFuels!P$4:P$1000)</f>
        <v>0</v>
      </c>
      <c r="S2328" s="3"/>
    </row>
    <row r="2329" spans="2:19" x14ac:dyDescent="0.5">
      <c r="B2329" s="5" t="str">
        <f t="shared" si="2319"/>
        <v>SPS1</v>
      </c>
      <c r="C2329" s="5" t="str">
        <f t="shared" si="2320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4.98347557088889E-2</v>
      </c>
      <c r="G2329" s="7" cm="1">
        <f t="array" ref="G2329">SUMPRODUCT(("SUP_MNRBIO"=[1]OUT_SyntheticFuels!$C$4:$C$1000)*1,("var_ncap"=[1]OUT_SyntheticFuels!$B$4:$B$1000)*1,[1]OUT_SyntheticFuels!F$4:F$1000)</f>
        <v>0.111885995488561</v>
      </c>
      <c r="H2329" s="7" cm="1">
        <f t="array" ref="H2329">SUMPRODUCT(("SUP_MNRBIO"=[1]OUT_SyntheticFuels!$C$4:$C$1000)*1,("var_ncap"=[1]OUT_SyntheticFuels!$B$4:$B$1000)*1,[1]OUT_SyntheticFuels!G$4:G$1000)</f>
        <v>6.7845398988963996E-4</v>
      </c>
      <c r="I2329" s="7" cm="1">
        <f t="array" ref="I2329">SUMPRODUCT(("SUP_MNRBIO"=[1]OUT_SyntheticFuels!$C$4:$C$1000)*1,("var_ncap"=[1]OUT_SyntheticFuels!$B$4:$B$1000)*1,[1]OUT_SyntheticFuels!H$4:H$1000)</f>
        <v>2.9442434658131098E-6</v>
      </c>
      <c r="J2329" s="7" cm="1">
        <f t="array" ref="J2329">SUMPRODUCT(("SUP_MNRBIO"=[1]OUT_SyntheticFuels!$C$4:$C$1000)*1,("var_ncap"=[1]OUT_SyntheticFuels!$B$4:$B$1000)*1,[1]OUT_SyntheticFuels!I$4:I$1000)</f>
        <v>9.9555093426560702E-6</v>
      </c>
      <c r="K2329" s="7" cm="1">
        <f t="array" ref="K2329">SUMPRODUCT(("SUP_MNRBIO"=[1]OUT_SyntheticFuels!$C$4:$C$1000)*1,("var_ncap"=[1]OUT_SyntheticFuels!$B$4:$B$1000)*1,[1]OUT_SyntheticFuels!J$4:J$1000)</f>
        <v>7.2274549531319204E-2</v>
      </c>
      <c r="L2329" s="7" cm="1">
        <f t="array" ref="L2329">SUMPRODUCT(("SUP_MNRBIO"=[1]OUT_SyntheticFuels!$C$4:$C$1000)*1,("var_ncap"=[1]OUT_SyntheticFuels!$B$4:$B$1000)*1,[1]OUT_SyntheticFuels!K$4:K$1000)</f>
        <v>9.0013185624706102E-2</v>
      </c>
      <c r="M2329" s="7" cm="1">
        <f t="array" ref="M2329">SUMPRODUCT(("SUP_MNRBIO"=[1]OUT_SyntheticFuels!$C$4:$C$1000)*1,("var_ncap"=[1]OUT_SyntheticFuels!$B$4:$B$1000)*1,[1]OUT_SyntheticFuels!L$4:L$1000)</f>
        <v>1.2710485079618899E-4</v>
      </c>
      <c r="N2329" s="7" cm="1">
        <f t="array" ref="N2329">SUMPRODUCT(("SUP_MNRBIO"=[1]OUT_SyntheticFuels!$C$4:$C$1000)*1,("var_ncap"=[1]OUT_SyntheticFuels!$B$4:$B$1000)*1,[1]OUT_SyntheticFuels!M$4:M$1000)</f>
        <v>9.5810844875541396E-3</v>
      </c>
      <c r="O2329" s="7" cm="1">
        <f t="array" ref="O2329">SUMPRODUCT(("SUP_MNRBIO"=[1]OUT_SyntheticFuels!$C$4:$C$1000)*1,("var_ncap"=[1]OUT_SyntheticFuels!$B$4:$B$1000)*1,[1]OUT_SyntheticFuels!N$4:N$1000)</f>
        <v>6.2706166931155702E-2</v>
      </c>
      <c r="P2329" s="7" cm="1">
        <f t="array" ref="P2329">SUMPRODUCT(("SUP_MNRBIO"=[1]OUT_SyntheticFuels!$C$4:$C$1000)*1,("var_ncap"=[1]OUT_SyntheticFuels!$B$4:$B$1000)*1,[1]OUT_SyntheticFuels!O$4:O$1000)</f>
        <v>9.0012256074135405E-2</v>
      </c>
      <c r="Q2329" s="7" cm="1">
        <f t="array" ref="Q2329">SUMPRODUCT(("SUP_MNRBIO"=[1]OUT_SyntheticFuels!$C$4:$C$1000)*1,("var_ncap"=[1]OUT_SyntheticFuels!$B$4:$B$1000)*1,[1]OUT_SyntheticFuels!P$4:P$1000)</f>
        <v>1.39206452850378E-4</v>
      </c>
      <c r="S2329" s="3"/>
    </row>
    <row r="2330" spans="2:19" x14ac:dyDescent="0.5">
      <c r="B2330" s="5" t="str">
        <f t="shared" si="2319"/>
        <v>SPS1</v>
      </c>
      <c r="C2330" s="5" t="str">
        <f t="shared" si="2320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4.0984051952070704E-3</v>
      </c>
      <c r="G2330" s="7" cm="1">
        <f t="array" ref="G2330">SUMPRODUCT(("SUP_WSTBIO"=[1]OUT_SyntheticFuels!$C$4:$C$1000)*1,("var_ncap"=[1]OUT_SyntheticFuels!$B$4:$B$1000)*1,[1]OUT_SyntheticFuels!F$4:F$1000)</f>
        <v>5.5588652772563599E-3</v>
      </c>
      <c r="H2330" s="7" cm="1">
        <f t="array" ref="H2330">SUMPRODUCT(("SUP_WSTBIO"=[1]OUT_SyntheticFuels!$C$4:$C$1000)*1,("var_ncap"=[1]OUT_SyntheticFuels!$B$4:$B$1000)*1,[1]OUT_SyntheticFuels!G$4:G$1000)</f>
        <v>7.39336302356916E-7</v>
      </c>
      <c r="I2330" s="7" cm="1">
        <f t="array" ref="I2330">SUMPRODUCT(("SUP_WSTBIO"=[1]OUT_SyntheticFuels!$C$4:$C$1000)*1,("var_ncap"=[1]OUT_SyntheticFuels!$B$4:$B$1000)*1,[1]OUT_SyntheticFuels!H$4:H$1000)</f>
        <v>7.28497254800409E-2</v>
      </c>
      <c r="J2330" s="7" cm="1">
        <f t="array" ref="J2330">SUMPRODUCT(("SUP_WSTBIO"=[1]OUT_SyntheticFuels!$C$4:$C$1000)*1,("var_ncap"=[1]OUT_SyntheticFuels!$B$4:$B$1000)*1,[1]OUT_SyntheticFuels!I$4:I$1000)</f>
        <v>0.116853823084095</v>
      </c>
      <c r="K2330" s="7" cm="1">
        <f t="array" ref="K2330">SUMPRODUCT(("SUP_WSTBIO"=[1]OUT_SyntheticFuels!$C$4:$C$1000)*1,("var_ncap"=[1]OUT_SyntheticFuels!$B$4:$B$1000)*1,[1]OUT_SyntheticFuels!J$4:J$1000)</f>
        <v>1.6118280016528898E-2</v>
      </c>
      <c r="L2330" s="7" cm="1">
        <f t="array" ref="L2330">SUMPRODUCT(("SUP_WSTBIO"=[1]OUT_SyntheticFuels!$C$4:$C$1000)*1,("var_ncap"=[1]OUT_SyntheticFuels!$B$4:$B$1000)*1,[1]OUT_SyntheticFuels!K$4:K$1000)</f>
        <v>2.2139561855725E-2</v>
      </c>
      <c r="M2330" s="7" cm="1">
        <f t="array" ref="M2330">SUMPRODUCT(("SUP_WSTBIO"=[1]OUT_SyntheticFuels!$C$4:$C$1000)*1,("var_ncap"=[1]OUT_SyntheticFuels!$B$4:$B$1000)*1,[1]OUT_SyntheticFuels!L$4:L$1000)</f>
        <v>4.3686050808823998E-2</v>
      </c>
      <c r="N2330" s="7" cm="1">
        <f t="array" ref="N2330">SUMPRODUCT(("SUP_WSTBIO"=[1]OUT_SyntheticFuels!$C$4:$C$1000)*1,("var_ncap"=[1]OUT_SyntheticFuels!$B$4:$B$1000)*1,[1]OUT_SyntheticFuels!M$4:M$1000)</f>
        <v>8.35134994469761E-2</v>
      </c>
      <c r="O2330" s="7" cm="1">
        <f t="array" ref="O2330">SUMPRODUCT(("SUP_WSTBIO"=[1]OUT_SyntheticFuels!$C$4:$C$1000)*1,("var_ncap"=[1]OUT_SyntheticFuels!$B$4:$B$1000)*1,[1]OUT_SyntheticFuels!N$4:N$1000)</f>
        <v>4.9452015765266102E-2</v>
      </c>
      <c r="P2330" s="7" cm="1">
        <f t="array" ref="P2330">SUMPRODUCT(("SUP_WSTBIO"=[1]OUT_SyntheticFuels!$C$4:$C$1000)*1,("var_ncap"=[1]OUT_SyntheticFuels!$B$4:$B$1000)*1,[1]OUT_SyntheticFuels!O$4:O$1000)</f>
        <v>2.2138098413933601E-2</v>
      </c>
      <c r="Q2330" s="7" cm="1">
        <f t="array" ref="Q2330">SUMPRODUCT(("SUP_WSTBIO"=[1]OUT_SyntheticFuels!$C$4:$C$1000)*1,("var_ncap"=[1]OUT_SyntheticFuels!$B$4:$B$1000)*1,[1]OUT_SyntheticFuels!P$4:P$1000)</f>
        <v>4.3664578339752999E-2</v>
      </c>
      <c r="S2330" s="3"/>
    </row>
    <row r="2331" spans="2:19" x14ac:dyDescent="0.5">
      <c r="B2331" s="5" t="str">
        <f t="shared" si="2319"/>
        <v>SPS1</v>
      </c>
      <c r="C2331" s="5" t="str">
        <f t="shared" si="2320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SUMPRODUCT(("SUP_WSTBIOCCS"=[1]OUT_SyntheticFuels!$C$4:$C$1000)*1,("var_ncap"=[1]OUT_SyntheticFuels!$B$4:$B$1000)*1,[1]OUT_SyntheticFuels!I$4:I$1000)</f>
        <v>0</v>
      </c>
      <c r="K2331" s="7" cm="1">
        <f t="array" ref="K2331">SUMPRODUCT(("SUP_WSTBIOCCS"=[1]OUT_SyntheticFuels!$C$4:$C$1000)*1,("var_ncap"=[1]OUT_SyntheticFuels!$B$4:$B$1000)*1,[1]OUT_SyntheticFuels!J$4:J$1000)</f>
        <v>0</v>
      </c>
      <c r="L2331" s="7" cm="1">
        <f t="array" ref="L2331">SUMPRODUCT(("SUP_WSTBIOCCS"=[1]OUT_SyntheticFuels!$C$4:$C$1000)*1,("var_ncap"=[1]OUT_SyntheticFuels!$B$4:$B$1000)*1,[1]OUT_SyntheticFuels!K$4:K$1000)</f>
        <v>0</v>
      </c>
      <c r="M2331" s="7" cm="1">
        <f t="array" ref="M2331">SUMPRODUCT(("SUP_WSTBIOCCS"=[1]OUT_SyntheticFuels!$C$4:$C$1000)*1,("var_ncap"=[1]OUT_SyntheticFuels!$B$4:$B$1000)*1,[1]OUT_SyntheticFuels!L$4:L$1000)</f>
        <v>0</v>
      </c>
      <c r="N2331" s="7" cm="1">
        <f t="array" ref="N2331">SUMPRODUCT(("SUP_WSTBIOCCS"=[1]OUT_SyntheticFuels!$C$4:$C$1000)*1,("var_ncap"=[1]OUT_SyntheticFuels!$B$4:$B$1000)*1,[1]OUT_SyntheticFuels!M$4:M$1000)</f>
        <v>0</v>
      </c>
      <c r="O2331" s="7" cm="1">
        <f t="array" ref="O2331">SUMPRODUCT(("SUP_WSTBIOCCS"=[1]OUT_SyntheticFuels!$C$4:$C$1000)*1,("var_ncap"=[1]OUT_SyntheticFuels!$B$4:$B$1000)*1,[1]OUT_SyntheticFuels!N$4:N$1000)</f>
        <v>0</v>
      </c>
      <c r="P2331" s="7" cm="1">
        <f t="array" ref="P2331">SUMPRODUCT(("SUP_WSTBIOCCS"=[1]OUT_SyntheticFuels!$C$4:$C$1000)*1,("var_ncap"=[1]OUT_SyntheticFuels!$B$4:$B$1000)*1,[1]OUT_SyntheticFuels!O$4:O$1000)</f>
        <v>0</v>
      </c>
      <c r="Q2331" s="7" cm="1">
        <f t="array" ref="Q2331">SUMPRODUCT(("SUP_WSTBIOCCS"=[1]OUT_SyntheticFuels!$C$4:$C$1000)*1,("var_ncap"=[1]OUT_SyntheticFuels!$B$4:$B$1000)*1,[1]OUT_SyntheticFuels!P$4:P$1000)</f>
        <v>0</v>
      </c>
      <c r="S2331" s="3"/>
    </row>
    <row r="2332" spans="2:19" x14ac:dyDescent="0.5">
      <c r="B2332" s="5" t="str">
        <f t="shared" si="2319"/>
        <v>SPS1</v>
      </c>
      <c r="C2332" s="5" t="str">
        <f t="shared" si="2320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SUMPRODUCT(("SUP_WSTHTGBIO"=[1]OUT_SyntheticFuels!$C$4:$C$1000)*1,("var_ncap"=[1]OUT_SyntheticFuels!$B$4:$B$1000)*1,[1]OUT_SyntheticFuels!I$4:I$1000)</f>
        <v>0</v>
      </c>
      <c r="K2332" s="7" cm="1">
        <f t="array" ref="K2332">SUMPRODUCT(("SUP_WSTHTGBIO"=[1]OUT_SyntheticFuels!$C$4:$C$1000)*1,("var_ncap"=[1]OUT_SyntheticFuels!$B$4:$B$1000)*1,[1]OUT_SyntheticFuels!J$4:J$1000)</f>
        <v>3.0690025101413399E-5</v>
      </c>
      <c r="L2332" s="7" cm="1">
        <f t="array" ref="L2332">SUMPRODUCT(("SUP_WSTHTGBIO"=[1]OUT_SyntheticFuels!$C$4:$C$1000)*1,("var_ncap"=[1]OUT_SyntheticFuels!$B$4:$B$1000)*1,[1]OUT_SyntheticFuels!K$4:K$1000)</f>
        <v>1.61321945599994E-6</v>
      </c>
      <c r="M2332" s="7" cm="1">
        <f t="array" ref="M2332">SUMPRODUCT(("SUP_WSTHTGBIO"=[1]OUT_SyntheticFuels!$C$4:$C$1000)*1,("var_ncap"=[1]OUT_SyntheticFuels!$B$4:$B$1000)*1,[1]OUT_SyntheticFuels!L$4:L$1000)</f>
        <v>6.8388633638155098E-6</v>
      </c>
      <c r="N2332" s="7" cm="1">
        <f t="array" ref="N2332">SUMPRODUCT(("SUP_WSTHTGBIO"=[1]OUT_SyntheticFuels!$C$4:$C$1000)*1,("var_ncap"=[1]OUT_SyntheticFuels!$B$4:$B$1000)*1,[1]OUT_SyntheticFuels!M$4:M$1000)</f>
        <v>1.13069723697637E-6</v>
      </c>
      <c r="O2332" s="7" cm="1">
        <f t="array" ref="O2332">SUMPRODUCT(("SUP_WSTHTGBIO"=[1]OUT_SyntheticFuels!$C$4:$C$1000)*1,("var_ncap"=[1]OUT_SyntheticFuels!$B$4:$B$1000)*1,[1]OUT_SyntheticFuels!N$4:N$1000)</f>
        <v>3.7518182177526498E-5</v>
      </c>
      <c r="P2332" s="7" cm="1">
        <f t="array" ref="P2332">SUMPRODUCT(("SUP_WSTHTGBIO"=[1]OUT_SyntheticFuels!$C$4:$C$1000)*1,("var_ncap"=[1]OUT_SyntheticFuels!$B$4:$B$1000)*1,[1]OUT_SyntheticFuels!O$4:O$1000)</f>
        <v>8.2982844700930798E-7</v>
      </c>
      <c r="Q2332" s="7" cm="1">
        <f t="array" ref="Q2332">SUMPRODUCT(("SUP_WSTHTGBIO"=[1]OUT_SyntheticFuels!$C$4:$C$1000)*1,("var_ncap"=[1]OUT_SyntheticFuels!$B$4:$B$1000)*1,[1]OUT_SyntheticFuels!P$4:P$1000)</f>
        <v>4.8629837776644402E-5</v>
      </c>
      <c r="S2332" s="3"/>
    </row>
    <row r="2333" spans="2:19" x14ac:dyDescent="0.5">
      <c r="B2333" s="5" t="str">
        <f t="shared" si="2319"/>
        <v>SPS1</v>
      </c>
      <c r="C2333" s="5" t="str">
        <f t="shared" si="2320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SUMPRODUCT(("SUP_WSTHTGBIOCCS"=[1]OUT_SyntheticFuels!$C$4:$C$1000)*1,("var_ncap"=[1]OUT_SyntheticFuels!$B$4:$B$1000)*1,[1]OUT_SyntheticFuels!I$4:I$1000)</f>
        <v>0</v>
      </c>
      <c r="K2333" s="7" cm="1">
        <f t="array" ref="K2333">SUMPRODUCT(("SUP_WSTHTGBIOCCS"=[1]OUT_SyntheticFuels!$C$4:$C$1000)*1,("var_ncap"=[1]OUT_SyntheticFuels!$B$4:$B$1000)*1,[1]OUT_SyntheticFuels!J$4:J$1000)</f>
        <v>0</v>
      </c>
      <c r="L2333" s="7" cm="1">
        <f t="array" ref="L2333">SUMPRODUCT(("SUP_WSTHTGBIOCCS"=[1]OUT_SyntheticFuels!$C$4:$C$1000)*1,("var_ncap"=[1]OUT_SyntheticFuels!$B$4:$B$1000)*1,[1]OUT_SyntheticFuels!K$4:K$1000)</f>
        <v>0</v>
      </c>
      <c r="M2333" s="7" cm="1">
        <f t="array" ref="M2333">SUMPRODUCT(("SUP_WSTHTGBIOCCS"=[1]OUT_SyntheticFuels!$C$4:$C$1000)*1,("var_ncap"=[1]OUT_SyntheticFuels!$B$4:$B$1000)*1,[1]OUT_SyntheticFuels!L$4:L$1000)</f>
        <v>0</v>
      </c>
      <c r="N2333" s="7" cm="1">
        <f t="array" ref="N2333">SUMPRODUCT(("SUP_WSTHTGBIOCCS"=[1]OUT_SyntheticFuels!$C$4:$C$1000)*1,("var_ncap"=[1]OUT_SyntheticFuels!$B$4:$B$1000)*1,[1]OUT_SyntheticFuels!M$4:M$1000)</f>
        <v>0</v>
      </c>
      <c r="O2333" s="7" cm="1">
        <f t="array" ref="O2333">SUMPRODUCT(("SUP_WSTHTGBIOCCS"=[1]OUT_SyntheticFuels!$C$4:$C$1000)*1,("var_ncap"=[1]OUT_SyntheticFuels!$B$4:$B$1000)*1,[1]OUT_SyntheticFuels!N$4:N$1000)</f>
        <v>0</v>
      </c>
      <c r="P2333" s="7" cm="1">
        <f t="array" ref="P2333">SUMPRODUCT(("SUP_WSTHTGBIOCCS"=[1]OUT_SyntheticFuels!$C$4:$C$1000)*1,("var_ncap"=[1]OUT_SyntheticFuels!$B$4:$B$1000)*1,[1]OUT_SyntheticFuels!O$4:O$1000)</f>
        <v>0</v>
      </c>
      <c r="Q2333" s="7" cm="1">
        <f t="array" ref="Q2333">SUMPRODUCT(("SUP_WSTHTGBIOCCS"=[1]OUT_SyntheticFuels!$C$4:$C$1000)*1,("var_ncap"=[1]OUT_SyntheticFuels!$B$4:$B$1000)*1,[1]OUT_SyntheticFuels!P$4:P$1000)</f>
        <v>0</v>
      </c>
      <c r="S2333" s="3"/>
    </row>
    <row r="2334" spans="2:19" x14ac:dyDescent="0.5">
      <c r="B2334" s="5" t="str">
        <f t="shared" si="2319"/>
        <v>SPS1</v>
      </c>
      <c r="C2334" s="5" t="str">
        <f t="shared" si="2320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6.4660260969566299E-7</v>
      </c>
      <c r="G2334" s="7" cm="1">
        <f t="array" ref="G2334">SUMPRODUCT(("SUP_WODBIO"=[1]OUT_SyntheticFuels!$C$4:$C$1000)*1,("var_ncap"=[1]OUT_SyntheticFuels!$B$4:$B$1000)*1,[1]OUT_SyntheticFuels!F$4:F$1000)</f>
        <v>2.45426077636122E-5</v>
      </c>
      <c r="H2334" s="7" cm="1">
        <f t="array" ref="H2334">SUMPRODUCT(("SUP_WODBIO"=[1]OUT_SyntheticFuels!$C$4:$C$1000)*1,("var_ncap"=[1]OUT_SyntheticFuels!$B$4:$B$1000)*1,[1]OUT_SyntheticFuels!G$4:G$1000)</f>
        <v>1.79902657072195E-6</v>
      </c>
      <c r="I2334" s="7" cm="1">
        <f t="array" ref="I2334">SUMPRODUCT(("SUP_WODBIO"=[1]OUT_SyntheticFuels!$C$4:$C$1000)*1,("var_ncap"=[1]OUT_SyntheticFuels!$B$4:$B$1000)*1,[1]OUT_SyntheticFuels!H$4:H$1000)</f>
        <v>4.62765774325099E-7</v>
      </c>
      <c r="J2334" s="7" cm="1">
        <f t="array" ref="J2334">SUMPRODUCT(("SUP_WODBIO"=[1]OUT_SyntheticFuels!$C$4:$C$1000)*1,("var_ncap"=[1]OUT_SyntheticFuels!$B$4:$B$1000)*1,[1]OUT_SyntheticFuels!I$4:I$1000)</f>
        <v>1.9072896471125601E-5</v>
      </c>
      <c r="K2334" s="7" cm="1">
        <f t="array" ref="K2334">SUMPRODUCT(("SUP_WODBIO"=[1]OUT_SyntheticFuels!$C$4:$C$1000)*1,("var_ncap"=[1]OUT_SyntheticFuels!$B$4:$B$1000)*1,[1]OUT_SyntheticFuels!J$4:J$1000)</f>
        <v>6.3684875706069403E-6</v>
      </c>
      <c r="L2334" s="7" cm="1">
        <f t="array" ref="L2334">SUMPRODUCT(("SUP_WODBIO"=[1]OUT_SyntheticFuels!$C$4:$C$1000)*1,("var_ncap"=[1]OUT_SyntheticFuels!$B$4:$B$1000)*1,[1]OUT_SyntheticFuels!K$4:K$1000)</f>
        <v>1.5493082665025099E-5</v>
      </c>
      <c r="M2334" s="7" cm="1">
        <f t="array" ref="M2334">SUMPRODUCT(("SUP_WODBIO"=[1]OUT_SyntheticFuels!$C$4:$C$1000)*1,("var_ncap"=[1]OUT_SyntheticFuels!$B$4:$B$1000)*1,[1]OUT_SyntheticFuels!L$4:L$1000)</f>
        <v>2.40555042969191E-5</v>
      </c>
      <c r="N2334" s="7" cm="1">
        <f t="array" ref="N2334">SUMPRODUCT(("SUP_WODBIO"=[1]OUT_SyntheticFuels!$C$4:$C$1000)*1,("var_ncap"=[1]OUT_SyntheticFuels!$B$4:$B$1000)*1,[1]OUT_SyntheticFuels!M$4:M$1000)</f>
        <v>1.51356658774956E-6</v>
      </c>
      <c r="O2334" s="7" cm="1">
        <f t="array" ref="O2334">SUMPRODUCT(("SUP_WODBIO"=[1]OUT_SyntheticFuels!$C$4:$C$1000)*1,("var_ncap"=[1]OUT_SyntheticFuels!$B$4:$B$1000)*1,[1]OUT_SyntheticFuels!N$4:N$1000)</f>
        <v>3.7480047505330101E-5</v>
      </c>
      <c r="P2334" s="7" cm="1">
        <f t="array" ref="P2334">SUMPRODUCT(("SUP_WODBIO"=[1]OUT_SyntheticFuels!$C$4:$C$1000)*1,("var_ncap"=[1]OUT_SyntheticFuels!$B$4:$B$1000)*1,[1]OUT_SyntheticFuels!O$4:O$1000)</f>
        <v>5.3323613225677103E-6</v>
      </c>
      <c r="Q2334" s="7" cm="1">
        <f t="array" ref="Q2334">SUMPRODUCT(("SUP_WODBIO"=[1]OUT_SyntheticFuels!$C$4:$C$1000)*1,("var_ncap"=[1]OUT_SyntheticFuels!$B$4:$B$1000)*1,[1]OUT_SyntheticFuels!P$4:P$1000)</f>
        <v>9.4969702650167696E-5</v>
      </c>
      <c r="S2334" s="3"/>
    </row>
    <row r="2335" spans="2:19" x14ac:dyDescent="0.5">
      <c r="B2335" s="5" t="str">
        <f t="shared" si="2319"/>
        <v>SPS1</v>
      </c>
      <c r="C2335" s="5" t="str">
        <f t="shared" si="2320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SUMPRODUCT(("SUP_WODBIOCCS"=[1]OUT_SyntheticFuels!$C$4:$C$1000)*1,("var_ncap"=[1]OUT_SyntheticFuels!$B$4:$B$1000)*1,[1]OUT_SyntheticFuels!I$4:I$1000)</f>
        <v>0</v>
      </c>
      <c r="K2335" s="7" cm="1">
        <f t="array" ref="K2335">SUMPRODUCT(("SUP_WODBIOCCS"=[1]OUT_SyntheticFuels!$C$4:$C$1000)*1,("var_ncap"=[1]OUT_SyntheticFuels!$B$4:$B$1000)*1,[1]OUT_SyntheticFuels!J$4:J$1000)</f>
        <v>0</v>
      </c>
      <c r="L2335" s="7" cm="1">
        <f t="array" ref="L2335">SUMPRODUCT(("SUP_WODBIOCCS"=[1]OUT_SyntheticFuels!$C$4:$C$1000)*1,("var_ncap"=[1]OUT_SyntheticFuels!$B$4:$B$1000)*1,[1]OUT_SyntheticFuels!K$4:K$1000)</f>
        <v>0</v>
      </c>
      <c r="M2335" s="7" cm="1">
        <f t="array" ref="M2335">SUMPRODUCT(("SUP_WODBIOCCS"=[1]OUT_SyntheticFuels!$C$4:$C$1000)*1,("var_ncap"=[1]OUT_SyntheticFuels!$B$4:$B$1000)*1,[1]OUT_SyntheticFuels!L$4:L$1000)</f>
        <v>0</v>
      </c>
      <c r="N2335" s="7" cm="1">
        <f t="array" ref="N2335">SUMPRODUCT(("SUP_WODBIOCCS"=[1]OUT_SyntheticFuels!$C$4:$C$1000)*1,("var_ncap"=[1]OUT_SyntheticFuels!$B$4:$B$1000)*1,[1]OUT_SyntheticFuels!M$4:M$1000)</f>
        <v>0</v>
      </c>
      <c r="O2335" s="7" cm="1">
        <f t="array" ref="O2335">SUMPRODUCT(("SUP_WODBIOCCS"=[1]OUT_SyntheticFuels!$C$4:$C$1000)*1,("var_ncap"=[1]OUT_SyntheticFuels!$B$4:$B$1000)*1,[1]OUT_SyntheticFuels!N$4:N$1000)</f>
        <v>0</v>
      </c>
      <c r="P2335" s="7" cm="1">
        <f t="array" ref="P2335">SUMPRODUCT(("SUP_WODBIOCCS"=[1]OUT_SyntheticFuels!$C$4:$C$1000)*1,("var_ncap"=[1]OUT_SyntheticFuels!$B$4:$B$1000)*1,[1]OUT_SyntheticFuels!O$4:O$1000)</f>
        <v>0</v>
      </c>
      <c r="Q2335" s="7" cm="1">
        <f t="array" ref="Q2335">SUMPRODUCT(("SUP_WODBIOCCS"=[1]OUT_SyntheticFuels!$C$4:$C$1000)*1,("var_ncap"=[1]OUT_SyntheticFuels!$B$4:$B$1000)*1,[1]OUT_SyntheticFuels!P$4:P$1000)</f>
        <v>0</v>
      </c>
      <c r="S2335" s="3"/>
    </row>
    <row r="2336" spans="2:19" x14ac:dyDescent="0.5">
      <c r="B2336" s="5" t="str">
        <f t="shared" si="2319"/>
        <v>SPS1</v>
      </c>
      <c r="C2336" s="5" t="str">
        <f t="shared" si="2320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1.4391187965050799E-2</v>
      </c>
      <c r="G2336" s="7" cm="1">
        <f t="array" ref="G2336">SUMPRODUCT(("SUP_BIONGA"=[1]OUT_SyntheticFuels!$C$4:$C$1000)*1,("var_ncap"=[1]OUT_SyntheticFuels!$B$4:$B$1000)*1,[1]OUT_SyntheticFuels!F$4:F$1000)</f>
        <v>7.0443522883611998E-2</v>
      </c>
      <c r="H2336" s="7" cm="1">
        <f t="array" ref="H2336">SUMPRODUCT(("SUP_BIONGA"=[1]OUT_SyntheticFuels!$C$4:$C$1000)*1,("var_ncap"=[1]OUT_SyntheticFuels!$B$4:$B$1000)*1,[1]OUT_SyntheticFuels!G$4:G$1000)</f>
        <v>2.42919975621732E-7</v>
      </c>
      <c r="I2336" s="7" cm="1">
        <f t="array" ref="I2336">SUMPRODUCT(("SUP_BIONGA"=[1]OUT_SyntheticFuels!$C$4:$C$1000)*1,("var_ncap"=[1]OUT_SyntheticFuels!$B$4:$B$1000)*1,[1]OUT_SyntheticFuels!H$4:H$1000)</f>
        <v>3.4874804425362998E-7</v>
      </c>
      <c r="J2336" s="7" cm="1">
        <f t="array" ref="J2336">SUMPRODUCT(("SUP_BIONGA"=[1]OUT_SyntheticFuels!$C$4:$C$1000)*1,("var_ncap"=[1]OUT_SyntheticFuels!$B$4:$B$1000)*1,[1]OUT_SyntheticFuels!I$4:I$1000)</f>
        <v>1.4455299606305301E-2</v>
      </c>
      <c r="K2336" s="7" cm="1">
        <f t="array" ref="K2336">SUMPRODUCT(("SUP_BIONGA"=[1]OUT_SyntheticFuels!$C$4:$C$1000)*1,("var_ncap"=[1]OUT_SyntheticFuels!$B$4:$B$1000)*1,[1]OUT_SyntheticFuels!J$4:J$1000)</f>
        <v>3.9999364709122603E-2</v>
      </c>
      <c r="L2336" s="7" cm="1">
        <f t="array" ref="L2336">SUMPRODUCT(("SUP_BIONGA"=[1]OUT_SyntheticFuels!$C$4:$C$1000)*1,("var_ncap"=[1]OUT_SyntheticFuels!$B$4:$B$1000)*1,[1]OUT_SyntheticFuels!K$4:K$1000)</f>
        <v>4.92753582043872E-2</v>
      </c>
      <c r="M2336" s="7" cm="1">
        <f t="array" ref="M2336">SUMPRODUCT(("SUP_BIONGA"=[1]OUT_SyntheticFuels!$C$4:$C$1000)*1,("var_ncap"=[1]OUT_SyntheticFuels!$B$4:$B$1000)*1,[1]OUT_SyntheticFuels!L$4:L$1000)</f>
        <v>5.1052465690515201E-5</v>
      </c>
      <c r="N2336" s="7" cm="1">
        <f t="array" ref="N2336">SUMPRODUCT(("SUP_BIONGA"=[1]OUT_SyntheticFuels!$C$4:$C$1000)*1,("var_ncap"=[1]OUT_SyntheticFuels!$B$4:$B$1000)*1,[1]OUT_SyntheticFuels!M$4:M$1000)</f>
        <v>1.5363122796291E-2</v>
      </c>
      <c r="O2336" s="7" cm="1">
        <f t="array" ref="O2336">SUMPRODUCT(("SUP_BIONGA"=[1]OUT_SyntheticFuels!$C$4:$C$1000)*1,("var_ncap"=[1]OUT_SyntheticFuels!$B$4:$B$1000)*1,[1]OUT_SyntheticFuels!N$4:N$1000)</f>
        <v>3.9119083175332102E-2</v>
      </c>
      <c r="P2336" s="7" cm="1">
        <f t="array" ref="P2336">SUMPRODUCT(("SUP_BIONGA"=[1]OUT_SyntheticFuels!$C$4:$C$1000)*1,("var_ncap"=[1]OUT_SyntheticFuels!$B$4:$B$1000)*1,[1]OUT_SyntheticFuels!O$4:O$1000)</f>
        <v>4.9274310378834098E-2</v>
      </c>
      <c r="Q2336" s="7" cm="1">
        <f t="array" ref="Q2336">SUMPRODUCT(("SUP_BIONGA"=[1]OUT_SyntheticFuels!$C$4:$C$1000)*1,("var_ncap"=[1]OUT_SyntheticFuels!$B$4:$B$1000)*1,[1]OUT_SyntheticFuels!P$4:P$1000)</f>
        <v>1.5883657378495101E-4</v>
      </c>
      <c r="S2336" s="3"/>
    </row>
    <row r="2337" spans="2:19" x14ac:dyDescent="0.5">
      <c r="B2337" s="5" t="str">
        <f t="shared" si="2319"/>
        <v>SPS1</v>
      </c>
      <c r="C2337" s="5" t="str">
        <f t="shared" si="2320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0.16132969944438699</v>
      </c>
      <c r="G2337" s="7" cm="1">
        <f t="array" ref="G2337">SUMPRODUCT(("CT_CWODPLT"=[1]OUT_SyntheticFuels!$C$4:$C$1000)*1,("var_ncap"=[1]OUT_SyntheticFuels!$B$4:$B$1000)*1,[1]OUT_SyntheticFuels!F$4:F$1000)</f>
        <v>5.12063567602868E-2</v>
      </c>
      <c r="H2337" s="7" cm="1">
        <f t="array" ref="H2337">SUMPRODUCT(("CT_CWODPLT"=[1]OUT_SyntheticFuels!$C$4:$C$1000)*1,("var_ncap"=[1]OUT_SyntheticFuels!$B$4:$B$1000)*1,[1]OUT_SyntheticFuels!G$4:G$1000)</f>
        <v>3.4690461654127801E-6</v>
      </c>
      <c r="I2337" s="7" cm="1">
        <f t="array" ref="I2337">SUMPRODUCT(("CT_CWODPLT"=[1]OUT_SyntheticFuels!$C$4:$C$1000)*1,("var_ncap"=[1]OUT_SyntheticFuels!$B$4:$B$1000)*1,[1]OUT_SyntheticFuels!H$4:H$1000)</f>
        <v>6.4618510056592903E-4</v>
      </c>
      <c r="J2337" s="7" cm="1">
        <f t="array" ref="J2337">SUMPRODUCT(("CT_CWODPLT"=[1]OUT_SyntheticFuels!$C$4:$C$1000)*1,("var_ncap"=[1]OUT_SyntheticFuels!$B$4:$B$1000)*1,[1]OUT_SyntheticFuels!I$4:I$1000)</f>
        <v>0.16958634125473701</v>
      </c>
      <c r="K2337" s="7" cm="1">
        <f t="array" ref="K2337">SUMPRODUCT(("CT_CWODPLT"=[1]OUT_SyntheticFuels!$C$4:$C$1000)*1,("var_ncap"=[1]OUT_SyntheticFuels!$B$4:$B$1000)*1,[1]OUT_SyntheticFuels!J$4:J$1000)</f>
        <v>0.19784283272964501</v>
      </c>
      <c r="L2337" s="7" cm="1">
        <f t="array" ref="L2337">SUMPRODUCT(("CT_CWODPLT"=[1]OUT_SyntheticFuels!$C$4:$C$1000)*1,("var_ncap"=[1]OUT_SyntheticFuels!$B$4:$B$1000)*1,[1]OUT_SyntheticFuels!K$4:K$1000)</f>
        <v>9.5426919465647894E-2</v>
      </c>
      <c r="M2337" s="7" cm="1">
        <f t="array" ref="M2337">SUMPRODUCT(("CT_CWODPLT"=[1]OUT_SyntheticFuels!$C$4:$C$1000)*1,("var_ncap"=[1]OUT_SyntheticFuels!$B$4:$B$1000)*1,[1]OUT_SyntheticFuels!L$4:L$1000)</f>
        <v>7.0849444942299097E-3</v>
      </c>
      <c r="N2337" s="7" cm="1">
        <f t="array" ref="N2337">SUMPRODUCT(("CT_CWODPLT"=[1]OUT_SyntheticFuels!$C$4:$C$1000)*1,("var_ncap"=[1]OUT_SyntheticFuels!$B$4:$B$1000)*1,[1]OUT_SyntheticFuels!M$4:M$1000)</f>
        <v>0.14425925694719799</v>
      </c>
      <c r="O2337" s="7" cm="1">
        <f t="array" ref="O2337">SUMPRODUCT(("CT_CWODPLT"=[1]OUT_SyntheticFuels!$C$4:$C$1000)*1,("var_ncap"=[1]OUT_SyntheticFuels!$B$4:$B$1000)*1,[1]OUT_SyntheticFuels!N$4:N$1000)</f>
        <v>0.22266274217933399</v>
      </c>
      <c r="P2337" s="7" cm="1">
        <f t="array" ref="P2337">SUMPRODUCT(("CT_CWODPLT"=[1]OUT_SyntheticFuels!$C$4:$C$1000)*1,("var_ncap"=[1]OUT_SyntheticFuels!$B$4:$B$1000)*1,[1]OUT_SyntheticFuels!O$4:O$1000)</f>
        <v>9.0136345600908302E-2</v>
      </c>
      <c r="Q2337" s="7" cm="1">
        <f t="array" ref="Q2337">SUMPRODUCT(("CT_CWODPLT"=[1]OUT_SyntheticFuels!$C$4:$C$1000)*1,("var_ncap"=[1]OUT_SyntheticFuels!$B$4:$B$1000)*1,[1]OUT_SyntheticFuels!P$4:P$1000)</f>
        <v>2.09688831011466E-4</v>
      </c>
      <c r="S2337" s="3"/>
    </row>
    <row r="2338" spans="2:19" x14ac:dyDescent="0.5">
      <c r="B2338" s="5" t="str">
        <f t="shared" si="2319"/>
        <v>SPS1</v>
      </c>
      <c r="C2338" s="5" t="str">
        <f t="shared" si="2320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3.7777977759913401E-7</v>
      </c>
      <c r="J2338" s="7" cm="1">
        <f t="array" ref="J2338">SUMPRODUCT(("SUP_H2NGA"=[1]OUT_SyntheticFuels!$C$4:$C$1000)*1,("var_ncap"=[1]OUT_SyntheticFuels!$B$4:$B$1000)*1,[1]OUT_SyntheticFuels!I$4:I$1000)</f>
        <v>1.18578673074542E-6</v>
      </c>
      <c r="K2338" s="7" cm="1">
        <f t="array" ref="K2338">SUMPRODUCT(("SUP_H2NGA"=[1]OUT_SyntheticFuels!$C$4:$C$1000)*1,("var_ncap"=[1]OUT_SyntheticFuels!$B$4:$B$1000)*1,[1]OUT_SyntheticFuels!J$4:J$1000)</f>
        <v>1.3092867396381099E-6</v>
      </c>
      <c r="L2338" s="7" cm="1">
        <f t="array" ref="L2338">SUMPRODUCT(("SUP_H2NGA"=[1]OUT_SyntheticFuels!$C$4:$C$1000)*1,("var_ncap"=[1]OUT_SyntheticFuels!$B$4:$B$1000)*1,[1]OUT_SyntheticFuels!K$4:K$1000)</f>
        <v>2.00764554671333E-6</v>
      </c>
      <c r="M2338" s="7" cm="1">
        <f t="array" ref="M2338">SUMPRODUCT(("SUP_H2NGA"=[1]OUT_SyntheticFuels!$C$4:$C$1000)*1,("var_ncap"=[1]OUT_SyntheticFuels!$B$4:$B$1000)*1,[1]OUT_SyntheticFuels!L$4:L$1000)</f>
        <v>2.1874856612037201E-6</v>
      </c>
      <c r="N2338" s="7" cm="1">
        <f t="array" ref="N2338">SUMPRODUCT(("SUP_H2NGA"=[1]OUT_SyntheticFuels!$C$4:$C$1000)*1,("var_ncap"=[1]OUT_SyntheticFuels!$B$4:$B$1000)*1,[1]OUT_SyntheticFuels!M$4:M$1000)</f>
        <v>1.7061008257163999E-6</v>
      </c>
      <c r="O2338" s="7" cm="1">
        <f t="array" ref="O2338">SUMPRODUCT(("SUP_H2NGA"=[1]OUT_SyntheticFuels!$C$4:$C$1000)*1,("var_ncap"=[1]OUT_SyntheticFuels!$B$4:$B$1000)*1,[1]OUT_SyntheticFuels!N$4:N$1000)</f>
        <v>1.5746164042960401E-6</v>
      </c>
      <c r="P2338" s="7" cm="1">
        <f t="array" ref="P2338">SUMPRODUCT(("SUP_H2NGA"=[1]OUT_SyntheticFuels!$C$4:$C$1000)*1,("var_ncap"=[1]OUT_SyntheticFuels!$B$4:$B$1000)*1,[1]OUT_SyntheticFuels!O$4:O$1000)</f>
        <v>1.9403055801101501E-6</v>
      </c>
      <c r="Q2338" s="7" cm="1">
        <f t="array" ref="Q2338">SUMPRODUCT(("SUP_H2NGA"=[1]OUT_SyntheticFuels!$C$4:$C$1000)*1,("var_ncap"=[1]OUT_SyntheticFuels!$B$4:$B$1000)*1,[1]OUT_SyntheticFuels!P$4:P$1000)</f>
        <v>5.6625680110218898E-6</v>
      </c>
      <c r="S2338" s="3"/>
    </row>
    <row r="2339" spans="2:19" x14ac:dyDescent="0.5">
      <c r="B2339" s="5" t="str">
        <f t="shared" si="2319"/>
        <v>SPS1</v>
      </c>
      <c r="C2339" s="5" t="str">
        <f t="shared" si="2320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5.6138738368835203E-7</v>
      </c>
      <c r="J2339" s="7" cm="1">
        <f t="array" ref="J2339">SUMPRODUCT(("SUP_H2DSL"=[1]OUT_SyntheticFuels!$C$4:$C$1000)*1,("var_ncap"=[1]OUT_SyntheticFuels!$B$4:$B$1000)*1,[1]OUT_SyntheticFuels!I$4:I$1000)</f>
        <v>1.2650545245474299E-6</v>
      </c>
      <c r="K2339" s="7" cm="1">
        <f t="array" ref="K2339">SUMPRODUCT(("SUP_H2DSL"=[1]OUT_SyntheticFuels!$C$4:$C$1000)*1,("var_ncap"=[1]OUT_SyntheticFuels!$B$4:$B$1000)*1,[1]OUT_SyntheticFuels!J$4:J$1000)</f>
        <v>1.73373990329379E-6</v>
      </c>
      <c r="L2339" s="7" cm="1">
        <f t="array" ref="L2339">SUMPRODUCT(("SUP_H2DSL"=[1]OUT_SyntheticFuels!$C$4:$C$1000)*1,("var_ncap"=[1]OUT_SyntheticFuels!$B$4:$B$1000)*1,[1]OUT_SyntheticFuels!K$4:K$1000)</f>
        <v>1.70191834831495E-6</v>
      </c>
      <c r="M2339" s="7" cm="1">
        <f t="array" ref="M2339">SUMPRODUCT(("SUP_H2DSL"=[1]OUT_SyntheticFuels!$C$4:$C$1000)*1,("var_ncap"=[1]OUT_SyntheticFuels!$B$4:$B$1000)*1,[1]OUT_SyntheticFuels!L$4:L$1000)</f>
        <v>2.00129334710501E-6</v>
      </c>
      <c r="N2339" s="7" cm="1">
        <f t="array" ref="N2339">SUMPRODUCT(("SUP_H2DSL"=[1]OUT_SyntheticFuels!$C$4:$C$1000)*1,("var_ncap"=[1]OUT_SyntheticFuels!$B$4:$B$1000)*1,[1]OUT_SyntheticFuels!M$4:M$1000)</f>
        <v>1.86799664255284E-6</v>
      </c>
      <c r="O2339" s="7" cm="1">
        <f t="array" ref="O2339">SUMPRODUCT(("SUP_H2DSL"=[1]OUT_SyntheticFuels!$C$4:$C$1000)*1,("var_ncap"=[1]OUT_SyntheticFuels!$B$4:$B$1000)*1,[1]OUT_SyntheticFuels!N$4:N$1000)</f>
        <v>2.1700900871065601E-6</v>
      </c>
      <c r="P2339" s="7" cm="1">
        <f t="array" ref="P2339">SUMPRODUCT(("SUP_H2DSL"=[1]OUT_SyntheticFuels!$C$4:$C$1000)*1,("var_ncap"=[1]OUT_SyntheticFuels!$B$4:$B$1000)*1,[1]OUT_SyntheticFuels!O$4:O$1000)</f>
        <v>2.71653248537797E-6</v>
      </c>
      <c r="Q2339" s="7" cm="1">
        <f t="array" ref="Q2339">SUMPRODUCT(("SUP_H2DSL"=[1]OUT_SyntheticFuels!$C$4:$C$1000)*1,("var_ncap"=[1]OUT_SyntheticFuels!$B$4:$B$1000)*1,[1]OUT_SyntheticFuels!P$4:P$1000)</f>
        <v>8.7246646147108608E-6</v>
      </c>
      <c r="S2339" s="3"/>
    </row>
    <row r="2340" spans="2:19" x14ac:dyDescent="0.5">
      <c r="B2340" s="5" t="str">
        <f t="shared" si="2319"/>
        <v>SPS1</v>
      </c>
      <c r="C2340" s="5" t="str">
        <f t="shared" si="2320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4.8995717028042204E-7</v>
      </c>
      <c r="J2340" s="7" cm="1">
        <f t="array" ref="J2340">SUMPRODUCT(("SUP_H2GSL"=[1]OUT_SyntheticFuels!$C$4:$C$1000)*1,("var_ncap"=[1]OUT_SyntheticFuels!$B$4:$B$1000)*1,[1]OUT_SyntheticFuels!I$4:I$1000)</f>
        <v>1.1140272583802299E-6</v>
      </c>
      <c r="K2340" s="7" cm="1">
        <f t="array" ref="K2340">SUMPRODUCT(("SUP_H2GSL"=[1]OUT_SyntheticFuels!$C$4:$C$1000)*1,("var_ncap"=[1]OUT_SyntheticFuels!$B$4:$B$1000)*1,[1]OUT_SyntheticFuels!J$4:J$1000)</f>
        <v>1.48540017184987E-6</v>
      </c>
      <c r="L2340" s="7" cm="1">
        <f t="array" ref="L2340">SUMPRODUCT(("SUP_H2GSL"=[1]OUT_SyntheticFuels!$C$4:$C$1000)*1,("var_ncap"=[1]OUT_SyntheticFuels!$B$4:$B$1000)*1,[1]OUT_SyntheticFuels!K$4:K$1000)</f>
        <v>1.52045123790674E-6</v>
      </c>
      <c r="M2340" s="7" cm="1">
        <f t="array" ref="M2340">SUMPRODUCT(("SUP_H2GSL"=[1]OUT_SyntheticFuels!$C$4:$C$1000)*1,("var_ncap"=[1]OUT_SyntheticFuels!$B$4:$B$1000)*1,[1]OUT_SyntheticFuels!L$4:L$1000)</f>
        <v>2.0220320996752101E-6</v>
      </c>
      <c r="N2340" s="7" cm="1">
        <f t="array" ref="N2340">SUMPRODUCT(("SUP_H2GSL"=[1]OUT_SyntheticFuels!$C$4:$C$1000)*1,("var_ncap"=[1]OUT_SyntheticFuels!$B$4:$B$1000)*1,[1]OUT_SyntheticFuels!M$4:M$1000)</f>
        <v>1.62243127473165E-6</v>
      </c>
      <c r="O2340" s="7" cm="1">
        <f t="array" ref="O2340">SUMPRODUCT(("SUP_H2GSL"=[1]OUT_SyntheticFuels!$C$4:$C$1000)*1,("var_ncap"=[1]OUT_SyntheticFuels!$B$4:$B$1000)*1,[1]OUT_SyntheticFuels!N$4:N$1000)</f>
        <v>1.9127726616573301E-6</v>
      </c>
      <c r="P2340" s="7" cm="1">
        <f t="array" ref="P2340">SUMPRODUCT(("SUP_H2GSL"=[1]OUT_SyntheticFuels!$C$4:$C$1000)*1,("var_ncap"=[1]OUT_SyntheticFuels!$B$4:$B$1000)*1,[1]OUT_SyntheticFuels!O$4:O$1000)</f>
        <v>2.4306418714068799E-6</v>
      </c>
      <c r="Q2340" s="7" cm="1">
        <f t="array" ref="Q2340">SUMPRODUCT(("SUP_H2GSL"=[1]OUT_SyntheticFuels!$C$4:$C$1000)*1,("var_ncap"=[1]OUT_SyntheticFuels!$B$4:$B$1000)*1,[1]OUT_SyntheticFuels!P$4:P$1000)</f>
        <v>8.3032936671713706E-6</v>
      </c>
      <c r="S2340" s="3"/>
    </row>
  </sheetData>
  <sortState xmlns:xlrd2="http://schemas.microsoft.com/office/spreadsheetml/2017/richdata2" ref="D1574:D1576">
    <sortCondition ref="D1574:D1576"/>
  </sortState>
  <phoneticPr fontId="3" type="noConversion"/>
  <conditionalFormatting sqref="F736:G736">
    <cfRule type="cellIs" dxfId="3" priority="1" operator="lessThan">
      <formula>0</formula>
    </cfRule>
  </conditionalFormatting>
  <conditionalFormatting sqref="F908:G908">
    <cfRule type="cellIs" dxfId="2" priority="5" operator="lessThan">
      <formula>0</formula>
    </cfRule>
  </conditionalFormatting>
  <conditionalFormatting sqref="F1158:Q1158">
    <cfRule type="cellIs" dxfId="1" priority="7" operator="lessThan">
      <formula>0</formula>
    </cfRule>
  </conditionalFormatting>
  <conditionalFormatting sqref="H1:Q113 S2:S2340 H131:Q1205 R224 T224 H1208:Q1343 H1346:Q1427 H1430:Q1569 H1572:Q1616 H1619:Q2340 H2341:L1048576">
    <cfRule type="cellIs" dxfId="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75" x14ac:dyDescent="0.5"/>
  <cols>
    <col min="2" max="2" width="36.5625" bestFit="1" customWidth="1"/>
    <col min="3" max="3" width="9.4375" bestFit="1" customWidth="1"/>
  </cols>
  <sheetData>
    <row r="2" spans="2:8" x14ac:dyDescent="0.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5">
      <c r="B3" s="2" t="s">
        <v>1719</v>
      </c>
      <c r="C3" s="3">
        <f>SUM(C4:C7)</f>
        <v>695.76504522154642</v>
      </c>
      <c r="D3" s="3">
        <f t="shared" ref="D3:H3" si="0">SUM(D4:D7)</f>
        <v>686.3926130188147</v>
      </c>
      <c r="E3" s="3">
        <f t="shared" si="0"/>
        <v>683.65119317833182</v>
      </c>
      <c r="F3" s="3">
        <f t="shared" si="0"/>
        <v>647.43084458766702</v>
      </c>
      <c r="G3" s="3">
        <f t="shared" si="0"/>
        <v>618.78074202829464</v>
      </c>
      <c r="H3" s="3">
        <f t="shared" si="0"/>
        <v>607.82938407490849</v>
      </c>
    </row>
    <row r="4" spans="2:8" x14ac:dyDescent="0.5">
      <c r="B4" s="23" t="s">
        <v>1727</v>
      </c>
      <c r="C4" s="1">
        <f>'SPS1'!F763</f>
        <v>142.21765835207603</v>
      </c>
      <c r="D4" s="1">
        <f>'SPS1'!G763</f>
        <v>141.13190446309537</v>
      </c>
      <c r="E4" s="1">
        <f>'SPS1'!H763</f>
        <v>142.8799276618137</v>
      </c>
      <c r="F4" s="1">
        <f>'SPS1'!I763</f>
        <v>144.14806994374962</v>
      </c>
      <c r="G4" s="1">
        <f>'SPS1'!J763</f>
        <v>145.42556551381779</v>
      </c>
      <c r="H4" s="1">
        <f>'SPS1'!K763</f>
        <v>146.34974329231332</v>
      </c>
    </row>
    <row r="5" spans="2:8" x14ac:dyDescent="0.5">
      <c r="B5" s="23" t="s">
        <v>1728</v>
      </c>
      <c r="C5" s="1">
        <f>'SPS1'!F882</f>
        <v>140.10117805079895</v>
      </c>
      <c r="D5" s="1">
        <f>'SPS1'!G882</f>
        <v>139.66733501659985</v>
      </c>
      <c r="E5" s="1">
        <f>'SPS1'!H882</f>
        <v>141.59393036190747</v>
      </c>
      <c r="F5" s="1">
        <f>'SPS1'!I882</f>
        <v>139.70599541731025</v>
      </c>
      <c r="G5" s="1">
        <f>'SPS1'!J882</f>
        <v>135.81773920247647</v>
      </c>
      <c r="H5" s="1">
        <f>'SPS1'!K882</f>
        <v>132.491320296737</v>
      </c>
    </row>
    <row r="6" spans="2:8" x14ac:dyDescent="0.5">
      <c r="B6" s="23" t="s">
        <v>1729</v>
      </c>
      <c r="C6" s="1">
        <f>'SPS1'!F972</f>
        <v>217.23727654402427</v>
      </c>
      <c r="D6" s="1">
        <f>'SPS1'!G972</f>
        <v>218.06537870537286</v>
      </c>
      <c r="E6" s="1">
        <f>'SPS1'!H972</f>
        <v>216.24592258247145</v>
      </c>
      <c r="F6" s="1">
        <f>'SPS1'!I972</f>
        <v>215.24808692435559</v>
      </c>
      <c r="G6" s="1">
        <f>'SPS1'!J972</f>
        <v>213.89232520251906</v>
      </c>
      <c r="H6" s="1">
        <f>'SPS1'!K972</f>
        <v>210.78205937488909</v>
      </c>
    </row>
    <row r="7" spans="2:8" x14ac:dyDescent="0.5">
      <c r="B7" s="23" t="s">
        <v>1730</v>
      </c>
      <c r="C7" s="1">
        <f>'SPS1'!F1136+'SPS1'!F1315+'SPS1'!F1399+'SPS1'!F1483+'SPS1'!F1490+'SPS1'!F1497+'SPS1'!F1546+'SPS1'!F1593+'SPS1'!F1640</f>
        <v>196.20893227464717</v>
      </c>
      <c r="D7" s="1">
        <f>'SPS1'!G1136+'SPS1'!G1315+'SPS1'!G1399+'SPS1'!G1483+'SPS1'!G1490+'SPS1'!G1497+'SPS1'!G1546+'SPS1'!G1593+'SPS1'!G1640</f>
        <v>187.52799483374673</v>
      </c>
      <c r="E7" s="1">
        <f>'SPS1'!H1136+'SPS1'!H1315+'SPS1'!H1399+'SPS1'!H1483+'SPS1'!H1490+'SPS1'!H1497+'SPS1'!H1546+'SPS1'!H1593+'SPS1'!H1640</f>
        <v>182.93141257213915</v>
      </c>
      <c r="F7" s="1">
        <f>'SPS1'!I1136+'SPS1'!I1315+'SPS1'!I1399+'SPS1'!I1483+'SPS1'!I1490+'SPS1'!I1497+'SPS1'!I1546+'SPS1'!I1593+'SPS1'!I1640</f>
        <v>148.3286923022516</v>
      </c>
      <c r="G7" s="1">
        <f>'SPS1'!J1136+'SPS1'!J1315+'SPS1'!J1399+'SPS1'!J1483+'SPS1'!J1490+'SPS1'!J1497+'SPS1'!J1546+'SPS1'!J1593+'SPS1'!J1640</f>
        <v>123.64511210948139</v>
      </c>
      <c r="H7" s="1">
        <f>'SPS1'!K1136+'SPS1'!K1315+'SPS1'!K1399+'SPS1'!K1483+'SPS1'!K1490+'SPS1'!K1497+'SPS1'!K1546+'SPS1'!K1593+'SPS1'!K1640</f>
        <v>118.20626111096908</v>
      </c>
    </row>
    <row r="8" spans="2:8" x14ac:dyDescent="0.5">
      <c r="B8" s="2" t="s">
        <v>1735</v>
      </c>
      <c r="C8" s="3">
        <f>SUM(C9:C12)</f>
        <v>509.45641279257006</v>
      </c>
      <c r="D8" s="3">
        <f t="shared" ref="D8:H8" si="1">SUM(D9:D12)</f>
        <v>501.05531214522</v>
      </c>
      <c r="E8" s="3">
        <f t="shared" si="1"/>
        <v>506.41818214997744</v>
      </c>
      <c r="F8" s="3">
        <f t="shared" si="1"/>
        <v>544.65299693566487</v>
      </c>
      <c r="G8" s="3">
        <f t="shared" si="1"/>
        <v>505.38603085768341</v>
      </c>
      <c r="H8" s="3">
        <f t="shared" si="1"/>
        <v>436.6348376418016</v>
      </c>
    </row>
    <row r="9" spans="2:8" x14ac:dyDescent="0.5">
      <c r="B9" s="23" t="s">
        <v>1732</v>
      </c>
      <c r="C9" s="1">
        <f>'SPS1'!F291+'SPS1'!F409</f>
        <v>493.44271446499982</v>
      </c>
      <c r="D9" s="1">
        <f>'SPS1'!G291+'SPS1'!G409</f>
        <v>476.76834797235188</v>
      </c>
      <c r="E9" s="1">
        <f>'SPS1'!H291+'SPS1'!H409</f>
        <v>482.45467337708521</v>
      </c>
      <c r="F9" s="1">
        <f>'SPS1'!I291+'SPS1'!I409</f>
        <v>522.20121745249844</v>
      </c>
      <c r="G9" s="1">
        <f>'SPS1'!J291+'SPS1'!J409</f>
        <v>482.93600026555049</v>
      </c>
      <c r="H9" s="1">
        <f>'SPS1'!K291+'SPS1'!K409</f>
        <v>414.44579854767704</v>
      </c>
    </row>
    <row r="10" spans="2:8" x14ac:dyDescent="0.5">
      <c r="B10" s="23" t="s">
        <v>1733</v>
      </c>
      <c r="C10" s="1">
        <f>'SPS1'!F590+'SPS1'!F604+'SPS1'!F644</f>
        <v>16.008867474196638</v>
      </c>
      <c r="D10" s="1">
        <f>'SPS1'!G590+'SPS1'!G604+'SPS1'!G644</f>
        <v>24.280497765758916</v>
      </c>
      <c r="E10" s="1">
        <f>'SPS1'!H590+'SPS1'!H604+'SPS1'!H644</f>
        <v>23.957126293631994</v>
      </c>
      <c r="F10" s="1">
        <f>'SPS1'!I590+'SPS1'!I604+'SPS1'!I644</f>
        <v>22.441175292761912</v>
      </c>
      <c r="G10" s="1">
        <f>'SPS1'!J590+'SPS1'!J604+'SPS1'!J644</f>
        <v>22.420357269202455</v>
      </c>
      <c r="H10" s="1">
        <f>'SPS1'!K590+'SPS1'!K604+'SPS1'!K644</f>
        <v>22.146655876322804</v>
      </c>
    </row>
    <row r="11" spans="2:8" x14ac:dyDescent="0.5">
      <c r="B11" s="23" t="s">
        <v>1731</v>
      </c>
      <c r="C11" s="1">
        <f>'SPS1'!F679</f>
        <v>4.8308533736373194E-3</v>
      </c>
      <c r="D11" s="1">
        <f>'SPS1'!G679</f>
        <v>6.4664071092115413E-3</v>
      </c>
      <c r="E11" s="1">
        <f>'SPS1'!H679</f>
        <v>6.3824792602489838E-3</v>
      </c>
      <c r="F11" s="1">
        <f>'SPS1'!I679</f>
        <v>1.0604190404475069E-2</v>
      </c>
      <c r="G11" s="1">
        <f>'SPS1'!J679</f>
        <v>2.9673322930471976E-2</v>
      </c>
      <c r="H11" s="1">
        <f>'SPS1'!K679</f>
        <v>4.2383217801729045E-2</v>
      </c>
    </row>
    <row r="12" spans="2:8" x14ac:dyDescent="0.5">
      <c r="B12" s="23" t="s">
        <v>1734</v>
      </c>
      <c r="C12" s="1">
        <f>'SPS1'!F1707</f>
        <v>0</v>
      </c>
      <c r="D12" s="1">
        <f>'SPS1'!G1707</f>
        <v>0</v>
      </c>
      <c r="E12" s="1">
        <f>'SPS1'!H1707</f>
        <v>0</v>
      </c>
      <c r="F12" s="1">
        <f>'SPS1'!I1707</f>
        <v>0</v>
      </c>
      <c r="G12" s="1">
        <f>'SPS1'!J1707</f>
        <v>0</v>
      </c>
      <c r="H12" s="1">
        <f>'SPS1'!K1707</f>
        <v>0</v>
      </c>
    </row>
    <row r="13" spans="2:8" x14ac:dyDescent="0.5">
      <c r="B13" s="2" t="s">
        <v>1736</v>
      </c>
      <c r="C13" s="3">
        <f>'SPS1'!F2+'SPS1'!F20-'SPS1'!F57</f>
        <v>962.42385481139377</v>
      </c>
      <c r="D13" s="3">
        <f>'SPS1'!G2+'SPS1'!G20-'SPS1'!G57</f>
        <v>962.37527449596632</v>
      </c>
      <c r="E13" s="3">
        <f>'SPS1'!H2+'SPS1'!H20-'SPS1'!H57</f>
        <v>923.58890907502314</v>
      </c>
      <c r="F13" s="3">
        <f>'SPS1'!I2+'SPS1'!I20-'SPS1'!I57</f>
        <v>897.95041424609042</v>
      </c>
      <c r="G13" s="3">
        <f>'SPS1'!J2+'SPS1'!J20-'SPS1'!J57</f>
        <v>835.30966881318227</v>
      </c>
      <c r="H13" s="3">
        <f>'SPS1'!K2+'SPS1'!K20-'SPS1'!K57</f>
        <v>775.59221797318958</v>
      </c>
    </row>
    <row r="14" spans="2:8" x14ac:dyDescent="0.5">
      <c r="B14" s="23" t="s">
        <v>1737</v>
      </c>
      <c r="C14" s="1">
        <f>'SPS1'!F2</f>
        <v>300.02662963567275</v>
      </c>
      <c r="D14" s="1">
        <f>'SPS1'!G2</f>
        <v>295.46946067494412</v>
      </c>
      <c r="E14" s="1">
        <f>'SPS1'!H2</f>
        <v>330.77470235130386</v>
      </c>
      <c r="F14" s="1">
        <f>'SPS1'!I2</f>
        <v>365.47757386282871</v>
      </c>
      <c r="G14" s="1">
        <f>'SPS1'!J2</f>
        <v>376.65682556176125</v>
      </c>
      <c r="H14" s="1">
        <f>'SPS1'!K2</f>
        <v>382.58217650968595</v>
      </c>
    </row>
    <row r="15" spans="2:8" x14ac:dyDescent="0.5">
      <c r="B15" s="23" t="s">
        <v>19</v>
      </c>
      <c r="C15" s="1">
        <f>'SPS1'!F20</f>
        <v>779.56723235838683</v>
      </c>
      <c r="D15" s="1">
        <f>'SPS1'!G20</f>
        <v>702.72573848201898</v>
      </c>
      <c r="E15" s="1">
        <f>'SPS1'!H20</f>
        <v>657.24607858483478</v>
      </c>
      <c r="F15" s="1">
        <f>'SPS1'!I20</f>
        <v>614.29915638549392</v>
      </c>
      <c r="G15" s="1">
        <f>'SPS1'!J20</f>
        <v>524.34695490044805</v>
      </c>
      <c r="H15" s="1">
        <f>'SPS1'!K20</f>
        <v>436.60099349176932</v>
      </c>
    </row>
    <row r="16" spans="2:8" x14ac:dyDescent="0.5">
      <c r="B16" s="23" t="s">
        <v>24</v>
      </c>
      <c r="C16" s="1">
        <f>'SPS1'!F57</f>
        <v>117.17000718266576</v>
      </c>
      <c r="D16" s="1">
        <f>'SPS1'!G57</f>
        <v>35.819924660996776</v>
      </c>
      <c r="E16" s="1">
        <f>'SPS1'!H57</f>
        <v>64.431871861115511</v>
      </c>
      <c r="F16" s="1">
        <f>'SPS1'!I57</f>
        <v>81.826316002232105</v>
      </c>
      <c r="G16" s="1">
        <f>'SPS1'!J57</f>
        <v>65.694111649026979</v>
      </c>
      <c r="H16" s="1">
        <f>'SPS1'!K57</f>
        <v>43.590952028265612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Fernandez de Losada, Lucas Javier</cp:lastModifiedBy>
  <dcterms:created xsi:type="dcterms:W3CDTF">2023-01-16T15:31:56Z</dcterms:created>
  <dcterms:modified xsi:type="dcterms:W3CDTF">2026-03-24T10:29:58Z</dcterms:modified>
</cp:coreProperties>
</file>